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comments3.xml" ContentType="application/vnd.openxmlformats-officedocument.spreadsheetml.comments+xml"/>
  <Override PartName="/xl/drawings/drawing28.xml" ContentType="application/vnd.openxmlformats-officedocument.drawing+xml"/>
  <Override PartName="/xl/comments4.xml" ContentType="application/vnd.openxmlformats-officedocument.spreadsheetml.comments+xml"/>
  <Override PartName="/xl/drawings/drawing29.xml" ContentType="application/vnd.openxmlformats-officedocument.drawing+xml"/>
  <Override PartName="/xl/comments5.xml" ContentType="application/vnd.openxmlformats-officedocument.spreadsheetml.comments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omments6.xml" ContentType="application/vnd.openxmlformats-officedocument.spreadsheetml.comments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comments7.xml" ContentType="application/vnd.openxmlformats-officedocument.spreadsheetml.comments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60" windowWidth="24240" windowHeight="12960" activeTab="18"/>
  </bookViews>
  <sheets>
    <sheet name="BẢNG PHÂN TOÁN" sheetId="71" r:id="rId1"/>
    <sheet name="Phụ cấp người Việt" sheetId="147" state="hidden" r:id="rId2"/>
    <sheet name="BẢNG PHÂN TOÁN ĐÚNG" sheetId="141" state="hidden" r:id="rId3"/>
    <sheet name="Mủ BN D40" sheetId="138" state="hidden" r:id="rId4"/>
    <sheet name="THƯỞNG SL" sheetId="83" state="hidden" r:id="rId5"/>
    <sheet name="QL LƯƠNG" sheetId="86" state="hidden" r:id="rId6"/>
    <sheet name="Tổ 1" sheetId="91" state="hidden" r:id="rId7"/>
    <sheet name="Tổ 2" sheetId="90" state="hidden" r:id="rId8"/>
    <sheet name="Tổ 3" sheetId="89" state="hidden" r:id="rId9"/>
    <sheet name="BN DRC CHUẨN" sheetId="145" state="hidden" r:id="rId10"/>
    <sheet name="DANH SÁCH THUẾ" sheetId="143" state="hidden" r:id="rId11"/>
    <sheet name="Chấm công công nhân" sheetId="67" state="hidden" r:id="rId12"/>
    <sheet name="Mủ" sheetId="80" state="hidden" r:id="rId13"/>
    <sheet name="Tong hop cong" sheetId="57" state="hidden" r:id="rId14"/>
    <sheet name="BẢNG LƯƠNG KT" sheetId="3" r:id="rId15"/>
    <sheet name="PL con" sheetId="125" state="hidden" r:id="rId16"/>
    <sheet name="pl CBCNV" sheetId="134" state="hidden" r:id="rId17"/>
    <sheet name="1" sheetId="108" r:id="rId18"/>
    <sheet name="2" sheetId="146" r:id="rId19"/>
    <sheet name="LƯƠNG TT" sheetId="114" r:id="rId20"/>
    <sheet name="3" sheetId="110" r:id="rId21"/>
    <sheet name="Tạm tính BN" sheetId="136" state="hidden" r:id="rId22"/>
    <sheet name="BV" sheetId="100" r:id="rId23"/>
    <sheet name="Tạp vụ" sheetId="106" r:id="rId24"/>
    <sheet name="Lương gia thuộc" sheetId="135" state="hidden" r:id="rId25"/>
    <sheet name="Phụ cấp" sheetId="133" state="hidden" r:id="rId26"/>
    <sheet name="Vươn KTCB" sheetId="77" state="hidden" r:id="rId27"/>
    <sheet name="KTCB" sheetId="68" state="hidden" r:id="rId28"/>
    <sheet name="Lương USD" sheetId="63" state="hidden" r:id="rId29"/>
    <sheet name="Bảng kê lương" sheetId="64" state="hidden" r:id="rId30"/>
    <sheet name="PC trực đêm" sheetId="76" state="hidden" r:id="rId31"/>
    <sheet name="Công CBNV" sheetId="115" state="hidden" r:id="rId32"/>
    <sheet name="CHẤM CÔNG XĂNG XE" sheetId="150" state="hidden" r:id="rId33"/>
    <sheet name="PC XĂNG XE" sheetId="151" state="hidden" r:id="rId34"/>
    <sheet name="Chấm công xăng)" sheetId="87" state="hidden" r:id="rId35"/>
    <sheet name="tt xăng" sheetId="88" state="hidden" r:id="rId36"/>
    <sheet name="Tính lương tổ" sheetId="78" state="hidden" r:id="rId37"/>
    <sheet name="Lương Tổ" sheetId="79" state="hidden" r:id="rId38"/>
    <sheet name="TH MỦ" sheetId="105" state="hidden" r:id="rId39"/>
    <sheet name="TH CÔNG" sheetId="113" state="hidden" r:id="rId40"/>
    <sheet name="Kỷ thuật" sheetId="58" state="hidden" r:id="rId41"/>
    <sheet name="C.B NV" sheetId="1" state="hidden" r:id="rId42"/>
    <sheet name="VC KTCB" sheetId="28" state="hidden" r:id="rId43"/>
    <sheet name="VC TAI CANH" sheetId="29" state="hidden" r:id="rId44"/>
    <sheet name="BẢO VỆ" sheetId="6" state="hidden" r:id="rId45"/>
    <sheet name="VƯƠN ƯƠM" sheetId="21" state="hidden" r:id="rId46"/>
    <sheet name="Biểu t.h" sheetId="4" state="hidden" r:id="rId47"/>
    <sheet name="Mã số NV" sheetId="53" state="hidden" r:id="rId48"/>
    <sheet name="Công việc khác" sheetId="26" state="hidden" r:id="rId49"/>
    <sheet name="TRƯỞN BẢN" sheetId="42" state="hidden" r:id="rId50"/>
    <sheet name="ky thuật" sheetId="37" state="hidden" r:id="rId51"/>
    <sheet name="BC" sheetId="20" state="hidden" r:id="rId52"/>
    <sheet name="Lương Tổng NT" sheetId="5" state="hidden" r:id="rId53"/>
    <sheet name="CHẤM CÔNG BV" sheetId="94" state="hidden" r:id="rId54"/>
    <sheet name="CV KHAC" sheetId="73" state="hidden" r:id="rId55"/>
    <sheet name="BHXH" sheetId="2" state="hidden" r:id="rId56"/>
    <sheet name="NTNB" sheetId="41" state="hidden" r:id="rId57"/>
    <sheet name=" Công" sheetId="15" state="hidden" r:id="rId58"/>
    <sheet name="mẩu" sheetId="19" state="hidden" r:id="rId59"/>
    <sheet name="TRƯỞNG BẢN" sheetId="59" state="hidden" r:id="rId60"/>
    <sheet name="Sheet3" sheetId="148" state="hidden" r:id="rId61"/>
    <sheet name="TỔNG HỢP CHI PHÍ KHÁC" sheetId="142" state="hidden" r:id="rId62"/>
    <sheet name="KHSX T8" sheetId="117" state="hidden" r:id="rId63"/>
    <sheet name="BCSXT7" sheetId="118" state="hidden" r:id="rId64"/>
    <sheet name="BCSX T8" sheetId="129" state="hidden" r:id="rId65"/>
    <sheet name="KHSX T9" sheetId="127" state="hidden" r:id="rId66"/>
    <sheet name="bcsx t9" sheetId="131" state="hidden" r:id="rId67"/>
    <sheet name="khsx t10" sheetId="132" state="hidden" r:id="rId68"/>
    <sheet name="BCSX T1" sheetId="137" state="hidden" r:id="rId69"/>
    <sheet name="KHSX T2" sheetId="139" state="hidden" r:id="rId70"/>
    <sheet name="xã cạo t1" sheetId="116" state="hidden" r:id="rId71"/>
    <sheet name="xã cạo t3" sheetId="119" state="hidden" r:id="rId72"/>
    <sheet name="mcm t1" sheetId="120" state="hidden" r:id="rId73"/>
    <sheet name="mcm t2" sheetId="121" state="hidden" r:id="rId74"/>
    <sheet name="mcm t3" sheetId="128" state="hidden" r:id="rId75"/>
    <sheet name="mpc t1" sheetId="122" state="hidden" r:id="rId76"/>
    <sheet name="mpc t2" sheetId="123" state="hidden" r:id="rId77"/>
    <sheet name="mpc t3" sheetId="130" state="hidden" r:id="rId78"/>
    <sheet name="gia cố mcm t1" sheetId="124" state="hidden" r:id="rId79"/>
    <sheet name="kt1" sheetId="97" state="hidden" r:id="rId80"/>
    <sheet name="kt2" sheetId="98" state="hidden" r:id="rId81"/>
    <sheet name="kt3" sheetId="99" state="hidden" r:id="rId82"/>
    <sheet name="Kỹ thuật 1 (ngữa)" sheetId="101" state="hidden" r:id="rId83"/>
    <sheet name="Sheet2" sheetId="111" state="hidden" r:id="rId84"/>
    <sheet name="Kỹ thuật 1 (úp)" sheetId="104" state="hidden" r:id="rId85"/>
    <sheet name="kỹ thuật 2" sheetId="102" state="hidden" r:id="rId86"/>
    <sheet name="kỹ thuật 3" sheetId="103" state="hidden" r:id="rId87"/>
    <sheet name="Hổ trợ 2421" sheetId="112" state="hidden" r:id="rId88"/>
    <sheet name="MSNV" sheetId="61" state="hidden" r:id="rId89"/>
    <sheet name="TIỀN ĂN" sheetId="72" state="hidden" r:id="rId90"/>
    <sheet name="Thưởng tết dương lich" sheetId="84" state="hidden" r:id="rId91"/>
    <sheet name="Sheet1" sheetId="85" state="hidden" r:id="rId92"/>
  </sheets>
  <externalReferences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</externalReferences>
  <definedNames>
    <definedName name="_xlnm._FilterDatabase" localSheetId="14" hidden="1">'BẢNG LƯƠNG KT'!$A$17:$AB$92</definedName>
    <definedName name="_xlnm._FilterDatabase" localSheetId="12" hidden="1">Mủ!$AH$11:$AM$91</definedName>
    <definedName name="_xlnm._FilterDatabase" localSheetId="21" hidden="1">'Tạm tính BN'!$A$14:$T$33</definedName>
    <definedName name="_xlnm.Print_Area" localSheetId="29">'Bảng kê lương'!$A$1:$AG$50</definedName>
    <definedName name="_xlnm.Print_Area" localSheetId="14">'BẢNG LƯƠNG KT'!$A$3:$V$104</definedName>
    <definedName name="_xlnm.Print_Area" localSheetId="2">'BẢNG PHÂN TOÁN ĐÚNG'!$A$1:$K$42</definedName>
    <definedName name="_xlnm.Print_Area" localSheetId="44">'BẢO VỆ'!$A$1:$O$31</definedName>
    <definedName name="_xlnm.Print_Area" localSheetId="46">'Biểu t.h'!$A$1:$AN$75</definedName>
    <definedName name="_xlnm.Print_Area" localSheetId="41">'C.B NV'!$A$1:$P$29</definedName>
    <definedName name="_xlnm.Print_Area" localSheetId="48">'Công việc khác'!$A$1:$F$38</definedName>
    <definedName name="_xlnm.Print_Area" localSheetId="11">'Chấm công công nhân'!$A$1:$AY$111</definedName>
    <definedName name="_xlnm.Print_Area" localSheetId="27">KTCB!$A$1:$O$25</definedName>
    <definedName name="_xlnm.Print_Area" localSheetId="52">'Lương Tổng NT'!$A$1:$T$106</definedName>
    <definedName name="_xlnm.Print_Area" localSheetId="28">'Lương USD'!$A$1:$T$50</definedName>
    <definedName name="_xlnm.Print_Area" localSheetId="42">'VC KTCB'!$A$1:$Q$31</definedName>
    <definedName name="_xlnm.Print_Area" localSheetId="43">'VC TAI CANH'!$A$1:$Q$28</definedName>
    <definedName name="_xlnm.Print_Area" localSheetId="45">'VƯƠN ƯƠM'!$A$1:$Q$36</definedName>
    <definedName name="_xlnm.Print_Titles" localSheetId="57">' Công'!$7:$8</definedName>
    <definedName name="_xlnm.Print_Titles" localSheetId="17">'1'!$10:$13</definedName>
    <definedName name="_xlnm.Print_Titles" localSheetId="20">'3'!$12:$15</definedName>
    <definedName name="_xlnm.Print_Titles" localSheetId="14">'BẢNG LƯƠNG KT'!$11:$15</definedName>
    <definedName name="_xlnm.Print_Titles" localSheetId="0">'BẢNG PHÂN TOÁN'!$11:$11</definedName>
    <definedName name="_xlnm.Print_Titles" localSheetId="2">'BẢNG PHÂN TOÁN ĐÚNG'!$11:$11</definedName>
    <definedName name="_xlnm.Print_Titles" localSheetId="51">BC!$7:$8</definedName>
    <definedName name="_xlnm.Print_Titles" localSheetId="46">'Biểu t.h'!$7:$8</definedName>
    <definedName name="_xlnm.Print_Titles" localSheetId="48">'Công việc khác'!$6:$9</definedName>
    <definedName name="_xlnm.Print_Titles" localSheetId="11">'Chấm công công nhân'!$9:$10</definedName>
    <definedName name="_xlnm.Print_Titles" localSheetId="40">'Kỷ thuật'!$9:$9</definedName>
    <definedName name="_xlnm.Print_Titles" localSheetId="82">'Kỹ thuật 1 (ngữa)'!$7:$11</definedName>
    <definedName name="_xlnm.Print_Titles" localSheetId="84">'Kỹ thuật 1 (úp)'!$7:$11</definedName>
    <definedName name="_xlnm.Print_Titles" localSheetId="85">'kỹ thuật 2'!$7:$11</definedName>
    <definedName name="_xlnm.Print_Titles" localSheetId="86">'kỹ thuật 3'!$7:$11</definedName>
    <definedName name="_xlnm.Print_Titles" localSheetId="24">'Lương gia thuộc'!$10:$11</definedName>
    <definedName name="_xlnm.Print_Titles" localSheetId="52">'Lương Tổng NT'!$9:$11</definedName>
    <definedName name="_xlnm.Print_Titles" localSheetId="19">'LƯƠNG TT'!$10:$11</definedName>
    <definedName name="_xlnm.Print_Titles" localSheetId="58">mẩu!$6:$10</definedName>
    <definedName name="_xlnm.Print_Titles" localSheetId="12">Mủ!$10:$11</definedName>
    <definedName name="_xlnm.Print_Titles" localSheetId="13">'Tong hop cong'!$10:$12</definedName>
    <definedName name="_xlnm.Print_Titles" localSheetId="6">'Tổ 1'!$12:$13</definedName>
    <definedName name="_xlnm.Print_Titles" localSheetId="7">'Tổ 2'!$12:$14</definedName>
    <definedName name="_xlnm.Print_Titles" localSheetId="8">'Tổ 3'!$12:$13</definedName>
    <definedName name="_xlnm.Print_Titles" localSheetId="90">'Thưởng tết dương lich'!$11:$13</definedName>
    <definedName name="_xlnm.Print_Titles" localSheetId="45">'VƯƠN ƯƠM'!$6:$10</definedName>
    <definedName name="So_XN">[1]PHATSINH!$B$6:$B$2093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2" i="125" l="1"/>
  <c r="I341" i="125"/>
  <c r="H341" i="125"/>
  <c r="F14" i="151" l="1"/>
  <c r="J14" i="151" s="1"/>
  <c r="P15" i="151"/>
  <c r="O15" i="151"/>
  <c r="N15" i="151"/>
  <c r="L15" i="151"/>
  <c r="K15" i="151"/>
  <c r="M14" i="151"/>
  <c r="Q14" i="151" s="1"/>
  <c r="M13" i="151"/>
  <c r="Q13" i="151" s="1"/>
  <c r="M12" i="151"/>
  <c r="Q12" i="151" s="1"/>
  <c r="M11" i="151"/>
  <c r="M15" i="151" s="1"/>
  <c r="AT16" i="115"/>
  <c r="AT17" i="115"/>
  <c r="AT18" i="115"/>
  <c r="AT20" i="115"/>
  <c r="AT15" i="115"/>
  <c r="AR19" i="150"/>
  <c r="AQ19" i="150"/>
  <c r="AP19" i="150"/>
  <c r="AO19" i="150"/>
  <c r="AN19" i="150"/>
  <c r="AM19" i="150"/>
  <c r="AL19" i="150"/>
  <c r="AK19" i="150"/>
  <c r="AJ19" i="150"/>
  <c r="AA18" i="150"/>
  <c r="Z18" i="150"/>
  <c r="W18" i="150"/>
  <c r="V18" i="150"/>
  <c r="U18" i="150"/>
  <c r="T18" i="150"/>
  <c r="S18" i="150"/>
  <c r="R18" i="150"/>
  <c r="Q18" i="150"/>
  <c r="P18" i="150"/>
  <c r="O18" i="150"/>
  <c r="N18" i="150"/>
  <c r="K18" i="150"/>
  <c r="J18" i="150"/>
  <c r="I18" i="150"/>
  <c r="H18" i="150"/>
  <c r="G18" i="150"/>
  <c r="F18" i="150"/>
  <c r="AI17" i="150"/>
  <c r="AS17" i="150" s="1"/>
  <c r="J17" i="150"/>
  <c r="Y16" i="150"/>
  <c r="X16" i="150"/>
  <c r="S16" i="150"/>
  <c r="R16" i="150"/>
  <c r="Q16" i="150"/>
  <c r="P16" i="150"/>
  <c r="O16" i="150"/>
  <c r="N16" i="150"/>
  <c r="M16" i="150"/>
  <c r="L16" i="150"/>
  <c r="K16" i="150"/>
  <c r="J16" i="150"/>
  <c r="I16" i="150"/>
  <c r="G16" i="150"/>
  <c r="F16" i="150"/>
  <c r="E16" i="150"/>
  <c r="D16" i="150"/>
  <c r="Y15" i="150"/>
  <c r="W15" i="150"/>
  <c r="V15" i="150"/>
  <c r="U15" i="150"/>
  <c r="T15" i="150"/>
  <c r="S15" i="150"/>
  <c r="R15" i="150"/>
  <c r="Q15" i="150"/>
  <c r="P15" i="150"/>
  <c r="O15" i="150"/>
  <c r="N15" i="150"/>
  <c r="M15" i="150"/>
  <c r="J15" i="150"/>
  <c r="G15" i="150"/>
  <c r="F15" i="150"/>
  <c r="E15" i="150"/>
  <c r="D15" i="150"/>
  <c r="AG14" i="150"/>
  <c r="AE14" i="150"/>
  <c r="AD14" i="150"/>
  <c r="AC14" i="150"/>
  <c r="AB14" i="150"/>
  <c r="AA14" i="150"/>
  <c r="Z14" i="150"/>
  <c r="Y14" i="150"/>
  <c r="X14" i="150"/>
  <c r="W14" i="150"/>
  <c r="V14" i="150"/>
  <c r="U14" i="150"/>
  <c r="T14" i="150"/>
  <c r="S14" i="150"/>
  <c r="R14" i="150"/>
  <c r="Q14" i="150"/>
  <c r="P14" i="150"/>
  <c r="O14" i="150"/>
  <c r="N14" i="150"/>
  <c r="M14" i="150"/>
  <c r="L14" i="150"/>
  <c r="K14" i="150"/>
  <c r="J14" i="150"/>
  <c r="I14" i="150"/>
  <c r="H14" i="150"/>
  <c r="G14" i="150"/>
  <c r="F14" i="150"/>
  <c r="E14" i="150"/>
  <c r="D14" i="150"/>
  <c r="AH13" i="150"/>
  <c r="AH14" i="150" s="1"/>
  <c r="AF13" i="150"/>
  <c r="AF14" i="150" s="1"/>
  <c r="D11" i="150"/>
  <c r="D32" i="71"/>
  <c r="G32" i="71"/>
  <c r="K85" i="114"/>
  <c r="K91" i="114"/>
  <c r="K92" i="114"/>
  <c r="K93" i="114"/>
  <c r="K94" i="114"/>
  <c r="K95" i="114"/>
  <c r="K96" i="114"/>
  <c r="K97" i="114"/>
  <c r="K98" i="114"/>
  <c r="K90" i="114"/>
  <c r="D90" i="114"/>
  <c r="D91" i="114"/>
  <c r="D92" i="114"/>
  <c r="D93" i="114"/>
  <c r="D94" i="114"/>
  <c r="D95" i="114"/>
  <c r="D96" i="114"/>
  <c r="D97" i="114"/>
  <c r="D98" i="114"/>
  <c r="M18" i="100"/>
  <c r="M19" i="100"/>
  <c r="M20" i="100"/>
  <c r="M21" i="100"/>
  <c r="M22" i="100"/>
  <c r="M23" i="100"/>
  <c r="M24" i="100"/>
  <c r="M25" i="100"/>
  <c r="M17" i="100"/>
  <c r="J18" i="100"/>
  <c r="J19" i="100"/>
  <c r="J20" i="100"/>
  <c r="J21" i="100"/>
  <c r="J22" i="100"/>
  <c r="J23" i="100"/>
  <c r="J24" i="100"/>
  <c r="J25" i="100"/>
  <c r="J17" i="100"/>
  <c r="X23" i="100"/>
  <c r="AT17" i="150" l="1"/>
  <c r="F13" i="151" s="1"/>
  <c r="J13" i="151" s="1"/>
  <c r="Q11" i="151"/>
  <c r="Q15" i="151" s="1"/>
  <c r="AI15" i="150"/>
  <c r="AS15" i="150" s="1"/>
  <c r="AI18" i="150"/>
  <c r="AS18" i="150" s="1"/>
  <c r="AI16" i="150"/>
  <c r="AS16" i="150" s="1"/>
  <c r="AT15" i="150" l="1"/>
  <c r="F11" i="151" s="1"/>
  <c r="AI19" i="150"/>
  <c r="AT18" i="150"/>
  <c r="AT16" i="150"/>
  <c r="F12" i="151" s="1"/>
  <c r="J12" i="151" s="1"/>
  <c r="F15" i="151" l="1"/>
  <c r="J11" i="151"/>
  <c r="J15" i="151" s="1"/>
  <c r="G16" i="142" s="1"/>
  <c r="G17" i="142" s="1"/>
  <c r="AT19" i="150"/>
  <c r="AS19" i="150"/>
  <c r="X20" i="100" l="1"/>
  <c r="K26" i="100"/>
  <c r="L26" i="100"/>
  <c r="M26" i="100"/>
  <c r="N26" i="100"/>
  <c r="O26" i="100"/>
  <c r="Q26" i="100"/>
  <c r="S26" i="100"/>
  <c r="T26" i="100"/>
  <c r="J26" i="100"/>
  <c r="U25" i="100"/>
  <c r="R25" i="100"/>
  <c r="P17" i="100"/>
  <c r="P18" i="100"/>
  <c r="U18" i="100" s="1"/>
  <c r="P19" i="100"/>
  <c r="U19" i="100" s="1"/>
  <c r="P20" i="100"/>
  <c r="U20" i="100" s="1"/>
  <c r="P21" i="100"/>
  <c r="U21" i="100" s="1"/>
  <c r="P22" i="100"/>
  <c r="U22" i="100" s="1"/>
  <c r="P23" i="100"/>
  <c r="U23" i="100" s="1"/>
  <c r="P24" i="100"/>
  <c r="U24" i="100" s="1"/>
  <c r="P25" i="100"/>
  <c r="G26" i="100"/>
  <c r="G17" i="100"/>
  <c r="G18" i="100"/>
  <c r="G19" i="100"/>
  <c r="G20" i="100"/>
  <c r="G21" i="100"/>
  <c r="G22" i="100"/>
  <c r="G23" i="100"/>
  <c r="G24" i="100"/>
  <c r="G25" i="100"/>
  <c r="C16" i="100"/>
  <c r="C17" i="100"/>
  <c r="C18" i="100"/>
  <c r="C19" i="100"/>
  <c r="C20" i="100"/>
  <c r="C21" i="100"/>
  <c r="C22" i="100"/>
  <c r="C23" i="100"/>
  <c r="C24" i="100"/>
  <c r="C25" i="100"/>
  <c r="AI25" i="94"/>
  <c r="E25" i="94"/>
  <c r="F25" i="94"/>
  <c r="G25" i="94"/>
  <c r="H25" i="94"/>
  <c r="I25" i="94"/>
  <c r="J25" i="94"/>
  <c r="K25" i="94"/>
  <c r="L25" i="94"/>
  <c r="M25" i="94"/>
  <c r="N25" i="94"/>
  <c r="O25" i="94"/>
  <c r="P25" i="94"/>
  <c r="Q25" i="94"/>
  <c r="R25" i="94"/>
  <c r="S25" i="94"/>
  <c r="T25" i="94"/>
  <c r="U25" i="94"/>
  <c r="V25" i="94"/>
  <c r="W25" i="94"/>
  <c r="X25" i="94"/>
  <c r="Y25" i="94"/>
  <c r="Z25" i="94"/>
  <c r="AA25" i="94"/>
  <c r="AB25" i="94"/>
  <c r="AC25" i="94"/>
  <c r="AD25" i="94"/>
  <c r="AE25" i="94"/>
  <c r="AF25" i="94"/>
  <c r="AG25" i="94"/>
  <c r="AH25" i="94"/>
  <c r="D25" i="94"/>
  <c r="AI16" i="94"/>
  <c r="AI17" i="94"/>
  <c r="AI18" i="94"/>
  <c r="AI19" i="94"/>
  <c r="AI20" i="94"/>
  <c r="AI21" i="94"/>
  <c r="AI22" i="94"/>
  <c r="AI23" i="94"/>
  <c r="AI24" i="94"/>
  <c r="O17" i="110"/>
  <c r="P17" i="110" s="1"/>
  <c r="O18" i="110"/>
  <c r="P18" i="110" s="1"/>
  <c r="O19" i="110"/>
  <c r="P19" i="110" s="1"/>
  <c r="O20" i="110"/>
  <c r="P20" i="110" s="1"/>
  <c r="O21" i="110"/>
  <c r="P21" i="110" s="1"/>
  <c r="O22" i="110"/>
  <c r="P22" i="110" s="1"/>
  <c r="O23" i="110"/>
  <c r="P23" i="110" s="1"/>
  <c r="O24" i="110"/>
  <c r="P24" i="110" s="1"/>
  <c r="O25" i="110"/>
  <c r="P25" i="110" s="1"/>
  <c r="O26" i="110"/>
  <c r="P26" i="110" s="1"/>
  <c r="O27" i="110"/>
  <c r="P27" i="110" s="1"/>
  <c r="O28" i="110"/>
  <c r="P28" i="110" s="1"/>
  <c r="O29" i="110"/>
  <c r="P29" i="110" s="1"/>
  <c r="O30" i="110"/>
  <c r="P30" i="110" s="1"/>
  <c r="O31" i="110"/>
  <c r="P31" i="110" s="1"/>
  <c r="O16" i="110"/>
  <c r="P16" i="110" s="1"/>
  <c r="S21" i="146"/>
  <c r="S25" i="146"/>
  <c r="S29" i="146"/>
  <c r="S33" i="146"/>
  <c r="R21" i="146"/>
  <c r="R22" i="146"/>
  <c r="S22" i="146" s="1"/>
  <c r="R23" i="146"/>
  <c r="S23" i="146" s="1"/>
  <c r="R24" i="146"/>
  <c r="S24" i="146" s="1"/>
  <c r="R25" i="146"/>
  <c r="R26" i="146"/>
  <c r="S26" i="146" s="1"/>
  <c r="R27" i="146"/>
  <c r="S27" i="146" s="1"/>
  <c r="R28" i="146"/>
  <c r="S28" i="146" s="1"/>
  <c r="R29" i="146"/>
  <c r="R30" i="146"/>
  <c r="S30" i="146" s="1"/>
  <c r="R31" i="146"/>
  <c r="S31" i="146" s="1"/>
  <c r="R32" i="146"/>
  <c r="S32" i="146" s="1"/>
  <c r="R33" i="146"/>
  <c r="R20" i="146"/>
  <c r="S20" i="146" s="1"/>
  <c r="R19" i="146"/>
  <c r="S19" i="146" s="1"/>
  <c r="W10" i="108"/>
  <c r="R15" i="108"/>
  <c r="S15" i="108" s="1"/>
  <c r="R16" i="108"/>
  <c r="S16" i="108" s="1"/>
  <c r="R17" i="108"/>
  <c r="S17" i="108" s="1"/>
  <c r="R18" i="108"/>
  <c r="S18" i="108" s="1"/>
  <c r="R19" i="108"/>
  <c r="S19" i="108" s="1"/>
  <c r="R20" i="108"/>
  <c r="S20" i="108" s="1"/>
  <c r="R21" i="108"/>
  <c r="S21" i="108" s="1"/>
  <c r="R22" i="108"/>
  <c r="S22" i="108" s="1"/>
  <c r="R23" i="108"/>
  <c r="S23" i="108" s="1"/>
  <c r="R24" i="108"/>
  <c r="S24" i="108" s="1"/>
  <c r="R25" i="108"/>
  <c r="S25" i="108" s="1"/>
  <c r="R26" i="108"/>
  <c r="S26" i="108" s="1"/>
  <c r="R27" i="108"/>
  <c r="S27" i="108" s="1"/>
  <c r="R28" i="108"/>
  <c r="S28" i="108" s="1"/>
  <c r="R29" i="108"/>
  <c r="S29" i="108" s="1"/>
  <c r="R30" i="108"/>
  <c r="S30" i="108" s="1"/>
  <c r="R31" i="108"/>
  <c r="S31" i="108" s="1"/>
  <c r="R32" i="108"/>
  <c r="S32" i="108" s="1"/>
  <c r="R33" i="108"/>
  <c r="S33" i="108" s="1"/>
  <c r="R34" i="108"/>
  <c r="S34" i="108" s="1"/>
  <c r="R35" i="108"/>
  <c r="S35" i="108" s="1"/>
  <c r="R36" i="108"/>
  <c r="S36" i="108" s="1"/>
  <c r="R37" i="108"/>
  <c r="S37" i="108" s="1"/>
  <c r="R38" i="108"/>
  <c r="S38" i="108" s="1"/>
  <c r="R39" i="108"/>
  <c r="S39" i="108" s="1"/>
  <c r="R40" i="108"/>
  <c r="S40" i="108" s="1"/>
  <c r="R41" i="108"/>
  <c r="S41" i="108" s="1"/>
  <c r="R42" i="108"/>
  <c r="S42" i="108" s="1"/>
  <c r="R43" i="108"/>
  <c r="S43" i="108" s="1"/>
  <c r="R44" i="108"/>
  <c r="S44" i="108" s="1"/>
  <c r="R45" i="108"/>
  <c r="S45" i="108" s="1"/>
  <c r="R46" i="108"/>
  <c r="S46" i="108" s="1"/>
  <c r="R47" i="108"/>
  <c r="S47" i="108" s="1"/>
  <c r="R48" i="108"/>
  <c r="S48" i="108" s="1"/>
  <c r="R49" i="108"/>
  <c r="S49" i="108" s="1"/>
  <c r="R14" i="108"/>
  <c r="S14" i="108" s="1"/>
  <c r="R21" i="100" l="1"/>
  <c r="U17" i="100"/>
  <c r="P26" i="100"/>
  <c r="R24" i="100"/>
  <c r="R20" i="100"/>
  <c r="R23" i="100"/>
  <c r="R19" i="100"/>
  <c r="U26" i="100"/>
  <c r="R22" i="100"/>
  <c r="R18" i="100"/>
  <c r="R17" i="100"/>
  <c r="S78" i="3"/>
  <c r="S79" i="3"/>
  <c r="S80" i="3"/>
  <c r="S81" i="3"/>
  <c r="S82" i="3"/>
  <c r="S83" i="3"/>
  <c r="S84" i="3"/>
  <c r="S85" i="3"/>
  <c r="S86" i="3"/>
  <c r="S87" i="3"/>
  <c r="S74" i="3"/>
  <c r="S75" i="3"/>
  <c r="S76" i="3"/>
  <c r="S77" i="3"/>
  <c r="S73" i="3"/>
  <c r="S72" i="3"/>
  <c r="Q71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72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55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17" i="3"/>
  <c r="T16" i="3"/>
  <c r="T54" i="3"/>
  <c r="T71" i="3"/>
  <c r="T89" i="3" l="1"/>
  <c r="R26" i="100"/>
  <c r="K31" i="110" l="1"/>
  <c r="J31" i="110"/>
  <c r="N31" i="110"/>
  <c r="M31" i="110"/>
  <c r="W83" i="57"/>
  <c r="V83" i="57"/>
  <c r="V82" i="57"/>
  <c r="U83" i="57"/>
  <c r="L12" i="78" l="1"/>
  <c r="F13" i="78"/>
  <c r="M65" i="58"/>
  <c r="M66" i="58"/>
  <c r="M67" i="58"/>
  <c r="M68" i="58"/>
  <c r="M69" i="58"/>
  <c r="M70" i="58"/>
  <c r="M71" i="58"/>
  <c r="M72" i="58"/>
  <c r="M73" i="58"/>
  <c r="M74" i="58"/>
  <c r="M75" i="58"/>
  <c r="M76" i="58"/>
  <c r="M77" i="58"/>
  <c r="M78" i="58"/>
  <c r="M79" i="58"/>
  <c r="M64" i="58"/>
  <c r="M49" i="58"/>
  <c r="M50" i="58"/>
  <c r="M51" i="58"/>
  <c r="M52" i="58"/>
  <c r="M53" i="58"/>
  <c r="M54" i="58"/>
  <c r="M55" i="58"/>
  <c r="M56" i="58"/>
  <c r="M57" i="58"/>
  <c r="M58" i="58"/>
  <c r="M59" i="58"/>
  <c r="M60" i="58"/>
  <c r="M61" i="58"/>
  <c r="M62" i="58"/>
  <c r="M48" i="58"/>
  <c r="M12" i="58"/>
  <c r="M13" i="58"/>
  <c r="M14" i="58"/>
  <c r="M15" i="58"/>
  <c r="M16" i="58"/>
  <c r="M17" i="58"/>
  <c r="M18" i="58"/>
  <c r="M19" i="58"/>
  <c r="M20" i="58"/>
  <c r="M21" i="58"/>
  <c r="M22" i="58"/>
  <c r="M23" i="58"/>
  <c r="M24" i="58"/>
  <c r="M25" i="58"/>
  <c r="M26" i="58"/>
  <c r="M27" i="58"/>
  <c r="M28" i="58"/>
  <c r="M29" i="58"/>
  <c r="M30" i="58"/>
  <c r="M31" i="58"/>
  <c r="M32" i="58"/>
  <c r="M33" i="58"/>
  <c r="M34" i="58"/>
  <c r="M35" i="58"/>
  <c r="M36" i="58"/>
  <c r="M37" i="58"/>
  <c r="M38" i="58"/>
  <c r="M39" i="58"/>
  <c r="M40" i="58"/>
  <c r="M41" i="58"/>
  <c r="M42" i="58"/>
  <c r="M43" i="58"/>
  <c r="M44" i="58"/>
  <c r="M45" i="58"/>
  <c r="M46" i="58"/>
  <c r="M11" i="58"/>
  <c r="J65" i="58"/>
  <c r="J66" i="58"/>
  <c r="J67" i="58"/>
  <c r="J68" i="58"/>
  <c r="J69" i="58"/>
  <c r="J70" i="58"/>
  <c r="J71" i="58"/>
  <c r="J72" i="58"/>
  <c r="J73" i="58"/>
  <c r="J74" i="58"/>
  <c r="J75" i="58"/>
  <c r="J76" i="58"/>
  <c r="J77" i="58"/>
  <c r="J78" i="58"/>
  <c r="J79" i="58"/>
  <c r="J64" i="58"/>
  <c r="J49" i="58"/>
  <c r="J50" i="58"/>
  <c r="J51" i="58"/>
  <c r="J52" i="58"/>
  <c r="J53" i="58"/>
  <c r="J54" i="58"/>
  <c r="J55" i="58"/>
  <c r="J56" i="58"/>
  <c r="J57" i="58"/>
  <c r="J58" i="58"/>
  <c r="J59" i="58"/>
  <c r="J60" i="58"/>
  <c r="J61" i="58"/>
  <c r="J62" i="58"/>
  <c r="J48" i="58"/>
  <c r="J12" i="58"/>
  <c r="J13" i="58"/>
  <c r="J14" i="58"/>
  <c r="J15" i="58"/>
  <c r="J16" i="58"/>
  <c r="J17" i="58"/>
  <c r="J18" i="58"/>
  <c r="J19" i="58"/>
  <c r="J20" i="58"/>
  <c r="J21" i="58"/>
  <c r="J22" i="58"/>
  <c r="J23" i="58"/>
  <c r="J24" i="58"/>
  <c r="J25" i="58"/>
  <c r="J26" i="58"/>
  <c r="J27" i="58"/>
  <c r="J28" i="58"/>
  <c r="J29" i="58"/>
  <c r="J30" i="58"/>
  <c r="J31" i="58"/>
  <c r="J32" i="58"/>
  <c r="J33" i="58"/>
  <c r="J34" i="58"/>
  <c r="J35" i="58"/>
  <c r="J36" i="58"/>
  <c r="J37" i="58"/>
  <c r="J38" i="58"/>
  <c r="J39" i="58"/>
  <c r="J40" i="58"/>
  <c r="J41" i="58"/>
  <c r="J42" i="58"/>
  <c r="J43" i="58"/>
  <c r="J44" i="58"/>
  <c r="J45" i="58"/>
  <c r="J46" i="58"/>
  <c r="J11" i="58"/>
  <c r="L79" i="58"/>
  <c r="E82" i="58" l="1"/>
  <c r="O53" i="139" l="1"/>
  <c r="O52" i="139"/>
  <c r="O51" i="139"/>
  <c r="F50" i="139"/>
  <c r="M50" i="139" s="1"/>
  <c r="O50" i="139" s="1"/>
  <c r="D50" i="139"/>
  <c r="O49" i="139"/>
  <c r="M48" i="139"/>
  <c r="O48" i="139" s="1"/>
  <c r="H46" i="139"/>
  <c r="F46" i="139"/>
  <c r="D46" i="139"/>
  <c r="O46" i="139" s="1"/>
  <c r="L45" i="139"/>
  <c r="M45" i="139" s="1"/>
  <c r="O45" i="139" s="1"/>
  <c r="J45" i="139"/>
  <c r="H45" i="139"/>
  <c r="F45" i="139"/>
  <c r="D45" i="139"/>
  <c r="O42" i="139"/>
  <c r="O41" i="139" s="1"/>
  <c r="O40" i="139" s="1"/>
  <c r="M42" i="139"/>
  <c r="F39" i="139"/>
  <c r="M39" i="139" s="1"/>
  <c r="O39" i="139" s="1"/>
  <c r="D39" i="139"/>
  <c r="O36" i="139"/>
  <c r="O35" i="139" s="1"/>
  <c r="O34" i="139" s="1"/>
  <c r="M36" i="139"/>
  <c r="F33" i="139"/>
  <c r="M33" i="139" s="1"/>
  <c r="D33" i="139"/>
  <c r="O32" i="139"/>
  <c r="M31" i="139"/>
  <c r="O31" i="139" s="1"/>
  <c r="M27" i="139"/>
  <c r="O27" i="139" s="1"/>
  <c r="O26" i="139" s="1"/>
  <c r="O25" i="139"/>
  <c r="T24" i="139"/>
  <c r="S24" i="139"/>
  <c r="M24" i="139"/>
  <c r="S26" i="139" s="1"/>
  <c r="T23" i="139"/>
  <c r="S23" i="139"/>
  <c r="O15" i="139"/>
  <c r="O28" i="137"/>
  <c r="O27" i="137" s="1"/>
  <c r="O26" i="137"/>
  <c r="T25" i="137"/>
  <c r="O25" i="137"/>
  <c r="O24" i="137"/>
  <c r="AK86" i="57"/>
  <c r="AH86" i="57"/>
  <c r="O47" i="139" l="1"/>
  <c r="T26" i="139"/>
  <c r="O33" i="139"/>
  <c r="T27" i="139" s="1"/>
  <c r="O30" i="139"/>
  <c r="O24" i="139"/>
  <c r="S27" i="139" l="1"/>
  <c r="O23" i="139"/>
  <c r="O22" i="139" s="1"/>
  <c r="O21" i="139" s="1"/>
  <c r="O11" i="139" s="1"/>
  <c r="O54" i="139" l="1"/>
  <c r="R30" i="139"/>
  <c r="P88" i="80" l="1"/>
  <c r="J88" i="80"/>
  <c r="D88" i="80"/>
  <c r="D87" i="80"/>
  <c r="AP86" i="80"/>
  <c r="D86" i="80"/>
  <c r="D85" i="80"/>
  <c r="D89" i="80" s="1"/>
  <c r="AI81" i="80"/>
  <c r="AJ81" i="80" s="1"/>
  <c r="AJ80" i="80"/>
  <c r="AM80" i="80" s="1"/>
  <c r="AI80" i="80"/>
  <c r="AI79" i="80"/>
  <c r="AJ79" i="80" s="1"/>
  <c r="AM79" i="80" s="1"/>
  <c r="AI78" i="80"/>
  <c r="AJ78" i="80" s="1"/>
  <c r="AM78" i="80" s="1"/>
  <c r="AI77" i="80"/>
  <c r="AJ77" i="80" s="1"/>
  <c r="AM77" i="80" s="1"/>
  <c r="AJ76" i="80"/>
  <c r="AM76" i="80" s="1"/>
  <c r="AI76" i="80"/>
  <c r="AI75" i="80"/>
  <c r="AJ75" i="80" s="1"/>
  <c r="AM75" i="80" s="1"/>
  <c r="AI74" i="80"/>
  <c r="AJ74" i="80" s="1"/>
  <c r="AM74" i="80" s="1"/>
  <c r="AI73" i="80"/>
  <c r="AJ73" i="80" s="1"/>
  <c r="AM73" i="80" s="1"/>
  <c r="AT72" i="80"/>
  <c r="AI72" i="80"/>
  <c r="AJ72" i="80" s="1"/>
  <c r="AM72" i="80" s="1"/>
  <c r="AT71" i="80"/>
  <c r="AI71" i="80"/>
  <c r="AJ71" i="80" s="1"/>
  <c r="AM71" i="80" s="1"/>
  <c r="AT70" i="80"/>
  <c r="AI70" i="80"/>
  <c r="AJ70" i="80" s="1"/>
  <c r="AM70" i="80" s="1"/>
  <c r="AT69" i="80"/>
  <c r="AI69" i="80"/>
  <c r="AJ69" i="80" s="1"/>
  <c r="AM69" i="80" s="1"/>
  <c r="AT68" i="80"/>
  <c r="AI68" i="80"/>
  <c r="AJ68" i="80" s="1"/>
  <c r="AM68" i="80" s="1"/>
  <c r="AT67" i="80"/>
  <c r="AI67" i="80"/>
  <c r="AJ67" i="80" s="1"/>
  <c r="AM67" i="80" s="1"/>
  <c r="AI66" i="80"/>
  <c r="AJ66" i="80" s="1"/>
  <c r="AH65" i="80"/>
  <c r="AG65" i="80"/>
  <c r="AF65" i="80"/>
  <c r="AE65" i="80"/>
  <c r="AD65" i="80"/>
  <c r="AC65" i="80"/>
  <c r="AB65" i="80"/>
  <c r="AA65" i="80"/>
  <c r="Z65" i="80"/>
  <c r="Y65" i="80"/>
  <c r="X65" i="80"/>
  <c r="W65" i="80"/>
  <c r="V65" i="80"/>
  <c r="U65" i="80"/>
  <c r="T65" i="80"/>
  <c r="S65" i="80"/>
  <c r="R65" i="80"/>
  <c r="Q65" i="80"/>
  <c r="P65" i="80"/>
  <c r="O65" i="80"/>
  <c r="N65" i="80"/>
  <c r="M65" i="80"/>
  <c r="L65" i="80"/>
  <c r="K65" i="80"/>
  <c r="J65" i="80"/>
  <c r="I65" i="80"/>
  <c r="H65" i="80"/>
  <c r="G65" i="80"/>
  <c r="F65" i="80"/>
  <c r="E65" i="80"/>
  <c r="D65" i="80"/>
  <c r="AI64" i="80"/>
  <c r="AJ64" i="80" s="1"/>
  <c r="AM64" i="80" s="1"/>
  <c r="C64" i="80"/>
  <c r="AI63" i="80"/>
  <c r="AJ63" i="80" s="1"/>
  <c r="AM63" i="80" s="1"/>
  <c r="C63" i="80"/>
  <c r="AI62" i="80"/>
  <c r="AJ62" i="80" s="1"/>
  <c r="AM62" i="80" s="1"/>
  <c r="C62" i="80"/>
  <c r="AJ61" i="80"/>
  <c r="AM61" i="80" s="1"/>
  <c r="AI61" i="80"/>
  <c r="C61" i="80"/>
  <c r="AO60" i="80"/>
  <c r="AM60" i="80"/>
  <c r="AJ60" i="80"/>
  <c r="AI60" i="80"/>
  <c r="C60" i="80"/>
  <c r="AM59" i="80"/>
  <c r="AJ59" i="80"/>
  <c r="AI59" i="80"/>
  <c r="C59" i="80"/>
  <c r="AP58" i="80"/>
  <c r="AO58" i="80"/>
  <c r="AP61" i="80" s="1"/>
  <c r="AI58" i="80"/>
  <c r="AJ58" i="80" s="1"/>
  <c r="AM58" i="80" s="1"/>
  <c r="C58" i="80"/>
  <c r="AI57" i="80"/>
  <c r="AJ57" i="80" s="1"/>
  <c r="AM57" i="80" s="1"/>
  <c r="C57" i="80"/>
  <c r="AI56" i="80"/>
  <c r="AJ56" i="80" s="1"/>
  <c r="AM56" i="80" s="1"/>
  <c r="C56" i="80"/>
  <c r="AI55" i="80"/>
  <c r="AJ55" i="80" s="1"/>
  <c r="AM55" i="80" s="1"/>
  <c r="C55" i="80"/>
  <c r="AI54" i="80"/>
  <c r="AJ54" i="80" s="1"/>
  <c r="AM54" i="80" s="1"/>
  <c r="C54" i="80"/>
  <c r="AI53" i="80"/>
  <c r="AJ53" i="80" s="1"/>
  <c r="AM53" i="80" s="1"/>
  <c r="C53" i="80"/>
  <c r="AI52" i="80"/>
  <c r="AJ52" i="80" s="1"/>
  <c r="AM52" i="80" s="1"/>
  <c r="C52" i="80"/>
  <c r="AI51" i="80"/>
  <c r="AJ51" i="80" s="1"/>
  <c r="AM51" i="80" s="1"/>
  <c r="C51" i="80"/>
  <c r="AI50" i="80"/>
  <c r="C50" i="80"/>
  <c r="AN49" i="80"/>
  <c r="AH49" i="80"/>
  <c r="AG49" i="80"/>
  <c r="AF49" i="80"/>
  <c r="AF82" i="80" s="1"/>
  <c r="AE49" i="80"/>
  <c r="AD49" i="80"/>
  <c r="AC49" i="80"/>
  <c r="AB49" i="80"/>
  <c r="AB82" i="80" s="1"/>
  <c r="AA49" i="80"/>
  <c r="Z49" i="80"/>
  <c r="Y49" i="80"/>
  <c r="X49" i="80"/>
  <c r="X82" i="80" s="1"/>
  <c r="W49" i="80"/>
  <c r="V49" i="80"/>
  <c r="U49" i="80"/>
  <c r="T49" i="80"/>
  <c r="T82" i="80" s="1"/>
  <c r="S49" i="80"/>
  <c r="R49" i="80"/>
  <c r="Q49" i="80"/>
  <c r="P49" i="80"/>
  <c r="P82" i="80" s="1"/>
  <c r="O49" i="80"/>
  <c r="N49" i="80"/>
  <c r="M49" i="80"/>
  <c r="L49" i="80"/>
  <c r="L82" i="80" s="1"/>
  <c r="K49" i="80"/>
  <c r="J49" i="80"/>
  <c r="I49" i="80"/>
  <c r="H49" i="80"/>
  <c r="H82" i="80" s="1"/>
  <c r="G49" i="80"/>
  <c r="F49" i="80"/>
  <c r="E49" i="80"/>
  <c r="D49" i="80"/>
  <c r="D82" i="80" s="1"/>
  <c r="AO48" i="80"/>
  <c r="AI48" i="80"/>
  <c r="AJ48" i="80" s="1"/>
  <c r="AM48" i="80" s="1"/>
  <c r="AO47" i="80"/>
  <c r="AI47" i="80"/>
  <c r="AJ47" i="80" s="1"/>
  <c r="AM47" i="80" s="1"/>
  <c r="AO46" i="80"/>
  <c r="AI46" i="80"/>
  <c r="AJ46" i="80" s="1"/>
  <c r="AM46" i="80" s="1"/>
  <c r="AO45" i="80"/>
  <c r="AI45" i="80"/>
  <c r="AJ45" i="80" s="1"/>
  <c r="AM45" i="80" s="1"/>
  <c r="AO44" i="80"/>
  <c r="AI44" i="80"/>
  <c r="AJ44" i="80" s="1"/>
  <c r="AM44" i="80" s="1"/>
  <c r="AO43" i="80"/>
  <c r="AI43" i="80"/>
  <c r="AJ43" i="80" s="1"/>
  <c r="AM43" i="80" s="1"/>
  <c r="AO42" i="80"/>
  <c r="AI42" i="80"/>
  <c r="AJ42" i="80" s="1"/>
  <c r="AM42" i="80" s="1"/>
  <c r="AO41" i="80"/>
  <c r="AI41" i="80"/>
  <c r="AJ41" i="80" s="1"/>
  <c r="AM41" i="80" s="1"/>
  <c r="AO40" i="80"/>
  <c r="AI40" i="80"/>
  <c r="AJ40" i="80" s="1"/>
  <c r="AM40" i="80" s="1"/>
  <c r="AO39" i="80"/>
  <c r="AI39" i="80"/>
  <c r="AJ39" i="80" s="1"/>
  <c r="AO38" i="80"/>
  <c r="AJ38" i="80"/>
  <c r="AI38" i="80"/>
  <c r="AO37" i="80"/>
  <c r="AJ37" i="80"/>
  <c r="AI37" i="80"/>
  <c r="AO36" i="80"/>
  <c r="AI36" i="80"/>
  <c r="AJ36" i="80" s="1"/>
  <c r="AO35" i="80"/>
  <c r="AI35" i="80"/>
  <c r="AJ35" i="80" s="1"/>
  <c r="AO34" i="80"/>
  <c r="AJ34" i="80"/>
  <c r="AI34" i="80"/>
  <c r="AO33" i="80"/>
  <c r="AJ33" i="80"/>
  <c r="AI33" i="80"/>
  <c r="AO32" i="80"/>
  <c r="AI32" i="80"/>
  <c r="AJ32" i="80" s="1"/>
  <c r="AO31" i="80"/>
  <c r="AI31" i="80"/>
  <c r="AJ31" i="80" s="1"/>
  <c r="AO30" i="80"/>
  <c r="AJ30" i="80"/>
  <c r="AI30" i="80"/>
  <c r="AO29" i="80"/>
  <c r="AJ29" i="80"/>
  <c r="AI29" i="80"/>
  <c r="AO28" i="80"/>
  <c r="AI28" i="80"/>
  <c r="AJ28" i="80" s="1"/>
  <c r="AO27" i="80"/>
  <c r="AI27" i="80"/>
  <c r="AJ27" i="80" s="1"/>
  <c r="AO26" i="80"/>
  <c r="AJ26" i="80"/>
  <c r="AI26" i="80"/>
  <c r="AO25" i="80"/>
  <c r="AJ25" i="80"/>
  <c r="AI25" i="80"/>
  <c r="AO24" i="80"/>
  <c r="AJ24" i="80"/>
  <c r="AM24" i="80" s="1"/>
  <c r="AI24" i="80"/>
  <c r="AO23" i="80"/>
  <c r="AJ23" i="80"/>
  <c r="AI23" i="80"/>
  <c r="AS22" i="80"/>
  <c r="AO22" i="80"/>
  <c r="AM22" i="80"/>
  <c r="AJ22" i="80"/>
  <c r="AI22" i="80"/>
  <c r="AO21" i="80"/>
  <c r="AM21" i="80"/>
  <c r="AJ21" i="80"/>
  <c r="AI21" i="80"/>
  <c r="AO20" i="80"/>
  <c r="AM20" i="80"/>
  <c r="AJ20" i="80"/>
  <c r="AI20" i="80"/>
  <c r="AO19" i="80"/>
  <c r="AM19" i="80"/>
  <c r="AJ19" i="80"/>
  <c r="AI19" i="80"/>
  <c r="AO18" i="80"/>
  <c r="AM18" i="80"/>
  <c r="AJ18" i="80"/>
  <c r="AI18" i="80"/>
  <c r="AO17" i="80"/>
  <c r="AM17" i="80"/>
  <c r="AJ17" i="80"/>
  <c r="AI17" i="80"/>
  <c r="AO16" i="80"/>
  <c r="AM16" i="80"/>
  <c r="AJ16" i="80"/>
  <c r="AI16" i="80"/>
  <c r="AO15" i="80"/>
  <c r="AM15" i="80"/>
  <c r="AJ15" i="80"/>
  <c r="AI15" i="80"/>
  <c r="AO14" i="80"/>
  <c r="AM14" i="80"/>
  <c r="AJ14" i="80"/>
  <c r="AI14" i="80"/>
  <c r="AO13" i="80"/>
  <c r="AO49" i="80" s="1"/>
  <c r="AM13" i="80"/>
  <c r="AJ13" i="80"/>
  <c r="AI13" i="80"/>
  <c r="AI12" i="80"/>
  <c r="AH12" i="80"/>
  <c r="AH82" i="80" s="1"/>
  <c r="AG12" i="80"/>
  <c r="AF12" i="80"/>
  <c r="AE12" i="80"/>
  <c r="AE82" i="80" s="1"/>
  <c r="AD12" i="80"/>
  <c r="AD82" i="80" s="1"/>
  <c r="AC12" i="80"/>
  <c r="AB12" i="80"/>
  <c r="AA12" i="80"/>
  <c r="AA82" i="80" s="1"/>
  <c r="Z12" i="80"/>
  <c r="Z82" i="80" s="1"/>
  <c r="Y12" i="80"/>
  <c r="X12" i="80"/>
  <c r="W12" i="80"/>
  <c r="W82" i="80" s="1"/>
  <c r="V12" i="80"/>
  <c r="V82" i="80" s="1"/>
  <c r="U12" i="80"/>
  <c r="T12" i="80"/>
  <c r="S12" i="80"/>
  <c r="S82" i="80" s="1"/>
  <c r="R12" i="80"/>
  <c r="R82" i="80" s="1"/>
  <c r="Q12" i="80"/>
  <c r="P12" i="80"/>
  <c r="O12" i="80"/>
  <c r="O82" i="80" s="1"/>
  <c r="N12" i="80"/>
  <c r="N82" i="80" s="1"/>
  <c r="M12" i="80"/>
  <c r="L12" i="80"/>
  <c r="K12" i="80"/>
  <c r="K82" i="80" s="1"/>
  <c r="J12" i="80"/>
  <c r="J82" i="80" s="1"/>
  <c r="I12" i="80"/>
  <c r="H12" i="80"/>
  <c r="G12" i="80"/>
  <c r="G82" i="80" s="1"/>
  <c r="F12" i="80"/>
  <c r="F82" i="80" s="1"/>
  <c r="E12" i="80"/>
  <c r="D12" i="80"/>
  <c r="A118" i="67"/>
  <c r="A83" i="67"/>
  <c r="AK82" i="67"/>
  <c r="AG82" i="67"/>
  <c r="AF82" i="67"/>
  <c r="AB82" i="67"/>
  <c r="U82" i="67"/>
  <c r="Q82" i="67"/>
  <c r="P82" i="67"/>
  <c r="A82" i="67"/>
  <c r="AU81" i="67"/>
  <c r="AT81" i="67"/>
  <c r="AS81" i="67"/>
  <c r="AR81" i="67"/>
  <c r="AV81" i="67" s="1"/>
  <c r="C81" i="67"/>
  <c r="A81" i="67"/>
  <c r="AU80" i="67"/>
  <c r="AT80" i="67"/>
  <c r="AS80" i="67"/>
  <c r="AR80" i="67"/>
  <c r="AV80" i="67" s="1"/>
  <c r="AV79" i="67"/>
  <c r="AT79" i="67"/>
  <c r="AS79" i="67"/>
  <c r="AR79" i="67"/>
  <c r="AU79" i="67" s="1"/>
  <c r="G79" i="67"/>
  <c r="D79" i="67"/>
  <c r="B79" i="67"/>
  <c r="A79" i="67"/>
  <c r="AT78" i="67"/>
  <c r="AS78" i="67"/>
  <c r="AU78" i="67" s="1"/>
  <c r="AR78" i="67"/>
  <c r="A78" i="67"/>
  <c r="AU77" i="67"/>
  <c r="AT77" i="67"/>
  <c r="AS77" i="67"/>
  <c r="AR77" i="67"/>
  <c r="AV77" i="67" s="1"/>
  <c r="A77" i="67"/>
  <c r="AT76" i="67"/>
  <c r="AS76" i="67"/>
  <c r="AU76" i="67" s="1"/>
  <c r="AR76" i="67"/>
  <c r="AV76" i="67" s="1"/>
  <c r="G76" i="67"/>
  <c r="H76" i="67" s="1"/>
  <c r="I76" i="67" s="1"/>
  <c r="E76" i="67"/>
  <c r="F76" i="67" s="1"/>
  <c r="D76" i="67"/>
  <c r="B76" i="67"/>
  <c r="A76" i="67"/>
  <c r="AT75" i="67"/>
  <c r="AS75" i="67"/>
  <c r="AR75" i="67"/>
  <c r="AU75" i="67" s="1"/>
  <c r="G75" i="67"/>
  <c r="D75" i="67"/>
  <c r="E75" i="67" s="1"/>
  <c r="F75" i="67" s="1"/>
  <c r="H75" i="67" s="1"/>
  <c r="B75" i="67"/>
  <c r="A75" i="67"/>
  <c r="AT74" i="67"/>
  <c r="AS74" i="67"/>
  <c r="AV74" i="67" s="1"/>
  <c r="AX74" i="67" s="1"/>
  <c r="AR74" i="67"/>
  <c r="G74" i="67"/>
  <c r="D74" i="67"/>
  <c r="B74" i="67"/>
  <c r="A74" i="67"/>
  <c r="AT73" i="67"/>
  <c r="AS73" i="67"/>
  <c r="AR73" i="67"/>
  <c r="AU73" i="67" s="1"/>
  <c r="G73" i="67"/>
  <c r="D73" i="67"/>
  <c r="E73" i="67" s="1"/>
  <c r="F73" i="67" s="1"/>
  <c r="H73" i="67" s="1"/>
  <c r="B73" i="67"/>
  <c r="A73" i="67"/>
  <c r="AT72" i="67"/>
  <c r="AS72" i="67"/>
  <c r="AV72" i="67" s="1"/>
  <c r="AX72" i="67" s="1"/>
  <c r="AR72" i="67"/>
  <c r="G72" i="67"/>
  <c r="D72" i="67"/>
  <c r="B72" i="67"/>
  <c r="A72" i="67"/>
  <c r="AT71" i="67"/>
  <c r="AS71" i="67"/>
  <c r="AR71" i="67"/>
  <c r="AU71" i="67" s="1"/>
  <c r="G71" i="67"/>
  <c r="F71" i="67"/>
  <c r="H71" i="67" s="1"/>
  <c r="D71" i="67"/>
  <c r="E71" i="67" s="1"/>
  <c r="B71" i="67"/>
  <c r="A71" i="67"/>
  <c r="AT70" i="67"/>
  <c r="AS70" i="67"/>
  <c r="AV70" i="67" s="1"/>
  <c r="AX70" i="67" s="1"/>
  <c r="AR70" i="67"/>
  <c r="G70" i="67"/>
  <c r="D70" i="67"/>
  <c r="B70" i="67"/>
  <c r="A70" i="67"/>
  <c r="AV69" i="67"/>
  <c r="AX69" i="67" s="1"/>
  <c r="AT69" i="67"/>
  <c r="AS69" i="67"/>
  <c r="AR69" i="67"/>
  <c r="AU69" i="67" s="1"/>
  <c r="G69" i="67"/>
  <c r="F69" i="67"/>
  <c r="H69" i="67" s="1"/>
  <c r="D69" i="67"/>
  <c r="E69" i="67" s="1"/>
  <c r="B69" i="67"/>
  <c r="A69" i="67"/>
  <c r="I69" i="67" s="1"/>
  <c r="AT68" i="67"/>
  <c r="AS68" i="67"/>
  <c r="AV68" i="67" s="1"/>
  <c r="AX68" i="67" s="1"/>
  <c r="AR68" i="67"/>
  <c r="G68" i="67"/>
  <c r="D68" i="67"/>
  <c r="B68" i="67"/>
  <c r="A68" i="67"/>
  <c r="AT67" i="67"/>
  <c r="AS67" i="67"/>
  <c r="AR67" i="67"/>
  <c r="AU67" i="67" s="1"/>
  <c r="G67" i="67"/>
  <c r="F67" i="67"/>
  <c r="H67" i="67" s="1"/>
  <c r="D67" i="67"/>
  <c r="E67" i="67" s="1"/>
  <c r="B67" i="67"/>
  <c r="A67" i="67"/>
  <c r="I67" i="67" s="1"/>
  <c r="AT66" i="67"/>
  <c r="AT65" i="67" s="1"/>
  <c r="AS66" i="67"/>
  <c r="AR66" i="67"/>
  <c r="G66" i="67"/>
  <c r="D66" i="67"/>
  <c r="B66" i="67"/>
  <c r="AQ65" i="67"/>
  <c r="AP65" i="67"/>
  <c r="AP82" i="67" s="1"/>
  <c r="AO65" i="67"/>
  <c r="AO82" i="67" s="1"/>
  <c r="AN65" i="67"/>
  <c r="AM65" i="67"/>
  <c r="AL65" i="67"/>
  <c r="AK65" i="67"/>
  <c r="AJ65" i="67"/>
  <c r="AI65" i="67"/>
  <c r="AH65" i="67"/>
  <c r="AG65" i="67"/>
  <c r="AF65" i="67"/>
  <c r="AE65" i="67"/>
  <c r="AD65" i="67"/>
  <c r="AC65" i="67"/>
  <c r="AB65" i="67"/>
  <c r="AA65" i="67"/>
  <c r="Z65" i="67"/>
  <c r="Z82" i="67" s="1"/>
  <c r="Y65" i="67"/>
  <c r="Y82" i="67" s="1"/>
  <c r="X65" i="67"/>
  <c r="W65" i="67"/>
  <c r="V65" i="67"/>
  <c r="U65" i="67"/>
  <c r="T65" i="67"/>
  <c r="S65" i="67"/>
  <c r="R65" i="67"/>
  <c r="Q65" i="67"/>
  <c r="P65" i="67"/>
  <c r="O65" i="67"/>
  <c r="N65" i="67"/>
  <c r="M65" i="67"/>
  <c r="G65" i="67"/>
  <c r="D65" i="67"/>
  <c r="B65" i="67"/>
  <c r="AU64" i="67"/>
  <c r="AT64" i="67"/>
  <c r="AS64" i="67"/>
  <c r="AR64" i="67"/>
  <c r="AU63" i="67"/>
  <c r="AT63" i="67"/>
  <c r="AS63" i="67"/>
  <c r="AR63" i="67"/>
  <c r="A63" i="67"/>
  <c r="AU62" i="67"/>
  <c r="AT62" i="67"/>
  <c r="AS62" i="67"/>
  <c r="AR62" i="67"/>
  <c r="I62" i="67"/>
  <c r="G62" i="67"/>
  <c r="E62" i="67"/>
  <c r="F62" i="67" s="1"/>
  <c r="H62" i="67" s="1"/>
  <c r="D62" i="67"/>
  <c r="B62" i="67"/>
  <c r="A62" i="67"/>
  <c r="AU61" i="67"/>
  <c r="AT61" i="67"/>
  <c r="AS61" i="67"/>
  <c r="AR61" i="67"/>
  <c r="G61" i="67"/>
  <c r="D61" i="67"/>
  <c r="B61" i="67"/>
  <c r="A61" i="67"/>
  <c r="AU60" i="67"/>
  <c r="AT60" i="67"/>
  <c r="AS60" i="67"/>
  <c r="AR60" i="67"/>
  <c r="AV60" i="67" s="1"/>
  <c r="AX60" i="67" s="1"/>
  <c r="G60" i="67"/>
  <c r="F60" i="67"/>
  <c r="H60" i="67" s="1"/>
  <c r="D60" i="67"/>
  <c r="E60" i="67" s="1"/>
  <c r="B60" i="67"/>
  <c r="A60" i="67"/>
  <c r="I60" i="67" s="1"/>
  <c r="AU59" i="67"/>
  <c r="AT59" i="67"/>
  <c r="AS59" i="67"/>
  <c r="AR59" i="67"/>
  <c r="AV59" i="67" s="1"/>
  <c r="AX59" i="67" s="1"/>
  <c r="G59" i="67"/>
  <c r="D59" i="67"/>
  <c r="B59" i="67"/>
  <c r="A59" i="67"/>
  <c r="AU58" i="67"/>
  <c r="AT58" i="67"/>
  <c r="AS58" i="67"/>
  <c r="AR58" i="67"/>
  <c r="AV58" i="67" s="1"/>
  <c r="AX58" i="67" s="1"/>
  <c r="G58" i="67"/>
  <c r="D58" i="67"/>
  <c r="E58" i="67" s="1"/>
  <c r="F58" i="67" s="1"/>
  <c r="H58" i="67" s="1"/>
  <c r="I58" i="67" s="1"/>
  <c r="B58" i="67"/>
  <c r="A58" i="67"/>
  <c r="AU57" i="67"/>
  <c r="AT57" i="67"/>
  <c r="AS57" i="67"/>
  <c r="AR57" i="67"/>
  <c r="AV57" i="67" s="1"/>
  <c r="AU56" i="67"/>
  <c r="AT56" i="67"/>
  <c r="AS56" i="67"/>
  <c r="AR56" i="67"/>
  <c r="AV56" i="67" s="1"/>
  <c r="AU55" i="67"/>
  <c r="AT55" i="67"/>
  <c r="AS55" i="67"/>
  <c r="AR55" i="67"/>
  <c r="AV55" i="67" s="1"/>
  <c r="AX55" i="67" s="1"/>
  <c r="G55" i="67"/>
  <c r="D55" i="67"/>
  <c r="E55" i="67" s="1"/>
  <c r="F55" i="67" s="1"/>
  <c r="H55" i="67" s="1"/>
  <c r="B55" i="67"/>
  <c r="A55" i="67"/>
  <c r="AU54" i="67"/>
  <c r="AT54" i="67"/>
  <c r="AS54" i="67"/>
  <c r="AR54" i="67"/>
  <c r="G54" i="67"/>
  <c r="D54" i="67"/>
  <c r="B54" i="67"/>
  <c r="A54" i="67"/>
  <c r="AU53" i="67"/>
  <c r="AT53" i="67"/>
  <c r="AS53" i="67"/>
  <c r="AR53" i="67"/>
  <c r="AV53" i="67" s="1"/>
  <c r="AX53" i="67" s="1"/>
  <c r="G53" i="67"/>
  <c r="D53" i="67"/>
  <c r="E53" i="67" s="1"/>
  <c r="F53" i="67" s="1"/>
  <c r="H53" i="67" s="1"/>
  <c r="I53" i="67" s="1"/>
  <c r="B53" i="67"/>
  <c r="A53" i="67"/>
  <c r="AU52" i="67"/>
  <c r="AT52" i="67"/>
  <c r="AS52" i="67"/>
  <c r="AR52" i="67"/>
  <c r="AV52" i="67" s="1"/>
  <c r="AX52" i="67" s="1"/>
  <c r="G52" i="67"/>
  <c r="D52" i="67"/>
  <c r="B52" i="67"/>
  <c r="A52" i="67"/>
  <c r="AU51" i="67"/>
  <c r="AT51" i="67"/>
  <c r="AS51" i="67"/>
  <c r="AR51" i="67"/>
  <c r="G51" i="67"/>
  <c r="D51" i="67"/>
  <c r="E51" i="67" s="1"/>
  <c r="F51" i="67" s="1"/>
  <c r="H51" i="67" s="1"/>
  <c r="I51" i="67" s="1"/>
  <c r="B51" i="67"/>
  <c r="A51" i="67"/>
  <c r="AU50" i="67"/>
  <c r="AT50" i="67"/>
  <c r="AS50" i="67"/>
  <c r="AR50" i="67"/>
  <c r="AR49" i="67" s="1"/>
  <c r="G50" i="67"/>
  <c r="H50" i="67" s="1"/>
  <c r="F50" i="67"/>
  <c r="D50" i="67"/>
  <c r="E50" i="67" s="1"/>
  <c r="B50" i="67"/>
  <c r="A50" i="67"/>
  <c r="AU49" i="67"/>
  <c r="AQ49" i="67"/>
  <c r="AP49" i="67"/>
  <c r="AO49" i="67"/>
  <c r="AN49" i="67"/>
  <c r="AN82" i="67" s="1"/>
  <c r="AM49" i="67"/>
  <c r="AL49" i="67"/>
  <c r="AK49" i="67"/>
  <c r="AJ49" i="67"/>
  <c r="AJ82" i="67" s="1"/>
  <c r="AI49" i="67"/>
  <c r="AH49" i="67"/>
  <c r="AG49" i="67"/>
  <c r="AF49" i="67"/>
  <c r="AE49" i="67"/>
  <c r="AD49" i="67"/>
  <c r="AC49" i="67"/>
  <c r="AB49" i="67"/>
  <c r="AA49" i="67"/>
  <c r="Z49" i="67"/>
  <c r="Y49" i="67"/>
  <c r="X49" i="67"/>
  <c r="X82" i="67" s="1"/>
  <c r="W49" i="67"/>
  <c r="V49" i="67"/>
  <c r="U49" i="67"/>
  <c r="T49" i="67"/>
  <c r="T82" i="67" s="1"/>
  <c r="S49" i="67"/>
  <c r="R49" i="67"/>
  <c r="Q49" i="67"/>
  <c r="P49" i="67"/>
  <c r="O49" i="67"/>
  <c r="N49" i="67"/>
  <c r="M49" i="67"/>
  <c r="B49" i="67"/>
  <c r="A49" i="67"/>
  <c r="AU48" i="67"/>
  <c r="AT48" i="67"/>
  <c r="AS48" i="67"/>
  <c r="AR48" i="67"/>
  <c r="AV48" i="67" s="1"/>
  <c r="AX48" i="67" s="1"/>
  <c r="G48" i="67"/>
  <c r="H48" i="67" s="1"/>
  <c r="I48" i="67" s="1"/>
  <c r="E48" i="67"/>
  <c r="F48" i="67" s="1"/>
  <c r="D48" i="67"/>
  <c r="B48" i="67"/>
  <c r="A48" i="67"/>
  <c r="AU47" i="67"/>
  <c r="AT47" i="67"/>
  <c r="AS47" i="67"/>
  <c r="AR47" i="67"/>
  <c r="G47" i="67"/>
  <c r="F47" i="67"/>
  <c r="D47" i="67"/>
  <c r="B47" i="67"/>
  <c r="E47" i="67" s="1"/>
  <c r="A47" i="67"/>
  <c r="AU46" i="67"/>
  <c r="AT46" i="67"/>
  <c r="AS46" i="67"/>
  <c r="AR46" i="67"/>
  <c r="G46" i="67"/>
  <c r="D46" i="67"/>
  <c r="B46" i="67"/>
  <c r="A46" i="67"/>
  <c r="AU45" i="67"/>
  <c r="AT45" i="67"/>
  <c r="AS45" i="67"/>
  <c r="AR45" i="67"/>
  <c r="AV45" i="67" s="1"/>
  <c r="AX45" i="67" s="1"/>
  <c r="G45" i="67"/>
  <c r="D45" i="67"/>
  <c r="B45" i="67"/>
  <c r="E45" i="67" s="1"/>
  <c r="F45" i="67" s="1"/>
  <c r="A45" i="67"/>
  <c r="AU44" i="67"/>
  <c r="AT44" i="67"/>
  <c r="AS44" i="67"/>
  <c r="AR44" i="67"/>
  <c r="H44" i="67"/>
  <c r="I44" i="67" s="1"/>
  <c r="G44" i="67"/>
  <c r="D44" i="67"/>
  <c r="E44" i="67" s="1"/>
  <c r="F44" i="67" s="1"/>
  <c r="B44" i="67"/>
  <c r="A44" i="67"/>
  <c r="AU43" i="67"/>
  <c r="AT43" i="67"/>
  <c r="AS43" i="67"/>
  <c r="AR43" i="67"/>
  <c r="AV43" i="67" s="1"/>
  <c r="AX43" i="67" s="1"/>
  <c r="G43" i="67"/>
  <c r="E43" i="67"/>
  <c r="F43" i="67" s="1"/>
  <c r="D43" i="67"/>
  <c r="B43" i="67"/>
  <c r="A43" i="67"/>
  <c r="AU42" i="67"/>
  <c r="AT42" i="67"/>
  <c r="AS42" i="67"/>
  <c r="AR42" i="67"/>
  <c r="G42" i="67"/>
  <c r="D42" i="67"/>
  <c r="E42" i="67" s="1"/>
  <c r="F42" i="67" s="1"/>
  <c r="B42" i="67"/>
  <c r="A42" i="67"/>
  <c r="BK41" i="67"/>
  <c r="AU41" i="67"/>
  <c r="AT41" i="67"/>
  <c r="AS41" i="67"/>
  <c r="AR41" i="67"/>
  <c r="G41" i="67"/>
  <c r="D41" i="67"/>
  <c r="B41" i="67"/>
  <c r="A41" i="67"/>
  <c r="AU40" i="67"/>
  <c r="AT40" i="67"/>
  <c r="AS40" i="67"/>
  <c r="AR40" i="67"/>
  <c r="AV40" i="67" s="1"/>
  <c r="AX40" i="67" s="1"/>
  <c r="G40" i="67"/>
  <c r="D40" i="67"/>
  <c r="E40" i="67" s="1"/>
  <c r="F40" i="67" s="1"/>
  <c r="H40" i="67" s="1"/>
  <c r="B40" i="67"/>
  <c r="A40" i="67"/>
  <c r="AU39" i="67"/>
  <c r="AT39" i="67"/>
  <c r="AS39" i="67"/>
  <c r="AR39" i="67"/>
  <c r="G39" i="67"/>
  <c r="D39" i="67"/>
  <c r="B39" i="67"/>
  <c r="A39" i="67"/>
  <c r="AU38" i="67"/>
  <c r="AT38" i="67"/>
  <c r="AS38" i="67"/>
  <c r="AR38" i="67"/>
  <c r="H38" i="67"/>
  <c r="I38" i="67" s="1"/>
  <c r="G38" i="67"/>
  <c r="D38" i="67"/>
  <c r="E38" i="67" s="1"/>
  <c r="F38" i="67" s="1"/>
  <c r="B38" i="67"/>
  <c r="A38" i="67"/>
  <c r="AU37" i="67"/>
  <c r="AT37" i="67"/>
  <c r="AS37" i="67"/>
  <c r="AR37" i="67"/>
  <c r="AV37" i="67" s="1"/>
  <c r="AX37" i="67" s="1"/>
  <c r="G37" i="67"/>
  <c r="D37" i="67"/>
  <c r="E37" i="67" s="1"/>
  <c r="F37" i="67" s="1"/>
  <c r="H37" i="67" s="1"/>
  <c r="B37" i="67"/>
  <c r="A37" i="67"/>
  <c r="AU36" i="67"/>
  <c r="AT36" i="67"/>
  <c r="AS36" i="67"/>
  <c r="AR36" i="67"/>
  <c r="G36" i="67"/>
  <c r="D36" i="67"/>
  <c r="E36" i="67" s="1"/>
  <c r="F36" i="67" s="1"/>
  <c r="H36" i="67" s="1"/>
  <c r="I36" i="67" s="1"/>
  <c r="B36" i="67"/>
  <c r="A36" i="67"/>
  <c r="AU35" i="67"/>
  <c r="AT35" i="67"/>
  <c r="AS35" i="67"/>
  <c r="AR35" i="67"/>
  <c r="AV35" i="67" s="1"/>
  <c r="AX35" i="67" s="1"/>
  <c r="G35" i="67"/>
  <c r="H35" i="67" s="1"/>
  <c r="F35" i="67"/>
  <c r="D35" i="67"/>
  <c r="E35" i="67" s="1"/>
  <c r="B35" i="67"/>
  <c r="A35" i="67"/>
  <c r="AU34" i="67"/>
  <c r="AT34" i="67"/>
  <c r="AS34" i="67"/>
  <c r="AR34" i="67"/>
  <c r="AV34" i="67" s="1"/>
  <c r="AX34" i="67" s="1"/>
  <c r="G34" i="67"/>
  <c r="F34" i="67"/>
  <c r="H34" i="67" s="1"/>
  <c r="E34" i="67"/>
  <c r="D34" i="67"/>
  <c r="B34" i="67"/>
  <c r="A34" i="67"/>
  <c r="I34" i="67" s="1"/>
  <c r="AU33" i="67"/>
  <c r="AT33" i="67"/>
  <c r="AS33" i="67"/>
  <c r="AR33" i="67"/>
  <c r="G33" i="67"/>
  <c r="D33" i="67"/>
  <c r="B33" i="67"/>
  <c r="A33" i="67"/>
  <c r="AU32" i="67"/>
  <c r="AT32" i="67"/>
  <c r="AS32" i="67"/>
  <c r="AR32" i="67"/>
  <c r="G32" i="67"/>
  <c r="D32" i="67"/>
  <c r="B32" i="67"/>
  <c r="A32" i="67"/>
  <c r="AU31" i="67"/>
  <c r="AT31" i="67"/>
  <c r="AS31" i="67"/>
  <c r="AR31" i="67"/>
  <c r="AV31" i="67" s="1"/>
  <c r="AX31" i="67" s="1"/>
  <c r="G31" i="67"/>
  <c r="F31" i="67"/>
  <c r="E31" i="67"/>
  <c r="D31" i="67"/>
  <c r="B31" i="67"/>
  <c r="A31" i="67"/>
  <c r="AU30" i="67"/>
  <c r="AT30" i="67"/>
  <c r="AS30" i="67"/>
  <c r="AR30" i="67"/>
  <c r="G30" i="67"/>
  <c r="H30" i="67" s="1"/>
  <c r="I30" i="67" s="1"/>
  <c r="D30" i="67"/>
  <c r="E30" i="67" s="1"/>
  <c r="F30" i="67" s="1"/>
  <c r="B30" i="67"/>
  <c r="A30" i="67"/>
  <c r="AU29" i="67"/>
  <c r="AT29" i="67"/>
  <c r="AS29" i="67"/>
  <c r="AR29" i="67"/>
  <c r="AV29" i="67" s="1"/>
  <c r="AX29" i="67" s="1"/>
  <c r="G29" i="67"/>
  <c r="E29" i="67"/>
  <c r="F29" i="67" s="1"/>
  <c r="D29" i="67"/>
  <c r="B29" i="67"/>
  <c r="A29" i="67"/>
  <c r="AU28" i="67"/>
  <c r="AT28" i="67"/>
  <c r="AS28" i="67"/>
  <c r="AR28" i="67"/>
  <c r="G28" i="67"/>
  <c r="D28" i="67"/>
  <c r="E28" i="67" s="1"/>
  <c r="B28" i="67"/>
  <c r="B81" i="67" s="1"/>
  <c r="A28" i="67"/>
  <c r="AU27" i="67"/>
  <c r="AT27" i="67"/>
  <c r="AS27" i="67"/>
  <c r="AR27" i="67"/>
  <c r="AV27" i="67" s="1"/>
  <c r="AU26" i="67"/>
  <c r="AT26" i="67"/>
  <c r="AS26" i="67"/>
  <c r="AR26" i="67"/>
  <c r="AV26" i="67" s="1"/>
  <c r="AU25" i="67"/>
  <c r="AT25" i="67"/>
  <c r="AS25" i="67"/>
  <c r="AR25" i="67"/>
  <c r="AV25" i="67" s="1"/>
  <c r="AU24" i="67"/>
  <c r="AT24" i="67"/>
  <c r="AS24" i="67"/>
  <c r="AR24" i="67"/>
  <c r="AU23" i="67"/>
  <c r="AT23" i="67"/>
  <c r="AS23" i="67"/>
  <c r="AR23" i="67"/>
  <c r="AU22" i="67"/>
  <c r="AT22" i="67"/>
  <c r="AS22" i="67"/>
  <c r="AR22" i="67"/>
  <c r="AV22" i="67" s="1"/>
  <c r="AU21" i="67"/>
  <c r="AT21" i="67"/>
  <c r="AS21" i="67"/>
  <c r="AR21" i="67"/>
  <c r="AV21" i="67" s="1"/>
  <c r="AU20" i="67"/>
  <c r="AT20" i="67"/>
  <c r="AS20" i="67"/>
  <c r="AR20" i="67"/>
  <c r="AV20" i="67" s="1"/>
  <c r="AU19" i="67"/>
  <c r="AT19" i="67"/>
  <c r="AS19" i="67"/>
  <c r="AR19" i="67"/>
  <c r="AV19" i="67" s="1"/>
  <c r="AU18" i="67"/>
  <c r="AT18" i="67"/>
  <c r="AS18" i="67"/>
  <c r="AR18" i="67"/>
  <c r="AV18" i="67" s="1"/>
  <c r="AU17" i="67"/>
  <c r="AT17" i="67"/>
  <c r="AS17" i="67"/>
  <c r="AR17" i="67"/>
  <c r="AV17" i="67" s="1"/>
  <c r="AU16" i="67"/>
  <c r="AT16" i="67"/>
  <c r="AS16" i="67"/>
  <c r="AR16" i="67"/>
  <c r="AU15" i="67"/>
  <c r="AT15" i="67"/>
  <c r="AT12" i="67" s="1"/>
  <c r="AS15" i="67"/>
  <c r="AR15" i="67"/>
  <c r="AU14" i="67"/>
  <c r="AU12" i="67" s="1"/>
  <c r="AT14" i="67"/>
  <c r="AS14" i="67"/>
  <c r="AR14" i="67"/>
  <c r="AV14" i="67" s="1"/>
  <c r="AU13" i="67"/>
  <c r="AT13" i="67"/>
  <c r="AS13" i="67"/>
  <c r="AR13" i="67"/>
  <c r="AR12" i="67" s="1"/>
  <c r="AQ12" i="67"/>
  <c r="AP12" i="67"/>
  <c r="AO12" i="67"/>
  <c r="AN12" i="67"/>
  <c r="AM12" i="67"/>
  <c r="AL12" i="67"/>
  <c r="AK12" i="67"/>
  <c r="AJ12" i="67"/>
  <c r="AI12" i="67"/>
  <c r="AH12" i="67"/>
  <c r="AG12" i="67"/>
  <c r="AF12" i="67"/>
  <c r="AE12" i="67"/>
  <c r="AD12" i="67"/>
  <c r="AC12" i="67"/>
  <c r="AC82" i="67" s="1"/>
  <c r="AB12" i="67"/>
  <c r="AA12" i="67"/>
  <c r="Z12" i="67"/>
  <c r="Y12" i="67"/>
  <c r="X12" i="67"/>
  <c r="W12" i="67"/>
  <c r="V12" i="67"/>
  <c r="U12" i="67"/>
  <c r="T12" i="67"/>
  <c r="S12" i="67"/>
  <c r="R12" i="67"/>
  <c r="Q12" i="67"/>
  <c r="P12" i="67"/>
  <c r="O12" i="67"/>
  <c r="N12" i="67"/>
  <c r="M12" i="67"/>
  <c r="M82" i="67" s="1"/>
  <c r="J85" i="80" l="1"/>
  <c r="J87" i="80"/>
  <c r="E82" i="80"/>
  <c r="I82" i="80"/>
  <c r="Q82" i="80"/>
  <c r="U82" i="80"/>
  <c r="Y82" i="80"/>
  <c r="AG82" i="80"/>
  <c r="P85" i="80"/>
  <c r="P87" i="80"/>
  <c r="AI49" i="80"/>
  <c r="AJ50" i="80"/>
  <c r="J86" i="80"/>
  <c r="M82" i="80"/>
  <c r="AC82" i="80"/>
  <c r="AM23" i="80"/>
  <c r="AJ12" i="80"/>
  <c r="AM66" i="80"/>
  <c r="AJ65" i="80"/>
  <c r="AT66" i="80"/>
  <c r="AI65" i="80"/>
  <c r="G81" i="67"/>
  <c r="H29" i="67"/>
  <c r="I29" i="67" s="1"/>
  <c r="AV30" i="67"/>
  <c r="AX30" i="67" s="1"/>
  <c r="AV33" i="67"/>
  <c r="AX33" i="67" s="1"/>
  <c r="H42" i="67"/>
  <c r="I42" i="67" s="1"/>
  <c r="AT49" i="67"/>
  <c r="AV61" i="67"/>
  <c r="AX61" i="67" s="1"/>
  <c r="AV63" i="67"/>
  <c r="AX63" i="67" s="1"/>
  <c r="AV67" i="67"/>
  <c r="AX67" i="67" s="1"/>
  <c r="H74" i="67"/>
  <c r="I74" i="67" s="1"/>
  <c r="I75" i="67"/>
  <c r="AV75" i="67"/>
  <c r="AV13" i="67"/>
  <c r="D81" i="67"/>
  <c r="AS12" i="67"/>
  <c r="AV28" i="67"/>
  <c r="AX28" i="67" s="1"/>
  <c r="H31" i="67"/>
  <c r="I31" i="67" s="1"/>
  <c r="AV32" i="67"/>
  <c r="AX32" i="67" s="1"/>
  <c r="AV38" i="67"/>
  <c r="AX38" i="67" s="1"/>
  <c r="AV41" i="67"/>
  <c r="AX41" i="67" s="1"/>
  <c r="AV42" i="67"/>
  <c r="AX42" i="67" s="1"/>
  <c r="H47" i="67"/>
  <c r="I47" i="67" s="1"/>
  <c r="AV50" i="67"/>
  <c r="AV51" i="67"/>
  <c r="AX51" i="67" s="1"/>
  <c r="N82" i="67"/>
  <c r="R82" i="67"/>
  <c r="V82" i="67"/>
  <c r="AD82" i="67"/>
  <c r="AH82" i="67"/>
  <c r="AL82" i="67"/>
  <c r="AV66" i="67"/>
  <c r="AS65" i="67"/>
  <c r="H70" i="67"/>
  <c r="I70" i="67" s="1"/>
  <c r="I71" i="67"/>
  <c r="AV71" i="67"/>
  <c r="AX71" i="67" s="1"/>
  <c r="H41" i="67"/>
  <c r="I41" i="67" s="1"/>
  <c r="AV15" i="67"/>
  <c r="AV16" i="67"/>
  <c r="AV23" i="67"/>
  <c r="AV24" i="67"/>
  <c r="F28" i="67"/>
  <c r="E81" i="67"/>
  <c r="E32" i="67"/>
  <c r="F32" i="67" s="1"/>
  <c r="H32" i="67" s="1"/>
  <c r="I32" i="67" s="1"/>
  <c r="AV36" i="67"/>
  <c r="AX36" i="67" s="1"/>
  <c r="AV39" i="67"/>
  <c r="AX39" i="67" s="1"/>
  <c r="I40" i="67"/>
  <c r="H45" i="67"/>
  <c r="I45" i="67" s="1"/>
  <c r="E46" i="67"/>
  <c r="F46" i="67" s="1"/>
  <c r="H46" i="67" s="1"/>
  <c r="I46" i="67" s="1"/>
  <c r="AV47" i="67"/>
  <c r="AX47" i="67" s="1"/>
  <c r="AS49" i="67"/>
  <c r="AV54" i="67"/>
  <c r="AX54" i="67" s="1"/>
  <c r="I55" i="67"/>
  <c r="H61" i="67"/>
  <c r="I61" i="67" s="1"/>
  <c r="AV62" i="67"/>
  <c r="AX62" i="67" s="1"/>
  <c r="AT82" i="67"/>
  <c r="I73" i="67"/>
  <c r="AV73" i="67"/>
  <c r="AX73" i="67" s="1"/>
  <c r="AV64" i="67"/>
  <c r="AX64" i="67" s="1"/>
  <c r="O82" i="67"/>
  <c r="S82" i="67"/>
  <c r="AA82" i="67"/>
  <c r="AI82" i="67"/>
  <c r="AM82" i="67"/>
  <c r="E39" i="67"/>
  <c r="F39" i="67" s="1"/>
  <c r="H39" i="67" s="1"/>
  <c r="I39" i="67" s="1"/>
  <c r="AV44" i="67"/>
  <c r="AX44" i="67" s="1"/>
  <c r="I50" i="67"/>
  <c r="E54" i="67"/>
  <c r="F54" i="67" s="1"/>
  <c r="H54" i="67" s="1"/>
  <c r="I54" i="67" s="1"/>
  <c r="E59" i="67"/>
  <c r="F59" i="67" s="1"/>
  <c r="H59" i="67" s="1"/>
  <c r="I59" i="67" s="1"/>
  <c r="E52" i="67"/>
  <c r="F52" i="67" s="1"/>
  <c r="H52" i="67" s="1"/>
  <c r="I52" i="67" s="1"/>
  <c r="W82" i="67"/>
  <c r="AE82" i="67"/>
  <c r="AQ82" i="67"/>
  <c r="E79" i="67"/>
  <c r="F79" i="67" s="1"/>
  <c r="H79" i="67" s="1"/>
  <c r="I35" i="67"/>
  <c r="E33" i="67"/>
  <c r="F33" i="67" s="1"/>
  <c r="H33" i="67" s="1"/>
  <c r="I33" i="67" s="1"/>
  <c r="I37" i="67"/>
  <c r="E41" i="67"/>
  <c r="F41" i="67" s="1"/>
  <c r="H43" i="67"/>
  <c r="I43" i="67" s="1"/>
  <c r="AV46" i="67"/>
  <c r="AX46" i="67" s="1"/>
  <c r="E61" i="67"/>
  <c r="F61" i="67" s="1"/>
  <c r="E65" i="67"/>
  <c r="F65" i="67" s="1"/>
  <c r="H65" i="67" s="1"/>
  <c r="I65" i="67" s="1"/>
  <c r="E66" i="67"/>
  <c r="F66" i="67" s="1"/>
  <c r="H66" i="67" s="1"/>
  <c r="I66" i="67" s="1"/>
  <c r="AU66" i="67"/>
  <c r="AR65" i="67"/>
  <c r="AR82" i="67" s="1"/>
  <c r="E68" i="67"/>
  <c r="F68" i="67" s="1"/>
  <c r="H68" i="67" s="1"/>
  <c r="I68" i="67" s="1"/>
  <c r="AU68" i="67"/>
  <c r="E70" i="67"/>
  <c r="F70" i="67" s="1"/>
  <c r="AU70" i="67"/>
  <c r="E72" i="67"/>
  <c r="F72" i="67" s="1"/>
  <c r="H72" i="67" s="1"/>
  <c r="I72" i="67" s="1"/>
  <c r="AU72" i="67"/>
  <c r="E74" i="67"/>
  <c r="F74" i="67" s="1"/>
  <c r="AU74" i="67"/>
  <c r="AV78" i="67"/>
  <c r="I79" i="67"/>
  <c r="J89" i="80" l="1"/>
  <c r="AM50" i="80"/>
  <c r="AJ49" i="80"/>
  <c r="AP65" i="80"/>
  <c r="AN66" i="80"/>
  <c r="AJ82" i="80"/>
  <c r="AI82" i="80"/>
  <c r="P86" i="80"/>
  <c r="P89" i="80" s="1"/>
  <c r="AU65" i="67"/>
  <c r="AU82" i="67" s="1"/>
  <c r="F81" i="67"/>
  <c r="H28" i="67"/>
  <c r="AX50" i="67"/>
  <c r="AX49" i="67" s="1"/>
  <c r="AV49" i="67"/>
  <c r="AX12" i="67"/>
  <c r="AS82" i="67"/>
  <c r="AV12" i="67"/>
  <c r="AV65" i="67"/>
  <c r="AX66" i="67"/>
  <c r="AX65" i="67" s="1"/>
  <c r="W85" i="80" l="1"/>
  <c r="W87" i="80"/>
  <c r="W86" i="80"/>
  <c r="H81" i="67"/>
  <c r="I28" i="67"/>
  <c r="I81" i="67" s="1"/>
  <c r="AX82" i="67"/>
  <c r="AV82" i="67"/>
  <c r="AR21" i="115" l="1"/>
  <c r="AQ21" i="115"/>
  <c r="AP21" i="115"/>
  <c r="AO21" i="115"/>
  <c r="AN21" i="115"/>
  <c r="AM21" i="115"/>
  <c r="AL21" i="115"/>
  <c r="AK21" i="115"/>
  <c r="AJ21" i="115"/>
  <c r="AA20" i="115"/>
  <c r="Z20" i="115"/>
  <c r="W20" i="115"/>
  <c r="V20" i="115"/>
  <c r="U20" i="115"/>
  <c r="T20" i="115"/>
  <c r="S20" i="115"/>
  <c r="R20" i="115"/>
  <c r="Q20" i="115"/>
  <c r="P20" i="115"/>
  <c r="O20" i="115"/>
  <c r="N20" i="115"/>
  <c r="K20" i="115"/>
  <c r="J20" i="115"/>
  <c r="I20" i="115"/>
  <c r="H20" i="115"/>
  <c r="G20" i="115"/>
  <c r="F20" i="115"/>
  <c r="Y19" i="115"/>
  <c r="X19" i="115"/>
  <c r="W19" i="115"/>
  <c r="U19" i="115"/>
  <c r="T19" i="115"/>
  <c r="S19" i="115"/>
  <c r="R19" i="115"/>
  <c r="Q19" i="115"/>
  <c r="P19" i="115"/>
  <c r="O19" i="115"/>
  <c r="N19" i="115"/>
  <c r="M19" i="115"/>
  <c r="AI19" i="115" s="1"/>
  <c r="L19" i="115"/>
  <c r="K19" i="115"/>
  <c r="J19" i="115"/>
  <c r="AC18" i="115"/>
  <c r="Y18" i="115"/>
  <c r="X18" i="115"/>
  <c r="S18" i="115"/>
  <c r="R18" i="115"/>
  <c r="Q18" i="115"/>
  <c r="P18" i="115"/>
  <c r="O18" i="115"/>
  <c r="N18" i="115"/>
  <c r="M18" i="115"/>
  <c r="L18" i="115"/>
  <c r="K18" i="115"/>
  <c r="J18" i="115"/>
  <c r="I18" i="115"/>
  <c r="G18" i="115"/>
  <c r="F18" i="115"/>
  <c r="E18" i="115"/>
  <c r="D18" i="115"/>
  <c r="X17" i="115"/>
  <c r="W17" i="115"/>
  <c r="V17" i="115"/>
  <c r="U17" i="115"/>
  <c r="T17" i="115"/>
  <c r="S17" i="115"/>
  <c r="R17" i="115"/>
  <c r="Q17" i="115"/>
  <c r="P17" i="115"/>
  <c r="O17" i="115"/>
  <c r="N17" i="115"/>
  <c r="M17" i="115"/>
  <c r="L17" i="115"/>
  <c r="K17" i="115"/>
  <c r="J17" i="115"/>
  <c r="I17" i="115"/>
  <c r="G17" i="115"/>
  <c r="F17" i="115"/>
  <c r="E17" i="115"/>
  <c r="D17" i="115"/>
  <c r="Y16" i="115"/>
  <c r="X16" i="115"/>
  <c r="W16" i="115"/>
  <c r="U16" i="115"/>
  <c r="T16" i="115"/>
  <c r="S16" i="115"/>
  <c r="R16" i="115"/>
  <c r="Q16" i="115"/>
  <c r="P16" i="115"/>
  <c r="N16" i="115"/>
  <c r="M16" i="115"/>
  <c r="L16" i="115"/>
  <c r="K16" i="115"/>
  <c r="J16" i="115"/>
  <c r="I16" i="115"/>
  <c r="G16" i="115"/>
  <c r="F16" i="115"/>
  <c r="E16" i="115"/>
  <c r="D16" i="115"/>
  <c r="AC15" i="115"/>
  <c r="Y15" i="115"/>
  <c r="W15" i="115"/>
  <c r="V15" i="115"/>
  <c r="U15" i="115"/>
  <c r="T15" i="115"/>
  <c r="S15" i="115"/>
  <c r="R15" i="115"/>
  <c r="Q15" i="115"/>
  <c r="P15" i="115"/>
  <c r="O15" i="115"/>
  <c r="N15" i="115"/>
  <c r="M15" i="115"/>
  <c r="J15" i="115"/>
  <c r="G15" i="115"/>
  <c r="F15" i="115"/>
  <c r="E15" i="115"/>
  <c r="D15" i="115"/>
  <c r="AG14" i="115"/>
  <c r="AE14" i="115"/>
  <c r="AD14" i="115"/>
  <c r="AC14" i="115"/>
  <c r="AB14" i="115"/>
  <c r="AA14" i="115"/>
  <c r="Z14" i="115"/>
  <c r="Y14" i="115"/>
  <c r="X14" i="115"/>
  <c r="W14" i="115"/>
  <c r="V14" i="115"/>
  <c r="U14" i="115"/>
  <c r="T14" i="115"/>
  <c r="S14" i="115"/>
  <c r="R14" i="115"/>
  <c r="Q14" i="115"/>
  <c r="P14" i="115"/>
  <c r="O14" i="115"/>
  <c r="N14" i="115"/>
  <c r="M14" i="115"/>
  <c r="L14" i="115"/>
  <c r="K14" i="115"/>
  <c r="J14" i="115"/>
  <c r="I14" i="115"/>
  <c r="H14" i="115"/>
  <c r="G14" i="115"/>
  <c r="F14" i="115"/>
  <c r="E14" i="115"/>
  <c r="D14" i="115"/>
  <c r="AH13" i="115"/>
  <c r="AH14" i="115" s="1"/>
  <c r="AF13" i="115"/>
  <c r="AF14" i="115" s="1"/>
  <c r="D11" i="115"/>
  <c r="AI16" i="115" l="1"/>
  <c r="AS19" i="115"/>
  <c r="AU19" i="115" s="1"/>
  <c r="AI15" i="115"/>
  <c r="AS15" i="115" s="1"/>
  <c r="AI17" i="115"/>
  <c r="AI20" i="115"/>
  <c r="AS20" i="115" s="1"/>
  <c r="AI18" i="115"/>
  <c r="F263" i="135"/>
  <c r="G428" i="135"/>
  <c r="G427" i="135"/>
  <c r="G426" i="135"/>
  <c r="G425" i="135"/>
  <c r="G429" i="135"/>
  <c r="F396" i="135"/>
  <c r="F395" i="135"/>
  <c r="I375" i="135"/>
  <c r="J375" i="135"/>
  <c r="L375" i="135"/>
  <c r="G375" i="135"/>
  <c r="H375" i="135"/>
  <c r="F375" i="135"/>
  <c r="M478" i="135"/>
  <c r="M479" i="135"/>
  <c r="M480" i="135"/>
  <c r="M481" i="135"/>
  <c r="M482" i="135"/>
  <c r="M483" i="135"/>
  <c r="M484" i="135"/>
  <c r="M485" i="135"/>
  <c r="K474" i="135"/>
  <c r="M474" i="135" s="1"/>
  <c r="K475" i="135"/>
  <c r="M475" i="135" s="1"/>
  <c r="K476" i="135"/>
  <c r="M476" i="135" s="1"/>
  <c r="K477" i="135"/>
  <c r="M477" i="135" s="1"/>
  <c r="K478" i="135"/>
  <c r="K479" i="135"/>
  <c r="K480" i="135"/>
  <c r="K481" i="135"/>
  <c r="K482" i="135"/>
  <c r="K483" i="135"/>
  <c r="K484" i="135"/>
  <c r="K485" i="135"/>
  <c r="AT19" i="115" l="1"/>
  <c r="AS16" i="115"/>
  <c r="AU16" i="115" s="1"/>
  <c r="AU20" i="115"/>
  <c r="AU15" i="115"/>
  <c r="AI21" i="115"/>
  <c r="AS17" i="115"/>
  <c r="AS21" i="115" s="1"/>
  <c r="AS18" i="115"/>
  <c r="AU18" i="115" s="1"/>
  <c r="H263" i="135"/>
  <c r="G263" i="135"/>
  <c r="AU17" i="115" l="1"/>
  <c r="AU21" i="115" s="1"/>
  <c r="M389" i="135"/>
  <c r="K377" i="135"/>
  <c r="M377" i="135" s="1"/>
  <c r="K378" i="135"/>
  <c r="M378" i="135" s="1"/>
  <c r="K379" i="135"/>
  <c r="M379" i="135" s="1"/>
  <c r="K380" i="135"/>
  <c r="M380" i="135" s="1"/>
  <c r="K381" i="135"/>
  <c r="M381" i="135" s="1"/>
  <c r="K382" i="135"/>
  <c r="M382" i="135" s="1"/>
  <c r="K383" i="135"/>
  <c r="M383" i="135" s="1"/>
  <c r="K384" i="135"/>
  <c r="M384" i="135" s="1"/>
  <c r="K385" i="135"/>
  <c r="M385" i="135" s="1"/>
  <c r="K386" i="135"/>
  <c r="M386" i="135" s="1"/>
  <c r="K387" i="135"/>
  <c r="M387" i="135" s="1"/>
  <c r="K388" i="135"/>
  <c r="M388" i="135" s="1"/>
  <c r="K389" i="135"/>
  <c r="K390" i="135"/>
  <c r="M390" i="135" s="1"/>
  <c r="K391" i="135"/>
  <c r="M391" i="135" s="1"/>
  <c r="K392" i="135"/>
  <c r="M392" i="135" s="1"/>
  <c r="K393" i="135"/>
  <c r="M393" i="135" s="1"/>
  <c r="K394" i="135"/>
  <c r="M394" i="135" s="1"/>
  <c r="K395" i="135"/>
  <c r="M395" i="135" s="1"/>
  <c r="K396" i="135"/>
  <c r="M396" i="135" s="1"/>
  <c r="K397" i="135"/>
  <c r="M397" i="135" s="1"/>
  <c r="K398" i="135"/>
  <c r="M398" i="135" s="1"/>
  <c r="K399" i="135"/>
  <c r="M399" i="135" s="1"/>
  <c r="K400" i="135"/>
  <c r="M400" i="135" s="1"/>
  <c r="K401" i="135"/>
  <c r="M401" i="135" s="1"/>
  <c r="K402" i="135"/>
  <c r="M402" i="135" s="1"/>
  <c r="K403" i="135"/>
  <c r="M403" i="135" s="1"/>
  <c r="K404" i="135"/>
  <c r="M404" i="135" s="1"/>
  <c r="K405" i="135"/>
  <c r="M405" i="135" s="1"/>
  <c r="K406" i="135"/>
  <c r="M406" i="135" s="1"/>
  <c r="K407" i="135"/>
  <c r="M407" i="135" s="1"/>
  <c r="K408" i="135"/>
  <c r="M408" i="135" s="1"/>
  <c r="K409" i="135"/>
  <c r="M409" i="135" s="1"/>
  <c r="K410" i="135"/>
  <c r="M410" i="135" s="1"/>
  <c r="K411" i="135"/>
  <c r="M411" i="135" s="1"/>
  <c r="K412" i="135"/>
  <c r="M412" i="135" s="1"/>
  <c r="K413" i="135"/>
  <c r="M413" i="135" s="1"/>
  <c r="K414" i="135"/>
  <c r="M414" i="135" s="1"/>
  <c r="K415" i="135"/>
  <c r="M415" i="135" s="1"/>
  <c r="K416" i="135"/>
  <c r="M416" i="135" s="1"/>
  <c r="K417" i="135"/>
  <c r="M417" i="135" s="1"/>
  <c r="K418" i="135"/>
  <c r="M418" i="135" s="1"/>
  <c r="K419" i="135"/>
  <c r="M419" i="135" s="1"/>
  <c r="K420" i="135"/>
  <c r="M420" i="135" s="1"/>
  <c r="K421" i="135"/>
  <c r="M421" i="135" s="1"/>
  <c r="K422" i="135"/>
  <c r="M422" i="135" s="1"/>
  <c r="K423" i="135"/>
  <c r="M423" i="135" s="1"/>
  <c r="K424" i="135"/>
  <c r="M424" i="135" s="1"/>
  <c r="K425" i="135"/>
  <c r="M425" i="135" s="1"/>
  <c r="K426" i="135"/>
  <c r="M426" i="135" s="1"/>
  <c r="K427" i="135"/>
  <c r="M427" i="135" s="1"/>
  <c r="K428" i="135"/>
  <c r="M428" i="135" s="1"/>
  <c r="K429" i="135"/>
  <c r="M429" i="135" s="1"/>
  <c r="K430" i="135"/>
  <c r="M430" i="135" s="1"/>
  <c r="K431" i="135"/>
  <c r="M431" i="135" s="1"/>
  <c r="K432" i="135"/>
  <c r="M432" i="135" s="1"/>
  <c r="K433" i="135"/>
  <c r="M433" i="135" s="1"/>
  <c r="K434" i="135"/>
  <c r="M434" i="135" s="1"/>
  <c r="K435" i="135"/>
  <c r="M435" i="135" s="1"/>
  <c r="K436" i="135"/>
  <c r="M436" i="135" s="1"/>
  <c r="K437" i="135"/>
  <c r="M437" i="135" s="1"/>
  <c r="K438" i="135"/>
  <c r="M438" i="135" s="1"/>
  <c r="K439" i="135"/>
  <c r="M439" i="135" s="1"/>
  <c r="K440" i="135"/>
  <c r="M440" i="135" s="1"/>
  <c r="K441" i="135"/>
  <c r="M441" i="135" s="1"/>
  <c r="K442" i="135"/>
  <c r="M442" i="135" s="1"/>
  <c r="K443" i="135"/>
  <c r="M443" i="135" s="1"/>
  <c r="K444" i="135"/>
  <c r="M444" i="135" s="1"/>
  <c r="K445" i="135"/>
  <c r="M445" i="135" s="1"/>
  <c r="K446" i="135"/>
  <c r="M446" i="135" s="1"/>
  <c r="K447" i="135"/>
  <c r="M447" i="135" s="1"/>
  <c r="K448" i="135"/>
  <c r="M448" i="135" s="1"/>
  <c r="K449" i="135"/>
  <c r="M449" i="135" s="1"/>
  <c r="K450" i="135"/>
  <c r="M450" i="135" s="1"/>
  <c r="K451" i="135"/>
  <c r="M451" i="135" s="1"/>
  <c r="K452" i="135"/>
  <c r="M452" i="135" s="1"/>
  <c r="K453" i="135"/>
  <c r="M453" i="135" s="1"/>
  <c r="K454" i="135"/>
  <c r="M454" i="135" s="1"/>
  <c r="K455" i="135"/>
  <c r="M455" i="135" s="1"/>
  <c r="K456" i="135"/>
  <c r="M456" i="135" s="1"/>
  <c r="K457" i="135"/>
  <c r="M457" i="135" s="1"/>
  <c r="K458" i="135"/>
  <c r="M458" i="135" s="1"/>
  <c r="K459" i="135"/>
  <c r="M459" i="135" s="1"/>
  <c r="K460" i="135"/>
  <c r="M460" i="135" s="1"/>
  <c r="K461" i="135"/>
  <c r="M461" i="135" s="1"/>
  <c r="K462" i="135"/>
  <c r="M462" i="135" s="1"/>
  <c r="K463" i="135"/>
  <c r="M463" i="135" s="1"/>
  <c r="K464" i="135"/>
  <c r="M464" i="135" s="1"/>
  <c r="K465" i="135"/>
  <c r="M465" i="135" s="1"/>
  <c r="K466" i="135"/>
  <c r="M466" i="135" s="1"/>
  <c r="K467" i="135"/>
  <c r="M467" i="135" s="1"/>
  <c r="K468" i="135"/>
  <c r="M468" i="135" s="1"/>
  <c r="K469" i="135"/>
  <c r="M469" i="135" s="1"/>
  <c r="K470" i="135"/>
  <c r="M470" i="135" s="1"/>
  <c r="K471" i="135"/>
  <c r="M471" i="135" s="1"/>
  <c r="K472" i="135"/>
  <c r="M472" i="135" s="1"/>
  <c r="K473" i="135"/>
  <c r="M473" i="135" s="1"/>
  <c r="K376" i="135"/>
  <c r="K264" i="135"/>
  <c r="M264" i="135" s="1"/>
  <c r="K265" i="135"/>
  <c r="M265" i="135" s="1"/>
  <c r="K266" i="135"/>
  <c r="M266" i="135" s="1"/>
  <c r="K267" i="135"/>
  <c r="M267" i="135" s="1"/>
  <c r="K268" i="135"/>
  <c r="M268" i="135" s="1"/>
  <c r="K269" i="135"/>
  <c r="M269" i="135" s="1"/>
  <c r="K270" i="135"/>
  <c r="M270" i="135" s="1"/>
  <c r="K271" i="135"/>
  <c r="M271" i="135" s="1"/>
  <c r="K272" i="135"/>
  <c r="M272" i="135" s="1"/>
  <c r="K273" i="135"/>
  <c r="M273" i="135" s="1"/>
  <c r="K274" i="135"/>
  <c r="M274" i="135" s="1"/>
  <c r="K275" i="135"/>
  <c r="M275" i="135" s="1"/>
  <c r="K276" i="135"/>
  <c r="M276" i="135" s="1"/>
  <c r="K277" i="135"/>
  <c r="M277" i="135" s="1"/>
  <c r="K278" i="135"/>
  <c r="M278" i="135" s="1"/>
  <c r="K279" i="135"/>
  <c r="M279" i="135" s="1"/>
  <c r="K280" i="135"/>
  <c r="M280" i="135" s="1"/>
  <c r="K281" i="135"/>
  <c r="M281" i="135" s="1"/>
  <c r="K282" i="135"/>
  <c r="M282" i="135" s="1"/>
  <c r="K283" i="135"/>
  <c r="M283" i="135" s="1"/>
  <c r="K284" i="135"/>
  <c r="M284" i="135" s="1"/>
  <c r="K285" i="135"/>
  <c r="M285" i="135" s="1"/>
  <c r="K286" i="135"/>
  <c r="M286" i="135" s="1"/>
  <c r="K287" i="135"/>
  <c r="M287" i="135" s="1"/>
  <c r="K288" i="135"/>
  <c r="M288" i="135" s="1"/>
  <c r="K289" i="135"/>
  <c r="M289" i="135" s="1"/>
  <c r="K290" i="135"/>
  <c r="M290" i="135" s="1"/>
  <c r="K291" i="135"/>
  <c r="M291" i="135" s="1"/>
  <c r="K292" i="135"/>
  <c r="M292" i="135" s="1"/>
  <c r="K293" i="135"/>
  <c r="M293" i="135" s="1"/>
  <c r="K294" i="135"/>
  <c r="M294" i="135" s="1"/>
  <c r="K295" i="135"/>
  <c r="M295" i="135" s="1"/>
  <c r="K296" i="135"/>
  <c r="M296" i="135" s="1"/>
  <c r="K297" i="135"/>
  <c r="M297" i="135" s="1"/>
  <c r="K298" i="135"/>
  <c r="M298" i="135" s="1"/>
  <c r="K299" i="135"/>
  <c r="M299" i="135" s="1"/>
  <c r="K300" i="135"/>
  <c r="M300" i="135" s="1"/>
  <c r="K301" i="135"/>
  <c r="M301" i="135" s="1"/>
  <c r="K302" i="135"/>
  <c r="M302" i="135" s="1"/>
  <c r="K303" i="135"/>
  <c r="M303" i="135" s="1"/>
  <c r="K304" i="135"/>
  <c r="M304" i="135" s="1"/>
  <c r="K305" i="135"/>
  <c r="M305" i="135" s="1"/>
  <c r="K306" i="135"/>
  <c r="M306" i="135" s="1"/>
  <c r="K307" i="135"/>
  <c r="M307" i="135" s="1"/>
  <c r="K308" i="135"/>
  <c r="M308" i="135" s="1"/>
  <c r="K309" i="135"/>
  <c r="M309" i="135" s="1"/>
  <c r="K310" i="135"/>
  <c r="M310" i="135" s="1"/>
  <c r="K311" i="135"/>
  <c r="M311" i="135" s="1"/>
  <c r="K312" i="135"/>
  <c r="M312" i="135" s="1"/>
  <c r="K313" i="135"/>
  <c r="M313" i="135" s="1"/>
  <c r="K314" i="135"/>
  <c r="M314" i="135" s="1"/>
  <c r="K315" i="135"/>
  <c r="M315" i="135" s="1"/>
  <c r="K316" i="135"/>
  <c r="M316" i="135" s="1"/>
  <c r="K317" i="135"/>
  <c r="M317" i="135" s="1"/>
  <c r="K318" i="135"/>
  <c r="M318" i="135" s="1"/>
  <c r="K319" i="135"/>
  <c r="M319" i="135" s="1"/>
  <c r="K320" i="135"/>
  <c r="M320" i="135" s="1"/>
  <c r="K321" i="135"/>
  <c r="M321" i="135" s="1"/>
  <c r="K322" i="135"/>
  <c r="M322" i="135" s="1"/>
  <c r="K323" i="135"/>
  <c r="M323" i="135" s="1"/>
  <c r="K324" i="135"/>
  <c r="M324" i="135" s="1"/>
  <c r="K325" i="135"/>
  <c r="M325" i="135" s="1"/>
  <c r="K326" i="135"/>
  <c r="M326" i="135" s="1"/>
  <c r="K327" i="135"/>
  <c r="M327" i="135" s="1"/>
  <c r="K328" i="135"/>
  <c r="M328" i="135" s="1"/>
  <c r="K329" i="135"/>
  <c r="M329" i="135" s="1"/>
  <c r="K330" i="135"/>
  <c r="M330" i="135" s="1"/>
  <c r="K331" i="135"/>
  <c r="M331" i="135" s="1"/>
  <c r="K332" i="135"/>
  <c r="M332" i="135" s="1"/>
  <c r="K333" i="135"/>
  <c r="M333" i="135" s="1"/>
  <c r="K334" i="135"/>
  <c r="M334" i="135" s="1"/>
  <c r="K335" i="135"/>
  <c r="M335" i="135" s="1"/>
  <c r="K336" i="135"/>
  <c r="M336" i="135" s="1"/>
  <c r="K337" i="135"/>
  <c r="M337" i="135" s="1"/>
  <c r="K338" i="135"/>
  <c r="M338" i="135" s="1"/>
  <c r="K339" i="135"/>
  <c r="M339" i="135" s="1"/>
  <c r="K340" i="135"/>
  <c r="M340" i="135" s="1"/>
  <c r="K341" i="135"/>
  <c r="M341" i="135" s="1"/>
  <c r="K342" i="135"/>
  <c r="M342" i="135" s="1"/>
  <c r="K343" i="135"/>
  <c r="M343" i="135" s="1"/>
  <c r="K344" i="135"/>
  <c r="M344" i="135" s="1"/>
  <c r="K345" i="135"/>
  <c r="M345" i="135" s="1"/>
  <c r="K346" i="135"/>
  <c r="M346" i="135" s="1"/>
  <c r="K347" i="135"/>
  <c r="M347" i="135" s="1"/>
  <c r="K348" i="135"/>
  <c r="M348" i="135" s="1"/>
  <c r="K349" i="135"/>
  <c r="M349" i="135" s="1"/>
  <c r="K350" i="135"/>
  <c r="M350" i="135" s="1"/>
  <c r="K351" i="135"/>
  <c r="M351" i="135" s="1"/>
  <c r="K352" i="135"/>
  <c r="M352" i="135" s="1"/>
  <c r="K353" i="135"/>
  <c r="M353" i="135" s="1"/>
  <c r="K354" i="135"/>
  <c r="M354" i="135" s="1"/>
  <c r="K355" i="135"/>
  <c r="M355" i="135" s="1"/>
  <c r="K356" i="135"/>
  <c r="M356" i="135" s="1"/>
  <c r="K357" i="135"/>
  <c r="M357" i="135" s="1"/>
  <c r="K358" i="135"/>
  <c r="M358" i="135" s="1"/>
  <c r="K359" i="135"/>
  <c r="M359" i="135" s="1"/>
  <c r="K360" i="135"/>
  <c r="M360" i="135" s="1"/>
  <c r="K361" i="135"/>
  <c r="M361" i="135" s="1"/>
  <c r="K362" i="135"/>
  <c r="M362" i="135" s="1"/>
  <c r="K363" i="135"/>
  <c r="M363" i="135" s="1"/>
  <c r="K364" i="135"/>
  <c r="M364" i="135" s="1"/>
  <c r="K365" i="135"/>
  <c r="M365" i="135" s="1"/>
  <c r="K366" i="135"/>
  <c r="M366" i="135" s="1"/>
  <c r="K367" i="135"/>
  <c r="M367" i="135" s="1"/>
  <c r="K368" i="135"/>
  <c r="M368" i="135" s="1"/>
  <c r="K369" i="135"/>
  <c r="M369" i="135" s="1"/>
  <c r="K370" i="135"/>
  <c r="M370" i="135" s="1"/>
  <c r="K371" i="135"/>
  <c r="M371" i="135" s="1"/>
  <c r="K372" i="135"/>
  <c r="M372" i="135" s="1"/>
  <c r="K373" i="135"/>
  <c r="M373" i="135" s="1"/>
  <c r="K374" i="135"/>
  <c r="M374" i="135" s="1"/>
  <c r="K263" i="135"/>
  <c r="M263" i="135" s="1"/>
  <c r="H21" i="135"/>
  <c r="H13" i="135"/>
  <c r="G21" i="135"/>
  <c r="H16" i="135"/>
  <c r="H15" i="135"/>
  <c r="H14" i="135"/>
  <c r="G16" i="135"/>
  <c r="G15" i="135"/>
  <c r="G14" i="135"/>
  <c r="G13" i="135"/>
  <c r="F28" i="135"/>
  <c r="M376" i="135" l="1"/>
  <c r="M375" i="135" s="1"/>
  <c r="K375" i="135"/>
  <c r="K14" i="135"/>
  <c r="M14" i="135" s="1"/>
  <c r="K15" i="135"/>
  <c r="M15" i="135" s="1"/>
  <c r="K16" i="135"/>
  <c r="M16" i="135" s="1"/>
  <c r="K17" i="135"/>
  <c r="M17" i="135" s="1"/>
  <c r="K18" i="135"/>
  <c r="M18" i="135" s="1"/>
  <c r="K19" i="135"/>
  <c r="M19" i="135" s="1"/>
  <c r="K20" i="135"/>
  <c r="M20" i="135" s="1"/>
  <c r="K21" i="135"/>
  <c r="M21" i="135" s="1"/>
  <c r="K22" i="135"/>
  <c r="M22" i="135" s="1"/>
  <c r="K23" i="135"/>
  <c r="M23" i="135" s="1"/>
  <c r="K24" i="135"/>
  <c r="M24" i="135" s="1"/>
  <c r="K25" i="135"/>
  <c r="M25" i="135" s="1"/>
  <c r="K26" i="135"/>
  <c r="M26" i="135" s="1"/>
  <c r="K27" i="135"/>
  <c r="M27" i="135" s="1"/>
  <c r="K28" i="135"/>
  <c r="M28" i="135" s="1"/>
  <c r="K29" i="135"/>
  <c r="M29" i="135" s="1"/>
  <c r="K30" i="135"/>
  <c r="M30" i="135" s="1"/>
  <c r="K31" i="135"/>
  <c r="M31" i="135" s="1"/>
  <c r="K32" i="135"/>
  <c r="M32" i="135" s="1"/>
  <c r="K33" i="135"/>
  <c r="M33" i="135" s="1"/>
  <c r="K34" i="135"/>
  <c r="M34" i="135" s="1"/>
  <c r="K35" i="135"/>
  <c r="M35" i="135" s="1"/>
  <c r="K36" i="135"/>
  <c r="M36" i="135" s="1"/>
  <c r="K37" i="135"/>
  <c r="M37" i="135" s="1"/>
  <c r="K38" i="135"/>
  <c r="M38" i="135" s="1"/>
  <c r="K39" i="135"/>
  <c r="M39" i="135" s="1"/>
  <c r="K40" i="135"/>
  <c r="M40" i="135" s="1"/>
  <c r="K41" i="135"/>
  <c r="M41" i="135" s="1"/>
  <c r="K42" i="135"/>
  <c r="M42" i="135" s="1"/>
  <c r="K43" i="135"/>
  <c r="M43" i="135" s="1"/>
  <c r="K44" i="135"/>
  <c r="M44" i="135" s="1"/>
  <c r="K45" i="135"/>
  <c r="M45" i="135" s="1"/>
  <c r="K46" i="135"/>
  <c r="M46" i="135" s="1"/>
  <c r="K47" i="135"/>
  <c r="M47" i="135" s="1"/>
  <c r="K48" i="135"/>
  <c r="M48" i="135" s="1"/>
  <c r="K49" i="135"/>
  <c r="M49" i="135" s="1"/>
  <c r="K50" i="135"/>
  <c r="M50" i="135" s="1"/>
  <c r="K51" i="135"/>
  <c r="M51" i="135" s="1"/>
  <c r="K52" i="135"/>
  <c r="M52" i="135" s="1"/>
  <c r="K53" i="135"/>
  <c r="M53" i="135" s="1"/>
  <c r="K54" i="135"/>
  <c r="M54" i="135" s="1"/>
  <c r="K55" i="135"/>
  <c r="M55" i="135" s="1"/>
  <c r="K56" i="135"/>
  <c r="M56" i="135" s="1"/>
  <c r="K57" i="135"/>
  <c r="M57" i="135" s="1"/>
  <c r="K58" i="135"/>
  <c r="M58" i="135" s="1"/>
  <c r="K59" i="135"/>
  <c r="M59" i="135" s="1"/>
  <c r="K60" i="135"/>
  <c r="M60" i="135" s="1"/>
  <c r="K61" i="135"/>
  <c r="M61" i="135" s="1"/>
  <c r="K62" i="135"/>
  <c r="M62" i="135" s="1"/>
  <c r="K63" i="135"/>
  <c r="M63" i="135" s="1"/>
  <c r="K64" i="135"/>
  <c r="M64" i="135" s="1"/>
  <c r="K65" i="135"/>
  <c r="M65" i="135" s="1"/>
  <c r="K66" i="135"/>
  <c r="M66" i="135" s="1"/>
  <c r="K67" i="135"/>
  <c r="M67" i="135" s="1"/>
  <c r="K68" i="135"/>
  <c r="M68" i="135" s="1"/>
  <c r="K69" i="135"/>
  <c r="M69" i="135" s="1"/>
  <c r="K70" i="135"/>
  <c r="M70" i="135" s="1"/>
  <c r="K71" i="135"/>
  <c r="M71" i="135" s="1"/>
  <c r="K72" i="135"/>
  <c r="M72" i="135" s="1"/>
  <c r="K73" i="135"/>
  <c r="M73" i="135" s="1"/>
  <c r="K74" i="135"/>
  <c r="M74" i="135" s="1"/>
  <c r="K75" i="135"/>
  <c r="M75" i="135" s="1"/>
  <c r="K76" i="135"/>
  <c r="M76" i="135" s="1"/>
  <c r="K77" i="135"/>
  <c r="M77" i="135" s="1"/>
  <c r="K78" i="135"/>
  <c r="M78" i="135" s="1"/>
  <c r="K79" i="135"/>
  <c r="M79" i="135" s="1"/>
  <c r="K80" i="135"/>
  <c r="M80" i="135" s="1"/>
  <c r="K81" i="135"/>
  <c r="M81" i="135" s="1"/>
  <c r="K82" i="135"/>
  <c r="M82" i="135" s="1"/>
  <c r="K83" i="135"/>
  <c r="M83" i="135" s="1"/>
  <c r="K84" i="135"/>
  <c r="M84" i="135" s="1"/>
  <c r="K85" i="135"/>
  <c r="M85" i="135" s="1"/>
  <c r="K86" i="135"/>
  <c r="M86" i="135" s="1"/>
  <c r="K87" i="135"/>
  <c r="M87" i="135" s="1"/>
  <c r="K88" i="135"/>
  <c r="M88" i="135" s="1"/>
  <c r="K89" i="135"/>
  <c r="M89" i="135" s="1"/>
  <c r="K90" i="135"/>
  <c r="M90" i="135" s="1"/>
  <c r="K91" i="135"/>
  <c r="M91" i="135" s="1"/>
  <c r="K92" i="135"/>
  <c r="M92" i="135" s="1"/>
  <c r="K93" i="135"/>
  <c r="M93" i="135" s="1"/>
  <c r="K94" i="135"/>
  <c r="M94" i="135" s="1"/>
  <c r="K95" i="135"/>
  <c r="M95" i="135" s="1"/>
  <c r="K96" i="135"/>
  <c r="M96" i="135" s="1"/>
  <c r="K97" i="135"/>
  <c r="M97" i="135" s="1"/>
  <c r="K98" i="135"/>
  <c r="M98" i="135" s="1"/>
  <c r="K99" i="135"/>
  <c r="M99" i="135" s="1"/>
  <c r="K100" i="135"/>
  <c r="M100" i="135" s="1"/>
  <c r="K101" i="135"/>
  <c r="M101" i="135" s="1"/>
  <c r="K102" i="135"/>
  <c r="M102" i="135" s="1"/>
  <c r="K103" i="135"/>
  <c r="M103" i="135" s="1"/>
  <c r="K104" i="135"/>
  <c r="M104" i="135" s="1"/>
  <c r="K105" i="135"/>
  <c r="M105" i="135" s="1"/>
  <c r="K106" i="135"/>
  <c r="M106" i="135" s="1"/>
  <c r="K107" i="135"/>
  <c r="M107" i="135" s="1"/>
  <c r="K108" i="135"/>
  <c r="M108" i="135" s="1"/>
  <c r="K109" i="135"/>
  <c r="M109" i="135" s="1"/>
  <c r="K110" i="135"/>
  <c r="M110" i="135" s="1"/>
  <c r="K111" i="135"/>
  <c r="M111" i="135" s="1"/>
  <c r="K112" i="135"/>
  <c r="M112" i="135" s="1"/>
  <c r="K113" i="135"/>
  <c r="M113" i="135" s="1"/>
  <c r="K114" i="135"/>
  <c r="M114" i="135" s="1"/>
  <c r="K115" i="135"/>
  <c r="M115" i="135" s="1"/>
  <c r="K116" i="135"/>
  <c r="M116" i="135" s="1"/>
  <c r="K117" i="135"/>
  <c r="M117" i="135" s="1"/>
  <c r="K118" i="135"/>
  <c r="M118" i="135" s="1"/>
  <c r="K119" i="135"/>
  <c r="M119" i="135" s="1"/>
  <c r="K120" i="135"/>
  <c r="M120" i="135" s="1"/>
  <c r="K121" i="135"/>
  <c r="M121" i="135" s="1"/>
  <c r="K122" i="135"/>
  <c r="M122" i="135" s="1"/>
  <c r="K123" i="135"/>
  <c r="M123" i="135" s="1"/>
  <c r="K124" i="135"/>
  <c r="M124" i="135" s="1"/>
  <c r="K125" i="135"/>
  <c r="M125" i="135" s="1"/>
  <c r="K126" i="135"/>
  <c r="M126" i="135" s="1"/>
  <c r="K127" i="135"/>
  <c r="M127" i="135" s="1"/>
  <c r="K128" i="135"/>
  <c r="M128" i="135" s="1"/>
  <c r="K129" i="135"/>
  <c r="M129" i="135" s="1"/>
  <c r="K130" i="135"/>
  <c r="M130" i="135" s="1"/>
  <c r="K131" i="135"/>
  <c r="M131" i="135" s="1"/>
  <c r="K132" i="135"/>
  <c r="M132" i="135" s="1"/>
  <c r="K133" i="135"/>
  <c r="M133" i="135" s="1"/>
  <c r="K134" i="135"/>
  <c r="M134" i="135" s="1"/>
  <c r="K135" i="135"/>
  <c r="M135" i="135" s="1"/>
  <c r="K136" i="135"/>
  <c r="M136" i="135" s="1"/>
  <c r="K137" i="135"/>
  <c r="M137" i="135" s="1"/>
  <c r="K138" i="135"/>
  <c r="M138" i="135" s="1"/>
  <c r="K139" i="135"/>
  <c r="M139" i="135" s="1"/>
  <c r="K140" i="135"/>
  <c r="M140" i="135" s="1"/>
  <c r="K141" i="135"/>
  <c r="M141" i="135" s="1"/>
  <c r="K142" i="135"/>
  <c r="M142" i="135" s="1"/>
  <c r="K143" i="135"/>
  <c r="M143" i="135" s="1"/>
  <c r="K144" i="135"/>
  <c r="M144" i="135" s="1"/>
  <c r="K145" i="135"/>
  <c r="M145" i="135" s="1"/>
  <c r="K146" i="135"/>
  <c r="M146" i="135" s="1"/>
  <c r="K147" i="135"/>
  <c r="M147" i="135" s="1"/>
  <c r="K148" i="135"/>
  <c r="M148" i="135" s="1"/>
  <c r="K149" i="135"/>
  <c r="M149" i="135" s="1"/>
  <c r="K150" i="135"/>
  <c r="M150" i="135" s="1"/>
  <c r="K151" i="135"/>
  <c r="M151" i="135" s="1"/>
  <c r="K152" i="135"/>
  <c r="M152" i="135" s="1"/>
  <c r="K153" i="135"/>
  <c r="M153" i="135" s="1"/>
  <c r="K154" i="135"/>
  <c r="M154" i="135" s="1"/>
  <c r="K155" i="135"/>
  <c r="M155" i="135" s="1"/>
  <c r="K156" i="135"/>
  <c r="M156" i="135" s="1"/>
  <c r="K157" i="135"/>
  <c r="M157" i="135" s="1"/>
  <c r="K158" i="135"/>
  <c r="M158" i="135" s="1"/>
  <c r="K159" i="135"/>
  <c r="M159" i="135" s="1"/>
  <c r="K160" i="135"/>
  <c r="M160" i="135" s="1"/>
  <c r="K161" i="135"/>
  <c r="M161" i="135" s="1"/>
  <c r="K162" i="135"/>
  <c r="M162" i="135" s="1"/>
  <c r="K163" i="135"/>
  <c r="M163" i="135" s="1"/>
  <c r="K164" i="135"/>
  <c r="M164" i="135" s="1"/>
  <c r="K165" i="135"/>
  <c r="M165" i="135" s="1"/>
  <c r="K166" i="135"/>
  <c r="M166" i="135" s="1"/>
  <c r="K167" i="135"/>
  <c r="M167" i="135" s="1"/>
  <c r="K168" i="135"/>
  <c r="M168" i="135" s="1"/>
  <c r="K169" i="135"/>
  <c r="M169" i="135" s="1"/>
  <c r="K170" i="135"/>
  <c r="M170" i="135" s="1"/>
  <c r="K171" i="135"/>
  <c r="M171" i="135" s="1"/>
  <c r="K172" i="135"/>
  <c r="M172" i="135" s="1"/>
  <c r="K173" i="135"/>
  <c r="M173" i="135" s="1"/>
  <c r="K174" i="135"/>
  <c r="M174" i="135" s="1"/>
  <c r="K175" i="135"/>
  <c r="M175" i="135" s="1"/>
  <c r="K176" i="135"/>
  <c r="M176" i="135" s="1"/>
  <c r="K177" i="135"/>
  <c r="M177" i="135" s="1"/>
  <c r="K178" i="135"/>
  <c r="M178" i="135" s="1"/>
  <c r="K179" i="135"/>
  <c r="M179" i="135" s="1"/>
  <c r="K180" i="135"/>
  <c r="M180" i="135" s="1"/>
  <c r="K181" i="135"/>
  <c r="M181" i="135" s="1"/>
  <c r="K182" i="135"/>
  <c r="M182" i="135" s="1"/>
  <c r="K183" i="135"/>
  <c r="M183" i="135" s="1"/>
  <c r="K184" i="135"/>
  <c r="M184" i="135" s="1"/>
  <c r="K185" i="135"/>
  <c r="M185" i="135" s="1"/>
  <c r="K186" i="135"/>
  <c r="M186" i="135" s="1"/>
  <c r="K187" i="135"/>
  <c r="M187" i="135" s="1"/>
  <c r="K188" i="135"/>
  <c r="M188" i="135" s="1"/>
  <c r="K189" i="135"/>
  <c r="M189" i="135" s="1"/>
  <c r="K190" i="135"/>
  <c r="M190" i="135" s="1"/>
  <c r="K191" i="135"/>
  <c r="M191" i="135" s="1"/>
  <c r="K192" i="135"/>
  <c r="M192" i="135" s="1"/>
  <c r="K193" i="135"/>
  <c r="M193" i="135" s="1"/>
  <c r="K194" i="135"/>
  <c r="M194" i="135" s="1"/>
  <c r="K195" i="135"/>
  <c r="M195" i="135" s="1"/>
  <c r="K196" i="135"/>
  <c r="M196" i="135" s="1"/>
  <c r="K197" i="135"/>
  <c r="M197" i="135" s="1"/>
  <c r="K198" i="135"/>
  <c r="M198" i="135" s="1"/>
  <c r="K199" i="135"/>
  <c r="M199" i="135" s="1"/>
  <c r="K200" i="135"/>
  <c r="M200" i="135" s="1"/>
  <c r="K201" i="135"/>
  <c r="M201" i="135" s="1"/>
  <c r="K202" i="135"/>
  <c r="M202" i="135" s="1"/>
  <c r="K203" i="135"/>
  <c r="M203" i="135" s="1"/>
  <c r="K204" i="135"/>
  <c r="M204" i="135" s="1"/>
  <c r="K205" i="135"/>
  <c r="M205" i="135" s="1"/>
  <c r="K206" i="135"/>
  <c r="M206" i="135" s="1"/>
  <c r="K207" i="135"/>
  <c r="M207" i="135" s="1"/>
  <c r="K208" i="135"/>
  <c r="M208" i="135" s="1"/>
  <c r="K209" i="135"/>
  <c r="M209" i="135" s="1"/>
  <c r="K210" i="135"/>
  <c r="M210" i="135" s="1"/>
  <c r="K211" i="135"/>
  <c r="M211" i="135" s="1"/>
  <c r="K212" i="135"/>
  <c r="M212" i="135" s="1"/>
  <c r="K213" i="135"/>
  <c r="M213" i="135" s="1"/>
  <c r="K214" i="135"/>
  <c r="M214" i="135" s="1"/>
  <c r="K215" i="135"/>
  <c r="M215" i="135" s="1"/>
  <c r="K216" i="135"/>
  <c r="M216" i="135" s="1"/>
  <c r="K217" i="135"/>
  <c r="M217" i="135" s="1"/>
  <c r="K218" i="135"/>
  <c r="M218" i="135" s="1"/>
  <c r="K219" i="135"/>
  <c r="M219" i="135" s="1"/>
  <c r="K220" i="135"/>
  <c r="M220" i="135" s="1"/>
  <c r="K221" i="135"/>
  <c r="M221" i="135" s="1"/>
  <c r="K222" i="135"/>
  <c r="M222" i="135" s="1"/>
  <c r="K223" i="135"/>
  <c r="M223" i="135" s="1"/>
  <c r="K224" i="135"/>
  <c r="M224" i="135" s="1"/>
  <c r="K225" i="135"/>
  <c r="M225" i="135" s="1"/>
  <c r="K226" i="135"/>
  <c r="M226" i="135" s="1"/>
  <c r="K227" i="135"/>
  <c r="M227" i="135" s="1"/>
  <c r="K228" i="135"/>
  <c r="M228" i="135" s="1"/>
  <c r="K229" i="135"/>
  <c r="M229" i="135" s="1"/>
  <c r="K230" i="135"/>
  <c r="M230" i="135" s="1"/>
  <c r="K231" i="135"/>
  <c r="M231" i="135" s="1"/>
  <c r="K232" i="135"/>
  <c r="M232" i="135" s="1"/>
  <c r="K233" i="135"/>
  <c r="M233" i="135" s="1"/>
  <c r="K234" i="135"/>
  <c r="M234" i="135" s="1"/>
  <c r="K235" i="135"/>
  <c r="M235" i="135" s="1"/>
  <c r="K236" i="135"/>
  <c r="M236" i="135" s="1"/>
  <c r="K237" i="135"/>
  <c r="M237" i="135" s="1"/>
  <c r="K238" i="135"/>
  <c r="M238" i="135" s="1"/>
  <c r="K239" i="135"/>
  <c r="M239" i="135" s="1"/>
  <c r="K240" i="135"/>
  <c r="M240" i="135" s="1"/>
  <c r="K241" i="135"/>
  <c r="M241" i="135" s="1"/>
  <c r="K242" i="135"/>
  <c r="M242" i="135" s="1"/>
  <c r="K243" i="135"/>
  <c r="M243" i="135" s="1"/>
  <c r="K244" i="135"/>
  <c r="M244" i="135" s="1"/>
  <c r="K245" i="135"/>
  <c r="M245" i="135" s="1"/>
  <c r="K246" i="135"/>
  <c r="M246" i="135" s="1"/>
  <c r="K247" i="135"/>
  <c r="M247" i="135" s="1"/>
  <c r="K248" i="135"/>
  <c r="M248" i="135" s="1"/>
  <c r="K249" i="135"/>
  <c r="M249" i="135" s="1"/>
  <c r="K250" i="135"/>
  <c r="M250" i="135" s="1"/>
  <c r="K251" i="135"/>
  <c r="M251" i="135" s="1"/>
  <c r="K252" i="135"/>
  <c r="M252" i="135" s="1"/>
  <c r="K253" i="135"/>
  <c r="M253" i="135" s="1"/>
  <c r="K254" i="135"/>
  <c r="M254" i="135" s="1"/>
  <c r="K255" i="135"/>
  <c r="M255" i="135" s="1"/>
  <c r="K256" i="135"/>
  <c r="M256" i="135" s="1"/>
  <c r="K257" i="135"/>
  <c r="M257" i="135" s="1"/>
  <c r="K258" i="135"/>
  <c r="M258" i="135" s="1"/>
  <c r="K259" i="135"/>
  <c r="M259" i="135" s="1"/>
  <c r="K260" i="135"/>
  <c r="M260" i="135" s="1"/>
  <c r="K261" i="135"/>
  <c r="M261" i="135" s="1"/>
  <c r="K13" i="135"/>
  <c r="M13" i="135" s="1"/>
  <c r="H12" i="135"/>
  <c r="R12" i="135" s="1"/>
  <c r="R14" i="135" s="1"/>
  <c r="G12" i="135"/>
  <c r="F12" i="135"/>
  <c r="R11" i="135" s="1"/>
  <c r="M12" i="135" l="1"/>
  <c r="K12" i="135"/>
  <c r="G20" i="148" l="1"/>
  <c r="F20" i="148"/>
  <c r="D20" i="148"/>
  <c r="H19" i="148"/>
  <c r="H18" i="148"/>
  <c r="H17" i="148"/>
  <c r="Q16" i="148"/>
  <c r="H16" i="148"/>
  <c r="H15" i="148"/>
  <c r="H14" i="148"/>
  <c r="H13" i="148"/>
  <c r="H12" i="148"/>
  <c r="H11" i="148"/>
  <c r="H20" i="148" l="1"/>
  <c r="E11" i="143" l="1"/>
  <c r="E12" i="143"/>
  <c r="E10" i="143"/>
  <c r="C11" i="143"/>
  <c r="C12" i="143"/>
  <c r="C10" i="143"/>
  <c r="D35" i="71" l="1"/>
  <c r="F36" i="71"/>
  <c r="A350" i="125"/>
  <c r="B351" i="125"/>
  <c r="C352" i="125"/>
  <c r="C353" i="125"/>
  <c r="C354" i="125"/>
  <c r="D352" i="125"/>
  <c r="K32" i="71"/>
  <c r="C17" i="110" l="1"/>
  <c r="C72" i="3" l="1"/>
  <c r="R69" i="57" l="1"/>
  <c r="R70" i="57"/>
  <c r="R71" i="57"/>
  <c r="R72" i="57"/>
  <c r="R73" i="57"/>
  <c r="R74" i="57"/>
  <c r="R75" i="57"/>
  <c r="R76" i="57"/>
  <c r="R77" i="57"/>
  <c r="R78" i="57"/>
  <c r="R79" i="57"/>
  <c r="R80" i="57"/>
  <c r="R81" i="57"/>
  <c r="R82" i="57"/>
  <c r="C83" i="3" l="1"/>
  <c r="C84" i="3"/>
  <c r="C85" i="3"/>
  <c r="C86" i="3"/>
  <c r="C87" i="3"/>
  <c r="C88" i="3"/>
  <c r="I88" i="3" s="1"/>
  <c r="T83" i="57"/>
  <c r="N87" i="3" l="1"/>
  <c r="O87" i="3"/>
  <c r="M87" i="3"/>
  <c r="P88" i="3"/>
  <c r="J88" i="3"/>
  <c r="O88" i="3"/>
  <c r="N88" i="3"/>
  <c r="K88" i="3"/>
  <c r="L88" i="3" s="1"/>
  <c r="G84" i="114" s="1"/>
  <c r="M88" i="3"/>
  <c r="D14" i="147"/>
  <c r="R88" i="3" l="1"/>
  <c r="S88" i="3"/>
  <c r="D13" i="147"/>
  <c r="D12" i="147"/>
  <c r="O32" i="110" l="1"/>
  <c r="R71" i="3"/>
  <c r="C83" i="57"/>
  <c r="J49" i="57"/>
  <c r="AI85" i="57"/>
  <c r="AJ85" i="57"/>
  <c r="AK85" i="57"/>
  <c r="I49" i="57"/>
  <c r="AI86" i="57"/>
  <c r="I66" i="57"/>
  <c r="R84" i="57"/>
  <c r="G88" i="3" s="1"/>
  <c r="H88" i="3" s="1"/>
  <c r="J87" i="3" l="1"/>
  <c r="H342" i="125" s="1"/>
  <c r="F14" i="147"/>
  <c r="F12" i="143" s="1"/>
  <c r="F13" i="147"/>
  <c r="F11" i="143" s="1"/>
  <c r="F12" i="147"/>
  <c r="F10" i="143" s="1"/>
  <c r="F13" i="143" s="1"/>
  <c r="AA4" i="147"/>
  <c r="AB4" i="147" s="1"/>
  <c r="AC4" i="147" s="1"/>
  <c r="G13" i="147" l="1"/>
  <c r="G14" i="147"/>
  <c r="D15" i="147"/>
  <c r="D36" i="71" s="1"/>
  <c r="F15" i="147"/>
  <c r="G12" i="147"/>
  <c r="H10" i="143" s="1"/>
  <c r="H14" i="147" l="1"/>
  <c r="H12" i="143"/>
  <c r="H13" i="147"/>
  <c r="H11" i="143"/>
  <c r="H13" i="143" s="1"/>
  <c r="G36" i="71"/>
  <c r="K35" i="71"/>
  <c r="H12" i="147"/>
  <c r="G15" i="147"/>
  <c r="H15" i="147" l="1"/>
  <c r="F35" i="71" l="1"/>
  <c r="P35" i="146"/>
  <c r="O35" i="146"/>
  <c r="C34" i="146"/>
  <c r="N34" i="146" s="1"/>
  <c r="C33" i="146"/>
  <c r="C32" i="146"/>
  <c r="C31" i="146"/>
  <c r="C30" i="146"/>
  <c r="D30" i="146" s="1"/>
  <c r="C29" i="146"/>
  <c r="C28" i="146"/>
  <c r="C27" i="146"/>
  <c r="C26" i="146"/>
  <c r="C25" i="146"/>
  <c r="D25" i="146" s="1"/>
  <c r="C24" i="146"/>
  <c r="C23" i="146"/>
  <c r="D23" i="146" s="1"/>
  <c r="C22" i="146"/>
  <c r="C21" i="146"/>
  <c r="C20" i="146"/>
  <c r="C19" i="146"/>
  <c r="W17" i="146"/>
  <c r="J34" i="146" s="1"/>
  <c r="M34" i="146" l="1"/>
  <c r="D21" i="146"/>
  <c r="D26" i="146"/>
  <c r="D19" i="146"/>
  <c r="D20" i="146"/>
  <c r="D24" i="146"/>
  <c r="D22" i="146"/>
  <c r="D29" i="146"/>
  <c r="K34" i="146"/>
  <c r="Q34" i="146" l="1"/>
  <c r="L496" i="135"/>
  <c r="M494" i="135"/>
  <c r="XEZ479" i="135"/>
  <c r="XFC479" i="135" s="1"/>
  <c r="XEV479" i="135"/>
  <c r="XEY479" i="135" s="1"/>
  <c r="XER479" i="135"/>
  <c r="XEU479" i="135" s="1"/>
  <c r="XEN479" i="135"/>
  <c r="XEQ479" i="135" s="1"/>
  <c r="XEJ479" i="135"/>
  <c r="XEM479" i="135" s="1"/>
  <c r="XEF479" i="135"/>
  <c r="XEI479" i="135" s="1"/>
  <c r="XEB479" i="135"/>
  <c r="XEE479" i="135" s="1"/>
  <c r="XDX479" i="135"/>
  <c r="XEA479" i="135" s="1"/>
  <c r="XDT479" i="135"/>
  <c r="XDW479" i="135" s="1"/>
  <c r="XDP479" i="135"/>
  <c r="XDS479" i="135" s="1"/>
  <c r="XDL479" i="135"/>
  <c r="XDO479" i="135" s="1"/>
  <c r="XDH479" i="135"/>
  <c r="XDK479" i="135" s="1"/>
  <c r="XDD479" i="135"/>
  <c r="XDG479" i="135" s="1"/>
  <c r="XCZ479" i="135"/>
  <c r="XDC479" i="135" s="1"/>
  <c r="XCV479" i="135"/>
  <c r="XCY479" i="135" s="1"/>
  <c r="XCR479" i="135"/>
  <c r="XCU479" i="135" s="1"/>
  <c r="XCN479" i="135"/>
  <c r="XCQ479" i="135" s="1"/>
  <c r="XCJ479" i="135"/>
  <c r="XCM479" i="135" s="1"/>
  <c r="XCF479" i="135"/>
  <c r="XCI479" i="135" s="1"/>
  <c r="XCB479" i="135"/>
  <c r="XCE479" i="135" s="1"/>
  <c r="XBX479" i="135"/>
  <c r="XCA479" i="135" s="1"/>
  <c r="XBT479" i="135"/>
  <c r="XBW479" i="135" s="1"/>
  <c r="XBP479" i="135"/>
  <c r="XBS479" i="135" s="1"/>
  <c r="XBL479" i="135"/>
  <c r="XBO479" i="135" s="1"/>
  <c r="XBH479" i="135"/>
  <c r="XBK479" i="135" s="1"/>
  <c r="XBD479" i="135"/>
  <c r="XBG479" i="135" s="1"/>
  <c r="XAZ479" i="135"/>
  <c r="XBC479" i="135" s="1"/>
  <c r="XAV479" i="135"/>
  <c r="XAY479" i="135" s="1"/>
  <c r="XAR479" i="135"/>
  <c r="XAU479" i="135" s="1"/>
  <c r="XAN479" i="135"/>
  <c r="XAQ479" i="135" s="1"/>
  <c r="XAJ479" i="135"/>
  <c r="XAM479" i="135" s="1"/>
  <c r="XAF479" i="135"/>
  <c r="XAI479" i="135" s="1"/>
  <c r="XAB479" i="135"/>
  <c r="XAE479" i="135" s="1"/>
  <c r="WZX479" i="135"/>
  <c r="XAA479" i="135" s="1"/>
  <c r="WZT479" i="135"/>
  <c r="WZW479" i="135" s="1"/>
  <c r="WZP479" i="135"/>
  <c r="WZS479" i="135" s="1"/>
  <c r="WZL479" i="135"/>
  <c r="WZO479" i="135" s="1"/>
  <c r="WZH479" i="135"/>
  <c r="WZK479" i="135" s="1"/>
  <c r="WZD479" i="135"/>
  <c r="WZG479" i="135" s="1"/>
  <c r="WYZ479" i="135"/>
  <c r="WZC479" i="135" s="1"/>
  <c r="WYV479" i="135"/>
  <c r="WYY479" i="135" s="1"/>
  <c r="WYR479" i="135"/>
  <c r="WYU479" i="135" s="1"/>
  <c r="WYN479" i="135"/>
  <c r="WYQ479" i="135" s="1"/>
  <c r="WYJ479" i="135"/>
  <c r="WYM479" i="135" s="1"/>
  <c r="WYF479" i="135"/>
  <c r="WYI479" i="135" s="1"/>
  <c r="WYB479" i="135"/>
  <c r="WYE479" i="135" s="1"/>
  <c r="WXX479" i="135"/>
  <c r="WYA479" i="135" s="1"/>
  <c r="WXT479" i="135"/>
  <c r="WXW479" i="135" s="1"/>
  <c r="WXP479" i="135"/>
  <c r="WXS479" i="135" s="1"/>
  <c r="WXL479" i="135"/>
  <c r="WXO479" i="135" s="1"/>
  <c r="WXH479" i="135"/>
  <c r="WXK479" i="135" s="1"/>
  <c r="WXD479" i="135"/>
  <c r="WXG479" i="135" s="1"/>
  <c r="WWZ479" i="135"/>
  <c r="WXC479" i="135" s="1"/>
  <c r="WWV479" i="135"/>
  <c r="WWY479" i="135" s="1"/>
  <c r="WWR479" i="135"/>
  <c r="WWU479" i="135" s="1"/>
  <c r="WWN479" i="135"/>
  <c r="WWQ479" i="135" s="1"/>
  <c r="WWJ479" i="135"/>
  <c r="WWM479" i="135" s="1"/>
  <c r="WWF479" i="135"/>
  <c r="WWI479" i="135" s="1"/>
  <c r="WWB479" i="135"/>
  <c r="WWE479" i="135" s="1"/>
  <c r="WVX479" i="135"/>
  <c r="WWA479" i="135" s="1"/>
  <c r="WVT479" i="135"/>
  <c r="WVW479" i="135" s="1"/>
  <c r="WVP479" i="135"/>
  <c r="WVS479" i="135" s="1"/>
  <c r="WVL479" i="135"/>
  <c r="WVO479" i="135" s="1"/>
  <c r="WVH479" i="135"/>
  <c r="WVK479" i="135" s="1"/>
  <c r="WVD479" i="135"/>
  <c r="WVG479" i="135" s="1"/>
  <c r="WUZ479" i="135"/>
  <c r="WVC479" i="135" s="1"/>
  <c r="WUV479" i="135"/>
  <c r="WUY479" i="135" s="1"/>
  <c r="WUR479" i="135"/>
  <c r="WUU479" i="135" s="1"/>
  <c r="WUN479" i="135"/>
  <c r="WUQ479" i="135" s="1"/>
  <c r="WUJ479" i="135"/>
  <c r="WUM479" i="135" s="1"/>
  <c r="WUF479" i="135"/>
  <c r="WUI479" i="135" s="1"/>
  <c r="WUB479" i="135"/>
  <c r="WUE479" i="135" s="1"/>
  <c r="WTX479" i="135"/>
  <c r="WUA479" i="135" s="1"/>
  <c r="WTT479" i="135"/>
  <c r="WTW479" i="135" s="1"/>
  <c r="WTP479" i="135"/>
  <c r="WTS479" i="135" s="1"/>
  <c r="WTL479" i="135"/>
  <c r="WTO479" i="135" s="1"/>
  <c r="WTH479" i="135"/>
  <c r="WTK479" i="135" s="1"/>
  <c r="WTD479" i="135"/>
  <c r="WTG479" i="135" s="1"/>
  <c r="WSZ479" i="135"/>
  <c r="WTC479" i="135" s="1"/>
  <c r="WSV479" i="135"/>
  <c r="WSY479" i="135" s="1"/>
  <c r="WSR479" i="135"/>
  <c r="WSU479" i="135" s="1"/>
  <c r="WSN479" i="135"/>
  <c r="WSQ479" i="135" s="1"/>
  <c r="WSJ479" i="135"/>
  <c r="WSM479" i="135" s="1"/>
  <c r="WSF479" i="135"/>
  <c r="WSI479" i="135" s="1"/>
  <c r="WSB479" i="135"/>
  <c r="WSE479" i="135" s="1"/>
  <c r="WRX479" i="135"/>
  <c r="WSA479" i="135" s="1"/>
  <c r="WRT479" i="135"/>
  <c r="WRW479" i="135" s="1"/>
  <c r="WRP479" i="135"/>
  <c r="WRS479" i="135" s="1"/>
  <c r="WRL479" i="135"/>
  <c r="WRO479" i="135" s="1"/>
  <c r="WRH479" i="135"/>
  <c r="WRK479" i="135" s="1"/>
  <c r="WRD479" i="135"/>
  <c r="WRG479" i="135" s="1"/>
  <c r="WQZ479" i="135"/>
  <c r="WRC479" i="135" s="1"/>
  <c r="WQV479" i="135"/>
  <c r="WQY479" i="135" s="1"/>
  <c r="WQR479" i="135"/>
  <c r="WQU479" i="135" s="1"/>
  <c r="WQN479" i="135"/>
  <c r="WQQ479" i="135" s="1"/>
  <c r="WQJ479" i="135"/>
  <c r="WQM479" i="135" s="1"/>
  <c r="WQF479" i="135"/>
  <c r="WQI479" i="135" s="1"/>
  <c r="WQB479" i="135"/>
  <c r="WQE479" i="135" s="1"/>
  <c r="WPX479" i="135"/>
  <c r="WQA479" i="135" s="1"/>
  <c r="WPT479" i="135"/>
  <c r="WPW479" i="135" s="1"/>
  <c r="WPP479" i="135"/>
  <c r="WPS479" i="135" s="1"/>
  <c r="WPL479" i="135"/>
  <c r="WPO479" i="135" s="1"/>
  <c r="WPH479" i="135"/>
  <c r="WPK479" i="135" s="1"/>
  <c r="WPD479" i="135"/>
  <c r="WPG479" i="135" s="1"/>
  <c r="WOZ479" i="135"/>
  <c r="WPC479" i="135" s="1"/>
  <c r="WOV479" i="135"/>
  <c r="WOY479" i="135" s="1"/>
  <c r="WOR479" i="135"/>
  <c r="WOU479" i="135" s="1"/>
  <c r="WON479" i="135"/>
  <c r="WOQ479" i="135" s="1"/>
  <c r="WOJ479" i="135"/>
  <c r="WOM479" i="135" s="1"/>
  <c r="WOF479" i="135"/>
  <c r="WOI479" i="135" s="1"/>
  <c r="WOB479" i="135"/>
  <c r="WOE479" i="135" s="1"/>
  <c r="WNX479" i="135"/>
  <c r="WOA479" i="135" s="1"/>
  <c r="WNT479" i="135"/>
  <c r="WNW479" i="135" s="1"/>
  <c r="WNP479" i="135"/>
  <c r="WNS479" i="135" s="1"/>
  <c r="WNL479" i="135"/>
  <c r="WNO479" i="135" s="1"/>
  <c r="WNH479" i="135"/>
  <c r="WNK479" i="135" s="1"/>
  <c r="WND479" i="135"/>
  <c r="WNG479" i="135" s="1"/>
  <c r="WMZ479" i="135"/>
  <c r="WNC479" i="135" s="1"/>
  <c r="WMV479" i="135"/>
  <c r="WMY479" i="135" s="1"/>
  <c r="WMR479" i="135"/>
  <c r="WMU479" i="135" s="1"/>
  <c r="WMN479" i="135"/>
  <c r="WMQ479" i="135" s="1"/>
  <c r="WMJ479" i="135"/>
  <c r="WMM479" i="135" s="1"/>
  <c r="WMF479" i="135"/>
  <c r="WMI479" i="135" s="1"/>
  <c r="WMB479" i="135"/>
  <c r="WME479" i="135" s="1"/>
  <c r="WLX479" i="135"/>
  <c r="WMA479" i="135" s="1"/>
  <c r="WLT479" i="135"/>
  <c r="WLW479" i="135" s="1"/>
  <c r="WLP479" i="135"/>
  <c r="WLS479" i="135" s="1"/>
  <c r="WLL479" i="135"/>
  <c r="WLO479" i="135" s="1"/>
  <c r="WLH479" i="135"/>
  <c r="WLK479" i="135" s="1"/>
  <c r="WLD479" i="135"/>
  <c r="WLG479" i="135" s="1"/>
  <c r="WKZ479" i="135"/>
  <c r="WLC479" i="135" s="1"/>
  <c r="WKV479" i="135"/>
  <c r="WKY479" i="135" s="1"/>
  <c r="WKR479" i="135"/>
  <c r="WKU479" i="135" s="1"/>
  <c r="WKN479" i="135"/>
  <c r="WKQ479" i="135" s="1"/>
  <c r="WKJ479" i="135"/>
  <c r="WKM479" i="135" s="1"/>
  <c r="WKF479" i="135"/>
  <c r="WKI479" i="135" s="1"/>
  <c r="WKB479" i="135"/>
  <c r="WKE479" i="135" s="1"/>
  <c r="WJX479" i="135"/>
  <c r="WKA479" i="135" s="1"/>
  <c r="WJT479" i="135"/>
  <c r="WJW479" i="135" s="1"/>
  <c r="WJP479" i="135"/>
  <c r="WJS479" i="135" s="1"/>
  <c r="WJL479" i="135"/>
  <c r="WJO479" i="135" s="1"/>
  <c r="WJH479" i="135"/>
  <c r="WJK479" i="135" s="1"/>
  <c r="WJD479" i="135"/>
  <c r="WJG479" i="135" s="1"/>
  <c r="WIZ479" i="135"/>
  <c r="WJC479" i="135" s="1"/>
  <c r="WIV479" i="135"/>
  <c r="WIY479" i="135" s="1"/>
  <c r="WIR479" i="135"/>
  <c r="WIU479" i="135" s="1"/>
  <c r="WIN479" i="135"/>
  <c r="WIQ479" i="135" s="1"/>
  <c r="WIJ479" i="135"/>
  <c r="WIM479" i="135" s="1"/>
  <c r="WIF479" i="135"/>
  <c r="WII479" i="135" s="1"/>
  <c r="WIB479" i="135"/>
  <c r="WIE479" i="135" s="1"/>
  <c r="WHX479" i="135"/>
  <c r="WIA479" i="135" s="1"/>
  <c r="WHT479" i="135"/>
  <c r="WHW479" i="135" s="1"/>
  <c r="WHP479" i="135"/>
  <c r="WHS479" i="135" s="1"/>
  <c r="WHL479" i="135"/>
  <c r="WHO479" i="135" s="1"/>
  <c r="WHH479" i="135"/>
  <c r="WHK479" i="135" s="1"/>
  <c r="WHD479" i="135"/>
  <c r="WHG479" i="135" s="1"/>
  <c r="WGZ479" i="135"/>
  <c r="WHC479" i="135" s="1"/>
  <c r="WGV479" i="135"/>
  <c r="WGY479" i="135" s="1"/>
  <c r="WGR479" i="135"/>
  <c r="WGU479" i="135" s="1"/>
  <c r="WGN479" i="135"/>
  <c r="WGQ479" i="135" s="1"/>
  <c r="WGJ479" i="135"/>
  <c r="WGM479" i="135" s="1"/>
  <c r="WGF479" i="135"/>
  <c r="WGI479" i="135" s="1"/>
  <c r="WGB479" i="135"/>
  <c r="WGE479" i="135" s="1"/>
  <c r="WFX479" i="135"/>
  <c r="WGA479" i="135" s="1"/>
  <c r="WFT479" i="135"/>
  <c r="WFW479" i="135" s="1"/>
  <c r="WFP479" i="135"/>
  <c r="WFS479" i="135" s="1"/>
  <c r="WFL479" i="135"/>
  <c r="WFO479" i="135" s="1"/>
  <c r="WFH479" i="135"/>
  <c r="WFK479" i="135" s="1"/>
  <c r="WFD479" i="135"/>
  <c r="WFG479" i="135" s="1"/>
  <c r="WEZ479" i="135"/>
  <c r="WFC479" i="135" s="1"/>
  <c r="WEV479" i="135"/>
  <c r="WEY479" i="135" s="1"/>
  <c r="WER479" i="135"/>
  <c r="WEU479" i="135" s="1"/>
  <c r="WEN479" i="135"/>
  <c r="WEQ479" i="135" s="1"/>
  <c r="WEJ479" i="135"/>
  <c r="WEM479" i="135" s="1"/>
  <c r="WEF479" i="135"/>
  <c r="WEI479" i="135" s="1"/>
  <c r="WEB479" i="135"/>
  <c r="WEE479" i="135" s="1"/>
  <c r="WDX479" i="135"/>
  <c r="WEA479" i="135" s="1"/>
  <c r="WDT479" i="135"/>
  <c r="WDW479" i="135" s="1"/>
  <c r="WDP479" i="135"/>
  <c r="WDS479" i="135" s="1"/>
  <c r="WDL479" i="135"/>
  <c r="WDO479" i="135" s="1"/>
  <c r="WDH479" i="135"/>
  <c r="WDK479" i="135" s="1"/>
  <c r="WDD479" i="135"/>
  <c r="WDG479" i="135" s="1"/>
  <c r="WCZ479" i="135"/>
  <c r="WDC479" i="135" s="1"/>
  <c r="WCV479" i="135"/>
  <c r="WCY479" i="135" s="1"/>
  <c r="WCR479" i="135"/>
  <c r="WCU479" i="135" s="1"/>
  <c r="WCN479" i="135"/>
  <c r="WCQ479" i="135" s="1"/>
  <c r="WCJ479" i="135"/>
  <c r="WCM479" i="135" s="1"/>
  <c r="WCF479" i="135"/>
  <c r="WCI479" i="135" s="1"/>
  <c r="WCB479" i="135"/>
  <c r="WCE479" i="135" s="1"/>
  <c r="WBX479" i="135"/>
  <c r="WCA479" i="135" s="1"/>
  <c r="WBT479" i="135"/>
  <c r="WBW479" i="135" s="1"/>
  <c r="WBP479" i="135"/>
  <c r="WBS479" i="135" s="1"/>
  <c r="WBL479" i="135"/>
  <c r="WBO479" i="135" s="1"/>
  <c r="WBH479" i="135"/>
  <c r="WBK479" i="135" s="1"/>
  <c r="WBD479" i="135"/>
  <c r="WBG479" i="135" s="1"/>
  <c r="WAZ479" i="135"/>
  <c r="WBC479" i="135" s="1"/>
  <c r="WAV479" i="135"/>
  <c r="WAY479" i="135" s="1"/>
  <c r="WAR479" i="135"/>
  <c r="WAU479" i="135" s="1"/>
  <c r="WAN479" i="135"/>
  <c r="WAQ479" i="135" s="1"/>
  <c r="WAJ479" i="135"/>
  <c r="WAM479" i="135" s="1"/>
  <c r="WAF479" i="135"/>
  <c r="WAI479" i="135" s="1"/>
  <c r="WAB479" i="135"/>
  <c r="WAE479" i="135" s="1"/>
  <c r="VZX479" i="135"/>
  <c r="WAA479" i="135" s="1"/>
  <c r="VZT479" i="135"/>
  <c r="VZW479" i="135" s="1"/>
  <c r="VZP479" i="135"/>
  <c r="VZS479" i="135" s="1"/>
  <c r="VZL479" i="135"/>
  <c r="VZO479" i="135" s="1"/>
  <c r="VZH479" i="135"/>
  <c r="VZK479" i="135" s="1"/>
  <c r="VZD479" i="135"/>
  <c r="VZG479" i="135" s="1"/>
  <c r="VYZ479" i="135"/>
  <c r="VZC479" i="135" s="1"/>
  <c r="VYV479" i="135"/>
  <c r="VYY479" i="135" s="1"/>
  <c r="VYR479" i="135"/>
  <c r="VYU479" i="135" s="1"/>
  <c r="VYN479" i="135"/>
  <c r="VYQ479" i="135" s="1"/>
  <c r="VYJ479" i="135"/>
  <c r="VYM479" i="135" s="1"/>
  <c r="VYF479" i="135"/>
  <c r="VYI479" i="135" s="1"/>
  <c r="VYB479" i="135"/>
  <c r="VYE479" i="135" s="1"/>
  <c r="VXX479" i="135"/>
  <c r="VYA479" i="135" s="1"/>
  <c r="VXT479" i="135"/>
  <c r="VXW479" i="135" s="1"/>
  <c r="VXP479" i="135"/>
  <c r="VXS479" i="135" s="1"/>
  <c r="VXL479" i="135"/>
  <c r="VXO479" i="135" s="1"/>
  <c r="VXH479" i="135"/>
  <c r="VXK479" i="135" s="1"/>
  <c r="VXD479" i="135"/>
  <c r="VXG479" i="135" s="1"/>
  <c r="VWZ479" i="135"/>
  <c r="VXC479" i="135" s="1"/>
  <c r="VWV479" i="135"/>
  <c r="VWY479" i="135" s="1"/>
  <c r="VWR479" i="135"/>
  <c r="VWU479" i="135" s="1"/>
  <c r="VWN479" i="135"/>
  <c r="VWQ479" i="135" s="1"/>
  <c r="VWJ479" i="135"/>
  <c r="VWM479" i="135" s="1"/>
  <c r="VWF479" i="135"/>
  <c r="VWI479" i="135" s="1"/>
  <c r="VWB479" i="135"/>
  <c r="VWE479" i="135" s="1"/>
  <c r="VVX479" i="135"/>
  <c r="VWA479" i="135" s="1"/>
  <c r="VVT479" i="135"/>
  <c r="VVW479" i="135" s="1"/>
  <c r="VVP479" i="135"/>
  <c r="VVS479" i="135" s="1"/>
  <c r="VVL479" i="135"/>
  <c r="VVO479" i="135" s="1"/>
  <c r="VVH479" i="135"/>
  <c r="VVK479" i="135" s="1"/>
  <c r="VVD479" i="135"/>
  <c r="VVG479" i="135" s="1"/>
  <c r="VUZ479" i="135"/>
  <c r="VVC479" i="135" s="1"/>
  <c r="VUV479" i="135"/>
  <c r="VUY479" i="135" s="1"/>
  <c r="VUR479" i="135"/>
  <c r="VUU479" i="135" s="1"/>
  <c r="VUN479" i="135"/>
  <c r="VUQ479" i="135" s="1"/>
  <c r="VUJ479" i="135"/>
  <c r="VUM479" i="135" s="1"/>
  <c r="VUF479" i="135"/>
  <c r="VUI479" i="135" s="1"/>
  <c r="VUB479" i="135"/>
  <c r="VUE479" i="135" s="1"/>
  <c r="VTX479" i="135"/>
  <c r="VUA479" i="135" s="1"/>
  <c r="VTT479" i="135"/>
  <c r="VTW479" i="135" s="1"/>
  <c r="VTP479" i="135"/>
  <c r="VTS479" i="135" s="1"/>
  <c r="VTL479" i="135"/>
  <c r="VTO479" i="135" s="1"/>
  <c r="VTH479" i="135"/>
  <c r="VTK479" i="135" s="1"/>
  <c r="VTD479" i="135"/>
  <c r="VTG479" i="135" s="1"/>
  <c r="VSZ479" i="135"/>
  <c r="VTC479" i="135" s="1"/>
  <c r="VSV479" i="135"/>
  <c r="VSY479" i="135" s="1"/>
  <c r="VSR479" i="135"/>
  <c r="VSU479" i="135" s="1"/>
  <c r="VSN479" i="135"/>
  <c r="VSQ479" i="135" s="1"/>
  <c r="VSJ479" i="135"/>
  <c r="VSM479" i="135" s="1"/>
  <c r="VSF479" i="135"/>
  <c r="VSI479" i="135" s="1"/>
  <c r="VSB479" i="135"/>
  <c r="VSE479" i="135" s="1"/>
  <c r="VRX479" i="135"/>
  <c r="VSA479" i="135" s="1"/>
  <c r="VRT479" i="135"/>
  <c r="VRW479" i="135" s="1"/>
  <c r="VRP479" i="135"/>
  <c r="VRS479" i="135" s="1"/>
  <c r="VRL479" i="135"/>
  <c r="VRO479" i="135" s="1"/>
  <c r="VRH479" i="135"/>
  <c r="VRK479" i="135" s="1"/>
  <c r="VRD479" i="135"/>
  <c r="VRG479" i="135" s="1"/>
  <c r="VQZ479" i="135"/>
  <c r="VRC479" i="135" s="1"/>
  <c r="VQV479" i="135"/>
  <c r="VQY479" i="135" s="1"/>
  <c r="VQR479" i="135"/>
  <c r="VQU479" i="135" s="1"/>
  <c r="VQN479" i="135"/>
  <c r="VQQ479" i="135" s="1"/>
  <c r="VQJ479" i="135"/>
  <c r="VQM479" i="135" s="1"/>
  <c r="VQF479" i="135"/>
  <c r="VQI479" i="135" s="1"/>
  <c r="VQB479" i="135"/>
  <c r="VQE479" i="135" s="1"/>
  <c r="VPX479" i="135"/>
  <c r="VQA479" i="135" s="1"/>
  <c r="VPT479" i="135"/>
  <c r="VPW479" i="135" s="1"/>
  <c r="VPP479" i="135"/>
  <c r="VPS479" i="135" s="1"/>
  <c r="VPL479" i="135"/>
  <c r="VPO479" i="135" s="1"/>
  <c r="VPH479" i="135"/>
  <c r="VPK479" i="135" s="1"/>
  <c r="VPD479" i="135"/>
  <c r="VPG479" i="135" s="1"/>
  <c r="VOZ479" i="135"/>
  <c r="VPC479" i="135" s="1"/>
  <c r="VOV479" i="135"/>
  <c r="VOY479" i="135" s="1"/>
  <c r="VOR479" i="135"/>
  <c r="VOU479" i="135" s="1"/>
  <c r="VON479" i="135"/>
  <c r="VOQ479" i="135" s="1"/>
  <c r="VOJ479" i="135"/>
  <c r="VOM479" i="135" s="1"/>
  <c r="VOF479" i="135"/>
  <c r="VOI479" i="135" s="1"/>
  <c r="VOB479" i="135"/>
  <c r="VOE479" i="135" s="1"/>
  <c r="VNX479" i="135"/>
  <c r="VOA479" i="135" s="1"/>
  <c r="VNT479" i="135"/>
  <c r="VNW479" i="135" s="1"/>
  <c r="VNP479" i="135"/>
  <c r="VNS479" i="135" s="1"/>
  <c r="VNL479" i="135"/>
  <c r="VNO479" i="135" s="1"/>
  <c r="VNH479" i="135"/>
  <c r="VNK479" i="135" s="1"/>
  <c r="VND479" i="135"/>
  <c r="VNG479" i="135" s="1"/>
  <c r="VMZ479" i="135"/>
  <c r="VNC479" i="135" s="1"/>
  <c r="VMV479" i="135"/>
  <c r="VMY479" i="135" s="1"/>
  <c r="VMR479" i="135"/>
  <c r="VMU479" i="135" s="1"/>
  <c r="VMN479" i="135"/>
  <c r="VMQ479" i="135" s="1"/>
  <c r="VMJ479" i="135"/>
  <c r="VMM479" i="135" s="1"/>
  <c r="VMF479" i="135"/>
  <c r="VMI479" i="135" s="1"/>
  <c r="VMB479" i="135"/>
  <c r="VME479" i="135" s="1"/>
  <c r="VLX479" i="135"/>
  <c r="VMA479" i="135" s="1"/>
  <c r="VLT479" i="135"/>
  <c r="VLW479" i="135" s="1"/>
  <c r="VLP479" i="135"/>
  <c r="VLS479" i="135" s="1"/>
  <c r="VLL479" i="135"/>
  <c r="VLO479" i="135" s="1"/>
  <c r="VLH479" i="135"/>
  <c r="VLK479" i="135" s="1"/>
  <c r="VLD479" i="135"/>
  <c r="VLG479" i="135" s="1"/>
  <c r="VKZ479" i="135"/>
  <c r="VLC479" i="135" s="1"/>
  <c r="VKV479" i="135"/>
  <c r="VKY479" i="135" s="1"/>
  <c r="VKR479" i="135"/>
  <c r="VKU479" i="135" s="1"/>
  <c r="VKN479" i="135"/>
  <c r="VKQ479" i="135" s="1"/>
  <c r="VKJ479" i="135"/>
  <c r="VKM479" i="135" s="1"/>
  <c r="VKF479" i="135"/>
  <c r="VKI479" i="135" s="1"/>
  <c r="VKB479" i="135"/>
  <c r="VKE479" i="135" s="1"/>
  <c r="VJX479" i="135"/>
  <c r="VKA479" i="135" s="1"/>
  <c r="VJT479" i="135"/>
  <c r="VJW479" i="135" s="1"/>
  <c r="VJP479" i="135"/>
  <c r="VJS479" i="135" s="1"/>
  <c r="VJL479" i="135"/>
  <c r="VJO479" i="135" s="1"/>
  <c r="VJH479" i="135"/>
  <c r="VJK479" i="135" s="1"/>
  <c r="VJD479" i="135"/>
  <c r="VJG479" i="135" s="1"/>
  <c r="VIZ479" i="135"/>
  <c r="VJC479" i="135" s="1"/>
  <c r="VIV479" i="135"/>
  <c r="VIY479" i="135" s="1"/>
  <c r="VIR479" i="135"/>
  <c r="VIU479" i="135" s="1"/>
  <c r="VIN479" i="135"/>
  <c r="VIQ479" i="135" s="1"/>
  <c r="VIJ479" i="135"/>
  <c r="VIM479" i="135" s="1"/>
  <c r="VIF479" i="135"/>
  <c r="VII479" i="135" s="1"/>
  <c r="VIB479" i="135"/>
  <c r="VIE479" i="135" s="1"/>
  <c r="VHX479" i="135"/>
  <c r="VIA479" i="135" s="1"/>
  <c r="VHT479" i="135"/>
  <c r="VHW479" i="135" s="1"/>
  <c r="VHP479" i="135"/>
  <c r="VHS479" i="135" s="1"/>
  <c r="VHL479" i="135"/>
  <c r="VHO479" i="135" s="1"/>
  <c r="VHH479" i="135"/>
  <c r="VHK479" i="135" s="1"/>
  <c r="VHD479" i="135"/>
  <c r="VHG479" i="135" s="1"/>
  <c r="VGZ479" i="135"/>
  <c r="VHC479" i="135" s="1"/>
  <c r="VGV479" i="135"/>
  <c r="VGY479" i="135" s="1"/>
  <c r="VGR479" i="135"/>
  <c r="VGU479" i="135" s="1"/>
  <c r="VGN479" i="135"/>
  <c r="VGQ479" i="135" s="1"/>
  <c r="VGJ479" i="135"/>
  <c r="VGM479" i="135" s="1"/>
  <c r="VGF479" i="135"/>
  <c r="VGI479" i="135" s="1"/>
  <c r="VGB479" i="135"/>
  <c r="VGE479" i="135" s="1"/>
  <c r="VFX479" i="135"/>
  <c r="VGA479" i="135" s="1"/>
  <c r="VFT479" i="135"/>
  <c r="VFW479" i="135" s="1"/>
  <c r="VFP479" i="135"/>
  <c r="VFS479" i="135" s="1"/>
  <c r="VFL479" i="135"/>
  <c r="VFO479" i="135" s="1"/>
  <c r="VFH479" i="135"/>
  <c r="VFK479" i="135" s="1"/>
  <c r="VFD479" i="135"/>
  <c r="VFG479" i="135" s="1"/>
  <c r="VEZ479" i="135"/>
  <c r="VFC479" i="135" s="1"/>
  <c r="VEV479" i="135"/>
  <c r="VEY479" i="135" s="1"/>
  <c r="VER479" i="135"/>
  <c r="VEU479" i="135" s="1"/>
  <c r="VEN479" i="135"/>
  <c r="VEQ479" i="135" s="1"/>
  <c r="VEJ479" i="135"/>
  <c r="VEM479" i="135" s="1"/>
  <c r="VEF479" i="135"/>
  <c r="VEI479" i="135" s="1"/>
  <c r="VEB479" i="135"/>
  <c r="VEE479" i="135" s="1"/>
  <c r="VDX479" i="135"/>
  <c r="VEA479" i="135" s="1"/>
  <c r="VDT479" i="135"/>
  <c r="VDW479" i="135" s="1"/>
  <c r="VDP479" i="135"/>
  <c r="VDS479" i="135" s="1"/>
  <c r="VDL479" i="135"/>
  <c r="VDO479" i="135" s="1"/>
  <c r="VDH479" i="135"/>
  <c r="VDK479" i="135" s="1"/>
  <c r="VDD479" i="135"/>
  <c r="VDG479" i="135" s="1"/>
  <c r="VCZ479" i="135"/>
  <c r="VDC479" i="135" s="1"/>
  <c r="VCV479" i="135"/>
  <c r="VCY479" i="135" s="1"/>
  <c r="VCR479" i="135"/>
  <c r="VCU479" i="135" s="1"/>
  <c r="VCN479" i="135"/>
  <c r="VCQ479" i="135" s="1"/>
  <c r="VCJ479" i="135"/>
  <c r="VCM479" i="135" s="1"/>
  <c r="VCF479" i="135"/>
  <c r="VCI479" i="135" s="1"/>
  <c r="VCB479" i="135"/>
  <c r="VCE479" i="135" s="1"/>
  <c r="VBX479" i="135"/>
  <c r="VCA479" i="135" s="1"/>
  <c r="VBT479" i="135"/>
  <c r="VBW479" i="135" s="1"/>
  <c r="VBP479" i="135"/>
  <c r="VBS479" i="135" s="1"/>
  <c r="VBL479" i="135"/>
  <c r="VBO479" i="135" s="1"/>
  <c r="VBH479" i="135"/>
  <c r="VBK479" i="135" s="1"/>
  <c r="VBD479" i="135"/>
  <c r="VBG479" i="135" s="1"/>
  <c r="VAZ479" i="135"/>
  <c r="VBC479" i="135" s="1"/>
  <c r="VAV479" i="135"/>
  <c r="VAY479" i="135" s="1"/>
  <c r="VAR479" i="135"/>
  <c r="VAU479" i="135" s="1"/>
  <c r="VAN479" i="135"/>
  <c r="VAQ479" i="135" s="1"/>
  <c r="VAJ479" i="135"/>
  <c r="VAM479" i="135" s="1"/>
  <c r="VAF479" i="135"/>
  <c r="VAI479" i="135" s="1"/>
  <c r="VAB479" i="135"/>
  <c r="VAE479" i="135" s="1"/>
  <c r="UZX479" i="135"/>
  <c r="VAA479" i="135" s="1"/>
  <c r="UZT479" i="135"/>
  <c r="UZW479" i="135" s="1"/>
  <c r="UZP479" i="135"/>
  <c r="UZS479" i="135" s="1"/>
  <c r="UZL479" i="135"/>
  <c r="UZO479" i="135" s="1"/>
  <c r="UZH479" i="135"/>
  <c r="UZK479" i="135" s="1"/>
  <c r="UZD479" i="135"/>
  <c r="UZG479" i="135" s="1"/>
  <c r="UYZ479" i="135"/>
  <c r="UZC479" i="135" s="1"/>
  <c r="UYV479" i="135"/>
  <c r="UYY479" i="135" s="1"/>
  <c r="UYR479" i="135"/>
  <c r="UYU479" i="135" s="1"/>
  <c r="UYN479" i="135"/>
  <c r="UYQ479" i="135" s="1"/>
  <c r="UYJ479" i="135"/>
  <c r="UYM479" i="135" s="1"/>
  <c r="UYF479" i="135"/>
  <c r="UYI479" i="135" s="1"/>
  <c r="UYB479" i="135"/>
  <c r="UYE479" i="135" s="1"/>
  <c r="UXX479" i="135"/>
  <c r="UYA479" i="135" s="1"/>
  <c r="UXT479" i="135"/>
  <c r="UXW479" i="135" s="1"/>
  <c r="UXP479" i="135"/>
  <c r="UXS479" i="135" s="1"/>
  <c r="UXL479" i="135"/>
  <c r="UXO479" i="135" s="1"/>
  <c r="UXH479" i="135"/>
  <c r="UXK479" i="135" s="1"/>
  <c r="UXD479" i="135"/>
  <c r="UXG479" i="135" s="1"/>
  <c r="UWZ479" i="135"/>
  <c r="UXC479" i="135" s="1"/>
  <c r="UWV479" i="135"/>
  <c r="UWY479" i="135" s="1"/>
  <c r="UWR479" i="135"/>
  <c r="UWU479" i="135" s="1"/>
  <c r="UWN479" i="135"/>
  <c r="UWQ479" i="135" s="1"/>
  <c r="UWJ479" i="135"/>
  <c r="UWM479" i="135" s="1"/>
  <c r="UWF479" i="135"/>
  <c r="UWI479" i="135" s="1"/>
  <c r="UWB479" i="135"/>
  <c r="UWE479" i="135" s="1"/>
  <c r="UVX479" i="135"/>
  <c r="UWA479" i="135" s="1"/>
  <c r="UVT479" i="135"/>
  <c r="UVW479" i="135" s="1"/>
  <c r="UVP479" i="135"/>
  <c r="UVS479" i="135" s="1"/>
  <c r="UVL479" i="135"/>
  <c r="UVO479" i="135" s="1"/>
  <c r="UVH479" i="135"/>
  <c r="UVK479" i="135" s="1"/>
  <c r="UVD479" i="135"/>
  <c r="UVG479" i="135" s="1"/>
  <c r="UUZ479" i="135"/>
  <c r="UVC479" i="135" s="1"/>
  <c r="UUV479" i="135"/>
  <c r="UUY479" i="135" s="1"/>
  <c r="UUR479" i="135"/>
  <c r="UUU479" i="135" s="1"/>
  <c r="UUN479" i="135"/>
  <c r="UUQ479" i="135" s="1"/>
  <c r="UUJ479" i="135"/>
  <c r="UUM479" i="135" s="1"/>
  <c r="UUF479" i="135"/>
  <c r="UUI479" i="135" s="1"/>
  <c r="UUB479" i="135"/>
  <c r="UUE479" i="135" s="1"/>
  <c r="UTX479" i="135"/>
  <c r="UUA479" i="135" s="1"/>
  <c r="UTT479" i="135"/>
  <c r="UTW479" i="135" s="1"/>
  <c r="UTP479" i="135"/>
  <c r="UTS479" i="135" s="1"/>
  <c r="UTL479" i="135"/>
  <c r="UTO479" i="135" s="1"/>
  <c r="UTH479" i="135"/>
  <c r="UTK479" i="135" s="1"/>
  <c r="UTD479" i="135"/>
  <c r="UTG479" i="135" s="1"/>
  <c r="USZ479" i="135"/>
  <c r="UTC479" i="135" s="1"/>
  <c r="USV479" i="135"/>
  <c r="USY479" i="135" s="1"/>
  <c r="USR479" i="135"/>
  <c r="USU479" i="135" s="1"/>
  <c r="USN479" i="135"/>
  <c r="USQ479" i="135" s="1"/>
  <c r="USJ479" i="135"/>
  <c r="USM479" i="135" s="1"/>
  <c r="USF479" i="135"/>
  <c r="USI479" i="135" s="1"/>
  <c r="USB479" i="135"/>
  <c r="USE479" i="135" s="1"/>
  <c r="URX479" i="135"/>
  <c r="USA479" i="135" s="1"/>
  <c r="URT479" i="135"/>
  <c r="URW479" i="135" s="1"/>
  <c r="URP479" i="135"/>
  <c r="URS479" i="135" s="1"/>
  <c r="URL479" i="135"/>
  <c r="URO479" i="135" s="1"/>
  <c r="URH479" i="135"/>
  <c r="URK479" i="135" s="1"/>
  <c r="URD479" i="135"/>
  <c r="URG479" i="135" s="1"/>
  <c r="UQZ479" i="135"/>
  <c r="URC479" i="135" s="1"/>
  <c r="UQV479" i="135"/>
  <c r="UQY479" i="135" s="1"/>
  <c r="UQR479" i="135"/>
  <c r="UQU479" i="135" s="1"/>
  <c r="UQN479" i="135"/>
  <c r="UQQ479" i="135" s="1"/>
  <c r="UQJ479" i="135"/>
  <c r="UQM479" i="135" s="1"/>
  <c r="UQF479" i="135"/>
  <c r="UQI479" i="135" s="1"/>
  <c r="UQB479" i="135"/>
  <c r="UQE479" i="135" s="1"/>
  <c r="UPX479" i="135"/>
  <c r="UQA479" i="135" s="1"/>
  <c r="UPT479" i="135"/>
  <c r="UPW479" i="135" s="1"/>
  <c r="UPP479" i="135"/>
  <c r="UPS479" i="135" s="1"/>
  <c r="UPL479" i="135"/>
  <c r="UPO479" i="135" s="1"/>
  <c r="UPH479" i="135"/>
  <c r="UPK479" i="135" s="1"/>
  <c r="UPD479" i="135"/>
  <c r="UPG479" i="135" s="1"/>
  <c r="UOZ479" i="135"/>
  <c r="UPC479" i="135" s="1"/>
  <c r="UOV479" i="135"/>
  <c r="UOY479" i="135" s="1"/>
  <c r="UOR479" i="135"/>
  <c r="UOU479" i="135" s="1"/>
  <c r="UON479" i="135"/>
  <c r="UOQ479" i="135" s="1"/>
  <c r="UOJ479" i="135"/>
  <c r="UOM479" i="135" s="1"/>
  <c r="UOF479" i="135"/>
  <c r="UOI479" i="135" s="1"/>
  <c r="UOB479" i="135"/>
  <c r="UOE479" i="135" s="1"/>
  <c r="UNX479" i="135"/>
  <c r="UOA479" i="135" s="1"/>
  <c r="UNT479" i="135"/>
  <c r="UNW479" i="135" s="1"/>
  <c r="UNP479" i="135"/>
  <c r="UNS479" i="135" s="1"/>
  <c r="UNL479" i="135"/>
  <c r="UNO479" i="135" s="1"/>
  <c r="UNH479" i="135"/>
  <c r="UNK479" i="135" s="1"/>
  <c r="UND479" i="135"/>
  <c r="UNG479" i="135" s="1"/>
  <c r="UMZ479" i="135"/>
  <c r="UNC479" i="135" s="1"/>
  <c r="UMV479" i="135"/>
  <c r="UMY479" i="135" s="1"/>
  <c r="UMR479" i="135"/>
  <c r="UMU479" i="135" s="1"/>
  <c r="UMN479" i="135"/>
  <c r="UMQ479" i="135" s="1"/>
  <c r="UMJ479" i="135"/>
  <c r="UMM479" i="135" s="1"/>
  <c r="UMF479" i="135"/>
  <c r="UMI479" i="135" s="1"/>
  <c r="UMB479" i="135"/>
  <c r="UME479" i="135" s="1"/>
  <c r="ULX479" i="135"/>
  <c r="UMA479" i="135" s="1"/>
  <c r="ULT479" i="135"/>
  <c r="ULW479" i="135" s="1"/>
  <c r="ULP479" i="135"/>
  <c r="ULS479" i="135" s="1"/>
  <c r="ULL479" i="135"/>
  <c r="ULO479" i="135" s="1"/>
  <c r="ULH479" i="135"/>
  <c r="ULK479" i="135" s="1"/>
  <c r="ULD479" i="135"/>
  <c r="ULG479" i="135" s="1"/>
  <c r="UKZ479" i="135"/>
  <c r="ULC479" i="135" s="1"/>
  <c r="UKV479" i="135"/>
  <c r="UKY479" i="135" s="1"/>
  <c r="UKR479" i="135"/>
  <c r="UKU479" i="135" s="1"/>
  <c r="UKN479" i="135"/>
  <c r="UKQ479" i="135" s="1"/>
  <c r="UKJ479" i="135"/>
  <c r="UKM479" i="135" s="1"/>
  <c r="UKF479" i="135"/>
  <c r="UKI479" i="135" s="1"/>
  <c r="UKB479" i="135"/>
  <c r="UKE479" i="135" s="1"/>
  <c r="UJX479" i="135"/>
  <c r="UKA479" i="135" s="1"/>
  <c r="UJT479" i="135"/>
  <c r="UJW479" i="135" s="1"/>
  <c r="UJP479" i="135"/>
  <c r="UJS479" i="135" s="1"/>
  <c r="UJL479" i="135"/>
  <c r="UJO479" i="135" s="1"/>
  <c r="UJH479" i="135"/>
  <c r="UJK479" i="135" s="1"/>
  <c r="UJD479" i="135"/>
  <c r="UJG479" i="135" s="1"/>
  <c r="UIZ479" i="135"/>
  <c r="UJC479" i="135" s="1"/>
  <c r="UIV479" i="135"/>
  <c r="UIY479" i="135" s="1"/>
  <c r="UIR479" i="135"/>
  <c r="UIU479" i="135" s="1"/>
  <c r="UIN479" i="135"/>
  <c r="UIQ479" i="135" s="1"/>
  <c r="UIJ479" i="135"/>
  <c r="UIM479" i="135" s="1"/>
  <c r="UIF479" i="135"/>
  <c r="UII479" i="135" s="1"/>
  <c r="UIB479" i="135"/>
  <c r="UIE479" i="135" s="1"/>
  <c r="UHX479" i="135"/>
  <c r="UIA479" i="135" s="1"/>
  <c r="UHT479" i="135"/>
  <c r="UHW479" i="135" s="1"/>
  <c r="UHP479" i="135"/>
  <c r="UHS479" i="135" s="1"/>
  <c r="UHL479" i="135"/>
  <c r="UHO479" i="135" s="1"/>
  <c r="UHH479" i="135"/>
  <c r="UHK479" i="135" s="1"/>
  <c r="UHD479" i="135"/>
  <c r="UHG479" i="135" s="1"/>
  <c r="UGZ479" i="135"/>
  <c r="UHC479" i="135" s="1"/>
  <c r="UGV479" i="135"/>
  <c r="UGY479" i="135" s="1"/>
  <c r="UGR479" i="135"/>
  <c r="UGU479" i="135" s="1"/>
  <c r="UGN479" i="135"/>
  <c r="UGQ479" i="135" s="1"/>
  <c r="UGJ479" i="135"/>
  <c r="UGM479" i="135" s="1"/>
  <c r="UGF479" i="135"/>
  <c r="UGI479" i="135" s="1"/>
  <c r="UGB479" i="135"/>
  <c r="UGE479" i="135" s="1"/>
  <c r="UFX479" i="135"/>
  <c r="UGA479" i="135" s="1"/>
  <c r="UFT479" i="135"/>
  <c r="UFW479" i="135" s="1"/>
  <c r="UFP479" i="135"/>
  <c r="UFS479" i="135" s="1"/>
  <c r="UFL479" i="135"/>
  <c r="UFO479" i="135" s="1"/>
  <c r="UFH479" i="135"/>
  <c r="UFK479" i="135" s="1"/>
  <c r="UFD479" i="135"/>
  <c r="UFG479" i="135" s="1"/>
  <c r="UEZ479" i="135"/>
  <c r="UFC479" i="135" s="1"/>
  <c r="UEV479" i="135"/>
  <c r="UEY479" i="135" s="1"/>
  <c r="UER479" i="135"/>
  <c r="UEU479" i="135" s="1"/>
  <c r="UEN479" i="135"/>
  <c r="UEQ479" i="135" s="1"/>
  <c r="UEJ479" i="135"/>
  <c r="UEM479" i="135" s="1"/>
  <c r="UEF479" i="135"/>
  <c r="UEI479" i="135" s="1"/>
  <c r="UEB479" i="135"/>
  <c r="UEE479" i="135" s="1"/>
  <c r="UDX479" i="135"/>
  <c r="UEA479" i="135" s="1"/>
  <c r="UDT479" i="135"/>
  <c r="UDW479" i="135" s="1"/>
  <c r="UDP479" i="135"/>
  <c r="UDS479" i="135" s="1"/>
  <c r="UDL479" i="135"/>
  <c r="UDO479" i="135" s="1"/>
  <c r="UDH479" i="135"/>
  <c r="UDK479" i="135" s="1"/>
  <c r="UDD479" i="135"/>
  <c r="UDG479" i="135" s="1"/>
  <c r="UCZ479" i="135"/>
  <c r="UDC479" i="135" s="1"/>
  <c r="UCV479" i="135"/>
  <c r="UCY479" i="135" s="1"/>
  <c r="UCR479" i="135"/>
  <c r="UCU479" i="135" s="1"/>
  <c r="UCN479" i="135"/>
  <c r="UCQ479" i="135" s="1"/>
  <c r="UCJ479" i="135"/>
  <c r="UCM479" i="135" s="1"/>
  <c r="UCF479" i="135"/>
  <c r="UCI479" i="135" s="1"/>
  <c r="UCB479" i="135"/>
  <c r="UCE479" i="135" s="1"/>
  <c r="UBX479" i="135"/>
  <c r="UCA479" i="135" s="1"/>
  <c r="UBT479" i="135"/>
  <c r="UBW479" i="135" s="1"/>
  <c r="UBP479" i="135"/>
  <c r="UBS479" i="135" s="1"/>
  <c r="UBL479" i="135"/>
  <c r="UBO479" i="135" s="1"/>
  <c r="UBH479" i="135"/>
  <c r="UBK479" i="135" s="1"/>
  <c r="UBD479" i="135"/>
  <c r="UBG479" i="135" s="1"/>
  <c r="UAZ479" i="135"/>
  <c r="UBC479" i="135" s="1"/>
  <c r="UAV479" i="135"/>
  <c r="UAY479" i="135" s="1"/>
  <c r="UAR479" i="135"/>
  <c r="UAU479" i="135" s="1"/>
  <c r="UAN479" i="135"/>
  <c r="UAQ479" i="135" s="1"/>
  <c r="UAJ479" i="135"/>
  <c r="UAM479" i="135" s="1"/>
  <c r="UAF479" i="135"/>
  <c r="UAI479" i="135" s="1"/>
  <c r="UAB479" i="135"/>
  <c r="UAE479" i="135" s="1"/>
  <c r="TZX479" i="135"/>
  <c r="UAA479" i="135" s="1"/>
  <c r="TZT479" i="135"/>
  <c r="TZW479" i="135" s="1"/>
  <c r="TZP479" i="135"/>
  <c r="TZS479" i="135" s="1"/>
  <c r="TZL479" i="135"/>
  <c r="TZO479" i="135" s="1"/>
  <c r="TZH479" i="135"/>
  <c r="TZK479" i="135" s="1"/>
  <c r="TZD479" i="135"/>
  <c r="TZG479" i="135" s="1"/>
  <c r="TYZ479" i="135"/>
  <c r="TZC479" i="135" s="1"/>
  <c r="TYV479" i="135"/>
  <c r="TYY479" i="135" s="1"/>
  <c r="TYR479" i="135"/>
  <c r="TYU479" i="135" s="1"/>
  <c r="TYN479" i="135"/>
  <c r="TYQ479" i="135" s="1"/>
  <c r="TYJ479" i="135"/>
  <c r="TYM479" i="135" s="1"/>
  <c r="TYF479" i="135"/>
  <c r="TYI479" i="135" s="1"/>
  <c r="TYB479" i="135"/>
  <c r="TYE479" i="135" s="1"/>
  <c r="TXX479" i="135"/>
  <c r="TYA479" i="135" s="1"/>
  <c r="TXT479" i="135"/>
  <c r="TXW479" i="135" s="1"/>
  <c r="TXP479" i="135"/>
  <c r="TXS479" i="135" s="1"/>
  <c r="TXL479" i="135"/>
  <c r="TXO479" i="135" s="1"/>
  <c r="TXH479" i="135"/>
  <c r="TXK479" i="135" s="1"/>
  <c r="TXD479" i="135"/>
  <c r="TXG479" i="135" s="1"/>
  <c r="TWZ479" i="135"/>
  <c r="TXC479" i="135" s="1"/>
  <c r="TWV479" i="135"/>
  <c r="TWY479" i="135" s="1"/>
  <c r="TWR479" i="135"/>
  <c r="TWU479" i="135" s="1"/>
  <c r="TWN479" i="135"/>
  <c r="TWQ479" i="135" s="1"/>
  <c r="TWJ479" i="135"/>
  <c r="TWM479" i="135" s="1"/>
  <c r="TWF479" i="135"/>
  <c r="TWI479" i="135" s="1"/>
  <c r="TWB479" i="135"/>
  <c r="TWE479" i="135" s="1"/>
  <c r="TVX479" i="135"/>
  <c r="TWA479" i="135" s="1"/>
  <c r="TVT479" i="135"/>
  <c r="TVW479" i="135" s="1"/>
  <c r="TVP479" i="135"/>
  <c r="TVS479" i="135" s="1"/>
  <c r="TVL479" i="135"/>
  <c r="TVO479" i="135" s="1"/>
  <c r="TVH479" i="135"/>
  <c r="TVK479" i="135" s="1"/>
  <c r="TVD479" i="135"/>
  <c r="TVG479" i="135" s="1"/>
  <c r="TUZ479" i="135"/>
  <c r="TVC479" i="135" s="1"/>
  <c r="TUV479" i="135"/>
  <c r="TUY479" i="135" s="1"/>
  <c r="TUR479" i="135"/>
  <c r="TUU479" i="135" s="1"/>
  <c r="TUN479" i="135"/>
  <c r="TUQ479" i="135" s="1"/>
  <c r="TUJ479" i="135"/>
  <c r="TUM479" i="135" s="1"/>
  <c r="TUF479" i="135"/>
  <c r="TUI479" i="135" s="1"/>
  <c r="TUB479" i="135"/>
  <c r="TUE479" i="135" s="1"/>
  <c r="TTX479" i="135"/>
  <c r="TUA479" i="135" s="1"/>
  <c r="TTT479" i="135"/>
  <c r="TTW479" i="135" s="1"/>
  <c r="TTP479" i="135"/>
  <c r="TTS479" i="135" s="1"/>
  <c r="TTL479" i="135"/>
  <c r="TTO479" i="135" s="1"/>
  <c r="TTH479" i="135"/>
  <c r="TTK479" i="135" s="1"/>
  <c r="TTD479" i="135"/>
  <c r="TTG479" i="135" s="1"/>
  <c r="TSZ479" i="135"/>
  <c r="TTC479" i="135" s="1"/>
  <c r="TSV479" i="135"/>
  <c r="TSY479" i="135" s="1"/>
  <c r="TSR479" i="135"/>
  <c r="TSU479" i="135" s="1"/>
  <c r="TSN479" i="135"/>
  <c r="TSQ479" i="135" s="1"/>
  <c r="TSJ479" i="135"/>
  <c r="TSM479" i="135" s="1"/>
  <c r="TSF479" i="135"/>
  <c r="TSI479" i="135" s="1"/>
  <c r="TSB479" i="135"/>
  <c r="TSE479" i="135" s="1"/>
  <c r="TRX479" i="135"/>
  <c r="TSA479" i="135" s="1"/>
  <c r="TRT479" i="135"/>
  <c r="TRW479" i="135" s="1"/>
  <c r="TRP479" i="135"/>
  <c r="TRS479" i="135" s="1"/>
  <c r="TRL479" i="135"/>
  <c r="TRO479" i="135" s="1"/>
  <c r="TRH479" i="135"/>
  <c r="TRK479" i="135" s="1"/>
  <c r="TRD479" i="135"/>
  <c r="TRG479" i="135" s="1"/>
  <c r="TQZ479" i="135"/>
  <c r="TRC479" i="135" s="1"/>
  <c r="TQV479" i="135"/>
  <c r="TQY479" i="135" s="1"/>
  <c r="TQR479" i="135"/>
  <c r="TQU479" i="135" s="1"/>
  <c r="TQN479" i="135"/>
  <c r="TQQ479" i="135" s="1"/>
  <c r="TQJ479" i="135"/>
  <c r="TQM479" i="135" s="1"/>
  <c r="TQF479" i="135"/>
  <c r="TQI479" i="135" s="1"/>
  <c r="TQB479" i="135"/>
  <c r="TQE479" i="135" s="1"/>
  <c r="TPX479" i="135"/>
  <c r="TQA479" i="135" s="1"/>
  <c r="TPT479" i="135"/>
  <c r="TPW479" i="135" s="1"/>
  <c r="TPP479" i="135"/>
  <c r="TPS479" i="135" s="1"/>
  <c r="TPL479" i="135"/>
  <c r="TPO479" i="135" s="1"/>
  <c r="TPH479" i="135"/>
  <c r="TPK479" i="135" s="1"/>
  <c r="TPD479" i="135"/>
  <c r="TPG479" i="135" s="1"/>
  <c r="TOZ479" i="135"/>
  <c r="TPC479" i="135" s="1"/>
  <c r="TOV479" i="135"/>
  <c r="TOY479" i="135" s="1"/>
  <c r="TOR479" i="135"/>
  <c r="TOU479" i="135" s="1"/>
  <c r="TON479" i="135"/>
  <c r="TOQ479" i="135" s="1"/>
  <c r="TOJ479" i="135"/>
  <c r="TOM479" i="135" s="1"/>
  <c r="TOF479" i="135"/>
  <c r="TOI479" i="135" s="1"/>
  <c r="TOB479" i="135"/>
  <c r="TOE479" i="135" s="1"/>
  <c r="TNX479" i="135"/>
  <c r="TOA479" i="135" s="1"/>
  <c r="TNT479" i="135"/>
  <c r="TNW479" i="135" s="1"/>
  <c r="TNP479" i="135"/>
  <c r="TNS479" i="135" s="1"/>
  <c r="TNL479" i="135"/>
  <c r="TNO479" i="135" s="1"/>
  <c r="TNH479" i="135"/>
  <c r="TNK479" i="135" s="1"/>
  <c r="TND479" i="135"/>
  <c r="TNG479" i="135" s="1"/>
  <c r="TMZ479" i="135"/>
  <c r="TNC479" i="135" s="1"/>
  <c r="TMV479" i="135"/>
  <c r="TMY479" i="135" s="1"/>
  <c r="TMR479" i="135"/>
  <c r="TMU479" i="135" s="1"/>
  <c r="TMN479" i="135"/>
  <c r="TMQ479" i="135" s="1"/>
  <c r="TMJ479" i="135"/>
  <c r="TMM479" i="135" s="1"/>
  <c r="TMF479" i="135"/>
  <c r="TMI479" i="135" s="1"/>
  <c r="TMB479" i="135"/>
  <c r="TME479" i="135" s="1"/>
  <c r="TLX479" i="135"/>
  <c r="TMA479" i="135" s="1"/>
  <c r="TLT479" i="135"/>
  <c r="TLW479" i="135" s="1"/>
  <c r="TLP479" i="135"/>
  <c r="TLS479" i="135" s="1"/>
  <c r="TLL479" i="135"/>
  <c r="TLO479" i="135" s="1"/>
  <c r="TLH479" i="135"/>
  <c r="TLK479" i="135" s="1"/>
  <c r="TLD479" i="135"/>
  <c r="TLG479" i="135" s="1"/>
  <c r="TKZ479" i="135"/>
  <c r="TLC479" i="135" s="1"/>
  <c r="TKV479" i="135"/>
  <c r="TKY479" i="135" s="1"/>
  <c r="TKR479" i="135"/>
  <c r="TKU479" i="135" s="1"/>
  <c r="TKN479" i="135"/>
  <c r="TKQ479" i="135" s="1"/>
  <c r="TKJ479" i="135"/>
  <c r="TKM479" i="135" s="1"/>
  <c r="TKF479" i="135"/>
  <c r="TKI479" i="135" s="1"/>
  <c r="TKB479" i="135"/>
  <c r="TKE479" i="135" s="1"/>
  <c r="TJX479" i="135"/>
  <c r="TKA479" i="135" s="1"/>
  <c r="TJT479" i="135"/>
  <c r="TJW479" i="135" s="1"/>
  <c r="TJP479" i="135"/>
  <c r="TJS479" i="135" s="1"/>
  <c r="TJL479" i="135"/>
  <c r="TJO479" i="135" s="1"/>
  <c r="TJH479" i="135"/>
  <c r="TJK479" i="135" s="1"/>
  <c r="TJD479" i="135"/>
  <c r="TJG479" i="135" s="1"/>
  <c r="TIZ479" i="135"/>
  <c r="TJC479" i="135" s="1"/>
  <c r="TIV479" i="135"/>
  <c r="TIY479" i="135" s="1"/>
  <c r="TIR479" i="135"/>
  <c r="TIU479" i="135" s="1"/>
  <c r="TIN479" i="135"/>
  <c r="TIQ479" i="135" s="1"/>
  <c r="TIJ479" i="135"/>
  <c r="TIM479" i="135" s="1"/>
  <c r="TIF479" i="135"/>
  <c r="TII479" i="135" s="1"/>
  <c r="TIB479" i="135"/>
  <c r="TIE479" i="135" s="1"/>
  <c r="THX479" i="135"/>
  <c r="TIA479" i="135" s="1"/>
  <c r="THT479" i="135"/>
  <c r="THW479" i="135" s="1"/>
  <c r="THP479" i="135"/>
  <c r="THS479" i="135" s="1"/>
  <c r="THL479" i="135"/>
  <c r="THO479" i="135" s="1"/>
  <c r="THH479" i="135"/>
  <c r="THK479" i="135" s="1"/>
  <c r="THD479" i="135"/>
  <c r="THG479" i="135" s="1"/>
  <c r="TGZ479" i="135"/>
  <c r="THC479" i="135" s="1"/>
  <c r="TGV479" i="135"/>
  <c r="TGY479" i="135" s="1"/>
  <c r="TGR479" i="135"/>
  <c r="TGU479" i="135" s="1"/>
  <c r="TGN479" i="135"/>
  <c r="TGQ479" i="135" s="1"/>
  <c r="TGJ479" i="135"/>
  <c r="TGM479" i="135" s="1"/>
  <c r="TGF479" i="135"/>
  <c r="TGI479" i="135" s="1"/>
  <c r="TGB479" i="135"/>
  <c r="TGE479" i="135" s="1"/>
  <c r="TFX479" i="135"/>
  <c r="TGA479" i="135" s="1"/>
  <c r="TFT479" i="135"/>
  <c r="TFW479" i="135" s="1"/>
  <c r="TFP479" i="135"/>
  <c r="TFS479" i="135" s="1"/>
  <c r="TFL479" i="135"/>
  <c r="TFO479" i="135" s="1"/>
  <c r="TFH479" i="135"/>
  <c r="TFK479" i="135" s="1"/>
  <c r="TFD479" i="135"/>
  <c r="TFG479" i="135" s="1"/>
  <c r="TEZ479" i="135"/>
  <c r="TFC479" i="135" s="1"/>
  <c r="TEV479" i="135"/>
  <c r="TEY479" i="135" s="1"/>
  <c r="TER479" i="135"/>
  <c r="TEU479" i="135" s="1"/>
  <c r="TEN479" i="135"/>
  <c r="TEQ479" i="135" s="1"/>
  <c r="TEJ479" i="135"/>
  <c r="TEM479" i="135" s="1"/>
  <c r="TEF479" i="135"/>
  <c r="TEI479" i="135" s="1"/>
  <c r="TEB479" i="135"/>
  <c r="TEE479" i="135" s="1"/>
  <c r="TDX479" i="135"/>
  <c r="TEA479" i="135" s="1"/>
  <c r="TDT479" i="135"/>
  <c r="TDW479" i="135" s="1"/>
  <c r="TDP479" i="135"/>
  <c r="TDS479" i="135" s="1"/>
  <c r="TDL479" i="135"/>
  <c r="TDO479" i="135" s="1"/>
  <c r="TDH479" i="135"/>
  <c r="TDK479" i="135" s="1"/>
  <c r="TDD479" i="135"/>
  <c r="TDG479" i="135" s="1"/>
  <c r="TCZ479" i="135"/>
  <c r="TDC479" i="135" s="1"/>
  <c r="TCV479" i="135"/>
  <c r="TCY479" i="135" s="1"/>
  <c r="TCR479" i="135"/>
  <c r="TCU479" i="135" s="1"/>
  <c r="TCN479" i="135"/>
  <c r="TCQ479" i="135" s="1"/>
  <c r="TCJ479" i="135"/>
  <c r="TCM479" i="135" s="1"/>
  <c r="TCF479" i="135"/>
  <c r="TCI479" i="135" s="1"/>
  <c r="TCB479" i="135"/>
  <c r="TCE479" i="135" s="1"/>
  <c r="TBX479" i="135"/>
  <c r="TCA479" i="135" s="1"/>
  <c r="TBT479" i="135"/>
  <c r="TBW479" i="135" s="1"/>
  <c r="TBP479" i="135"/>
  <c r="TBS479" i="135" s="1"/>
  <c r="TBL479" i="135"/>
  <c r="TBO479" i="135" s="1"/>
  <c r="TBH479" i="135"/>
  <c r="TBK479" i="135" s="1"/>
  <c r="TBD479" i="135"/>
  <c r="TBG479" i="135" s="1"/>
  <c r="TAZ479" i="135"/>
  <c r="TBC479" i="135" s="1"/>
  <c r="TAV479" i="135"/>
  <c r="TAY479" i="135" s="1"/>
  <c r="TAR479" i="135"/>
  <c r="TAU479" i="135" s="1"/>
  <c r="TAN479" i="135"/>
  <c r="TAQ479" i="135" s="1"/>
  <c r="TAJ479" i="135"/>
  <c r="TAM479" i="135" s="1"/>
  <c r="TAF479" i="135"/>
  <c r="TAI479" i="135" s="1"/>
  <c r="TAB479" i="135"/>
  <c r="TAE479" i="135" s="1"/>
  <c r="SZX479" i="135"/>
  <c r="TAA479" i="135" s="1"/>
  <c r="SZT479" i="135"/>
  <c r="SZW479" i="135" s="1"/>
  <c r="SZP479" i="135"/>
  <c r="SZS479" i="135" s="1"/>
  <c r="SZL479" i="135"/>
  <c r="SZO479" i="135" s="1"/>
  <c r="SZH479" i="135"/>
  <c r="SZK479" i="135" s="1"/>
  <c r="SZD479" i="135"/>
  <c r="SZG479" i="135" s="1"/>
  <c r="SYZ479" i="135"/>
  <c r="SZC479" i="135" s="1"/>
  <c r="SYV479" i="135"/>
  <c r="SYY479" i="135" s="1"/>
  <c r="SYR479" i="135"/>
  <c r="SYU479" i="135" s="1"/>
  <c r="SYN479" i="135"/>
  <c r="SYQ479" i="135" s="1"/>
  <c r="SYJ479" i="135"/>
  <c r="SYM479" i="135" s="1"/>
  <c r="SYF479" i="135"/>
  <c r="SYI479" i="135" s="1"/>
  <c r="SYB479" i="135"/>
  <c r="SYE479" i="135" s="1"/>
  <c r="SXX479" i="135"/>
  <c r="SYA479" i="135" s="1"/>
  <c r="SXT479" i="135"/>
  <c r="SXW479" i="135" s="1"/>
  <c r="SXP479" i="135"/>
  <c r="SXS479" i="135" s="1"/>
  <c r="SXL479" i="135"/>
  <c r="SXO479" i="135" s="1"/>
  <c r="SXH479" i="135"/>
  <c r="SXK479" i="135" s="1"/>
  <c r="SXD479" i="135"/>
  <c r="SXG479" i="135" s="1"/>
  <c r="SWZ479" i="135"/>
  <c r="SXC479" i="135" s="1"/>
  <c r="SWV479" i="135"/>
  <c r="SWY479" i="135" s="1"/>
  <c r="SWR479" i="135"/>
  <c r="SWU479" i="135" s="1"/>
  <c r="SWN479" i="135"/>
  <c r="SWQ479" i="135" s="1"/>
  <c r="SWJ479" i="135"/>
  <c r="SWM479" i="135" s="1"/>
  <c r="SWF479" i="135"/>
  <c r="SWI479" i="135" s="1"/>
  <c r="SWB479" i="135"/>
  <c r="SWE479" i="135" s="1"/>
  <c r="SVX479" i="135"/>
  <c r="SWA479" i="135" s="1"/>
  <c r="SVT479" i="135"/>
  <c r="SVW479" i="135" s="1"/>
  <c r="SVP479" i="135"/>
  <c r="SVS479" i="135" s="1"/>
  <c r="SVL479" i="135"/>
  <c r="SVO479" i="135" s="1"/>
  <c r="SVH479" i="135"/>
  <c r="SVK479" i="135" s="1"/>
  <c r="SVD479" i="135"/>
  <c r="SVG479" i="135" s="1"/>
  <c r="SUZ479" i="135"/>
  <c r="SVC479" i="135" s="1"/>
  <c r="SUV479" i="135"/>
  <c r="SUY479" i="135" s="1"/>
  <c r="SUR479" i="135"/>
  <c r="SUU479" i="135" s="1"/>
  <c r="SUN479" i="135"/>
  <c r="SUQ479" i="135" s="1"/>
  <c r="SUJ479" i="135"/>
  <c r="SUM479" i="135" s="1"/>
  <c r="SUF479" i="135"/>
  <c r="SUI479" i="135" s="1"/>
  <c r="SUB479" i="135"/>
  <c r="SUE479" i="135" s="1"/>
  <c r="STX479" i="135"/>
  <c r="SUA479" i="135" s="1"/>
  <c r="STT479" i="135"/>
  <c r="STW479" i="135" s="1"/>
  <c r="STP479" i="135"/>
  <c r="STS479" i="135" s="1"/>
  <c r="STL479" i="135"/>
  <c r="STO479" i="135" s="1"/>
  <c r="STH479" i="135"/>
  <c r="STK479" i="135" s="1"/>
  <c r="STD479" i="135"/>
  <c r="STG479" i="135" s="1"/>
  <c r="SSZ479" i="135"/>
  <c r="STC479" i="135" s="1"/>
  <c r="SSV479" i="135"/>
  <c r="SSY479" i="135" s="1"/>
  <c r="SSR479" i="135"/>
  <c r="SSU479" i="135" s="1"/>
  <c r="SSN479" i="135"/>
  <c r="SSQ479" i="135" s="1"/>
  <c r="SSJ479" i="135"/>
  <c r="SSM479" i="135" s="1"/>
  <c r="SSF479" i="135"/>
  <c r="SSI479" i="135" s="1"/>
  <c r="SSB479" i="135"/>
  <c r="SSE479" i="135" s="1"/>
  <c r="SRX479" i="135"/>
  <c r="SSA479" i="135" s="1"/>
  <c r="SRT479" i="135"/>
  <c r="SRW479" i="135" s="1"/>
  <c r="SRP479" i="135"/>
  <c r="SRS479" i="135" s="1"/>
  <c r="SRL479" i="135"/>
  <c r="SRO479" i="135" s="1"/>
  <c r="SRH479" i="135"/>
  <c r="SRK479" i="135" s="1"/>
  <c r="SRD479" i="135"/>
  <c r="SRG479" i="135" s="1"/>
  <c r="SQZ479" i="135"/>
  <c r="SRC479" i="135" s="1"/>
  <c r="SQV479" i="135"/>
  <c r="SQY479" i="135" s="1"/>
  <c r="SQR479" i="135"/>
  <c r="SQU479" i="135" s="1"/>
  <c r="SQN479" i="135"/>
  <c r="SQQ479" i="135" s="1"/>
  <c r="SQJ479" i="135"/>
  <c r="SQM479" i="135" s="1"/>
  <c r="SQF479" i="135"/>
  <c r="SQI479" i="135" s="1"/>
  <c r="SQB479" i="135"/>
  <c r="SQE479" i="135" s="1"/>
  <c r="SPX479" i="135"/>
  <c r="SQA479" i="135" s="1"/>
  <c r="SPT479" i="135"/>
  <c r="SPW479" i="135" s="1"/>
  <c r="SPP479" i="135"/>
  <c r="SPS479" i="135" s="1"/>
  <c r="SPL479" i="135"/>
  <c r="SPO479" i="135" s="1"/>
  <c r="SPH479" i="135"/>
  <c r="SPK479" i="135" s="1"/>
  <c r="SPD479" i="135"/>
  <c r="SPG479" i="135" s="1"/>
  <c r="SOZ479" i="135"/>
  <c r="SPC479" i="135" s="1"/>
  <c r="SOV479" i="135"/>
  <c r="SOY479" i="135" s="1"/>
  <c r="SOR479" i="135"/>
  <c r="SOU479" i="135" s="1"/>
  <c r="SON479" i="135"/>
  <c r="SOQ479" i="135" s="1"/>
  <c r="SOJ479" i="135"/>
  <c r="SOM479" i="135" s="1"/>
  <c r="SOF479" i="135"/>
  <c r="SOI479" i="135" s="1"/>
  <c r="SOB479" i="135"/>
  <c r="SOE479" i="135" s="1"/>
  <c r="SNX479" i="135"/>
  <c r="SOA479" i="135" s="1"/>
  <c r="SNT479" i="135"/>
  <c r="SNW479" i="135" s="1"/>
  <c r="SNP479" i="135"/>
  <c r="SNS479" i="135" s="1"/>
  <c r="SNL479" i="135"/>
  <c r="SNO479" i="135" s="1"/>
  <c r="SNH479" i="135"/>
  <c r="SNK479" i="135" s="1"/>
  <c r="SND479" i="135"/>
  <c r="SNG479" i="135" s="1"/>
  <c r="SMZ479" i="135"/>
  <c r="SNC479" i="135" s="1"/>
  <c r="SMV479" i="135"/>
  <c r="SMY479" i="135" s="1"/>
  <c r="SMR479" i="135"/>
  <c r="SMU479" i="135" s="1"/>
  <c r="SMN479" i="135"/>
  <c r="SMQ479" i="135" s="1"/>
  <c r="SMJ479" i="135"/>
  <c r="SMM479" i="135" s="1"/>
  <c r="SMF479" i="135"/>
  <c r="SMI479" i="135" s="1"/>
  <c r="SMB479" i="135"/>
  <c r="SME479" i="135" s="1"/>
  <c r="SLX479" i="135"/>
  <c r="SMA479" i="135" s="1"/>
  <c r="SLT479" i="135"/>
  <c r="SLW479" i="135" s="1"/>
  <c r="SLP479" i="135"/>
  <c r="SLS479" i="135" s="1"/>
  <c r="SLL479" i="135"/>
  <c r="SLO479" i="135" s="1"/>
  <c r="SLH479" i="135"/>
  <c r="SLK479" i="135" s="1"/>
  <c r="SLD479" i="135"/>
  <c r="SLG479" i="135" s="1"/>
  <c r="SKZ479" i="135"/>
  <c r="SLC479" i="135" s="1"/>
  <c r="SKV479" i="135"/>
  <c r="SKY479" i="135" s="1"/>
  <c r="SKR479" i="135"/>
  <c r="SKU479" i="135" s="1"/>
  <c r="SKN479" i="135"/>
  <c r="SKQ479" i="135" s="1"/>
  <c r="SKJ479" i="135"/>
  <c r="SKM479" i="135" s="1"/>
  <c r="SKF479" i="135"/>
  <c r="SKI479" i="135" s="1"/>
  <c r="SKB479" i="135"/>
  <c r="SKE479" i="135" s="1"/>
  <c r="SJX479" i="135"/>
  <c r="SKA479" i="135" s="1"/>
  <c r="SJT479" i="135"/>
  <c r="SJW479" i="135" s="1"/>
  <c r="SJP479" i="135"/>
  <c r="SJS479" i="135" s="1"/>
  <c r="SJL479" i="135"/>
  <c r="SJO479" i="135" s="1"/>
  <c r="SJH479" i="135"/>
  <c r="SJK479" i="135" s="1"/>
  <c r="SJD479" i="135"/>
  <c r="SJG479" i="135" s="1"/>
  <c r="SIZ479" i="135"/>
  <c r="SJC479" i="135" s="1"/>
  <c r="SIV479" i="135"/>
  <c r="SIY479" i="135" s="1"/>
  <c r="SIR479" i="135"/>
  <c r="SIU479" i="135" s="1"/>
  <c r="SIN479" i="135"/>
  <c r="SIQ479" i="135" s="1"/>
  <c r="SIJ479" i="135"/>
  <c r="SIM479" i="135" s="1"/>
  <c r="SIF479" i="135"/>
  <c r="SII479" i="135" s="1"/>
  <c r="SIB479" i="135"/>
  <c r="SIE479" i="135" s="1"/>
  <c r="SHX479" i="135"/>
  <c r="SIA479" i="135" s="1"/>
  <c r="SHT479" i="135"/>
  <c r="SHW479" i="135" s="1"/>
  <c r="SHP479" i="135"/>
  <c r="SHS479" i="135" s="1"/>
  <c r="SHL479" i="135"/>
  <c r="SHO479" i="135" s="1"/>
  <c r="SHH479" i="135"/>
  <c r="SHK479" i="135" s="1"/>
  <c r="SHD479" i="135"/>
  <c r="SHG479" i="135" s="1"/>
  <c r="SGZ479" i="135"/>
  <c r="SHC479" i="135" s="1"/>
  <c r="SGV479" i="135"/>
  <c r="SGY479" i="135" s="1"/>
  <c r="SGR479" i="135"/>
  <c r="SGU479" i="135" s="1"/>
  <c r="SGN479" i="135"/>
  <c r="SGQ479" i="135" s="1"/>
  <c r="SGJ479" i="135"/>
  <c r="SGM479" i="135" s="1"/>
  <c r="SGF479" i="135"/>
  <c r="SGI479" i="135" s="1"/>
  <c r="SGB479" i="135"/>
  <c r="SGE479" i="135" s="1"/>
  <c r="SFX479" i="135"/>
  <c r="SGA479" i="135" s="1"/>
  <c r="SFT479" i="135"/>
  <c r="SFW479" i="135" s="1"/>
  <c r="SFP479" i="135"/>
  <c r="SFS479" i="135" s="1"/>
  <c r="SFL479" i="135"/>
  <c r="SFO479" i="135" s="1"/>
  <c r="SFH479" i="135"/>
  <c r="SFK479" i="135" s="1"/>
  <c r="SFD479" i="135"/>
  <c r="SFG479" i="135" s="1"/>
  <c r="SEZ479" i="135"/>
  <c r="SFC479" i="135" s="1"/>
  <c r="SEV479" i="135"/>
  <c r="SEY479" i="135" s="1"/>
  <c r="SER479" i="135"/>
  <c r="SEU479" i="135" s="1"/>
  <c r="SEN479" i="135"/>
  <c r="SEQ479" i="135" s="1"/>
  <c r="SEJ479" i="135"/>
  <c r="SEM479" i="135" s="1"/>
  <c r="SEF479" i="135"/>
  <c r="SEI479" i="135" s="1"/>
  <c r="SEB479" i="135"/>
  <c r="SEE479" i="135" s="1"/>
  <c r="SDX479" i="135"/>
  <c r="SEA479" i="135" s="1"/>
  <c r="SDT479" i="135"/>
  <c r="SDW479" i="135" s="1"/>
  <c r="SDP479" i="135"/>
  <c r="SDS479" i="135" s="1"/>
  <c r="SDL479" i="135"/>
  <c r="SDO479" i="135" s="1"/>
  <c r="SDH479" i="135"/>
  <c r="SDK479" i="135" s="1"/>
  <c r="SDD479" i="135"/>
  <c r="SDG479" i="135" s="1"/>
  <c r="SCZ479" i="135"/>
  <c r="SDC479" i="135" s="1"/>
  <c r="SCV479" i="135"/>
  <c r="SCY479" i="135" s="1"/>
  <c r="SCR479" i="135"/>
  <c r="SCU479" i="135" s="1"/>
  <c r="SCN479" i="135"/>
  <c r="SCQ479" i="135" s="1"/>
  <c r="SCJ479" i="135"/>
  <c r="SCM479" i="135" s="1"/>
  <c r="SCF479" i="135"/>
  <c r="SCI479" i="135" s="1"/>
  <c r="SCB479" i="135"/>
  <c r="SCE479" i="135" s="1"/>
  <c r="SBX479" i="135"/>
  <c r="SCA479" i="135" s="1"/>
  <c r="SBT479" i="135"/>
  <c r="SBW479" i="135" s="1"/>
  <c r="SBP479" i="135"/>
  <c r="SBS479" i="135" s="1"/>
  <c r="SBL479" i="135"/>
  <c r="SBO479" i="135" s="1"/>
  <c r="SBH479" i="135"/>
  <c r="SBK479" i="135" s="1"/>
  <c r="SBD479" i="135"/>
  <c r="SBG479" i="135" s="1"/>
  <c r="SAZ479" i="135"/>
  <c r="SBC479" i="135" s="1"/>
  <c r="SAV479" i="135"/>
  <c r="SAY479" i="135" s="1"/>
  <c r="SAR479" i="135"/>
  <c r="SAU479" i="135" s="1"/>
  <c r="SAN479" i="135"/>
  <c r="SAQ479" i="135" s="1"/>
  <c r="SAJ479" i="135"/>
  <c r="SAM479" i="135" s="1"/>
  <c r="SAF479" i="135"/>
  <c r="SAI479" i="135" s="1"/>
  <c r="SAB479" i="135"/>
  <c r="SAE479" i="135" s="1"/>
  <c r="RZX479" i="135"/>
  <c r="SAA479" i="135" s="1"/>
  <c r="RZT479" i="135"/>
  <c r="RZW479" i="135" s="1"/>
  <c r="RZP479" i="135"/>
  <c r="RZS479" i="135" s="1"/>
  <c r="RZL479" i="135"/>
  <c r="RZO479" i="135" s="1"/>
  <c r="RZH479" i="135"/>
  <c r="RZK479" i="135" s="1"/>
  <c r="RZD479" i="135"/>
  <c r="RZG479" i="135" s="1"/>
  <c r="RYZ479" i="135"/>
  <c r="RZC479" i="135" s="1"/>
  <c r="RYV479" i="135"/>
  <c r="RYY479" i="135" s="1"/>
  <c r="RYR479" i="135"/>
  <c r="RYU479" i="135" s="1"/>
  <c r="RYN479" i="135"/>
  <c r="RYQ479" i="135" s="1"/>
  <c r="RYJ479" i="135"/>
  <c r="RYM479" i="135" s="1"/>
  <c r="RYF479" i="135"/>
  <c r="RYI479" i="135" s="1"/>
  <c r="RYB479" i="135"/>
  <c r="RYE479" i="135" s="1"/>
  <c r="RXX479" i="135"/>
  <c r="RYA479" i="135" s="1"/>
  <c r="RXT479" i="135"/>
  <c r="RXW479" i="135" s="1"/>
  <c r="RXP479" i="135"/>
  <c r="RXS479" i="135" s="1"/>
  <c r="RXL479" i="135"/>
  <c r="RXO479" i="135" s="1"/>
  <c r="RXH479" i="135"/>
  <c r="RXK479" i="135" s="1"/>
  <c r="RXD479" i="135"/>
  <c r="RXG479" i="135" s="1"/>
  <c r="RWZ479" i="135"/>
  <c r="RXC479" i="135" s="1"/>
  <c r="RWV479" i="135"/>
  <c r="RWY479" i="135" s="1"/>
  <c r="RWR479" i="135"/>
  <c r="RWU479" i="135" s="1"/>
  <c r="RWN479" i="135"/>
  <c r="RWQ479" i="135" s="1"/>
  <c r="RWJ479" i="135"/>
  <c r="RWM479" i="135" s="1"/>
  <c r="RWF479" i="135"/>
  <c r="RWI479" i="135" s="1"/>
  <c r="RWB479" i="135"/>
  <c r="RWE479" i="135" s="1"/>
  <c r="RVX479" i="135"/>
  <c r="RWA479" i="135" s="1"/>
  <c r="RVT479" i="135"/>
  <c r="RVW479" i="135" s="1"/>
  <c r="RVP479" i="135"/>
  <c r="RVS479" i="135" s="1"/>
  <c r="RVL479" i="135"/>
  <c r="RVO479" i="135" s="1"/>
  <c r="RVH479" i="135"/>
  <c r="RVK479" i="135" s="1"/>
  <c r="RVD479" i="135"/>
  <c r="RVG479" i="135" s="1"/>
  <c r="RUZ479" i="135"/>
  <c r="RVC479" i="135" s="1"/>
  <c r="RUV479" i="135"/>
  <c r="RUY479" i="135" s="1"/>
  <c r="RUR479" i="135"/>
  <c r="RUU479" i="135" s="1"/>
  <c r="RUN479" i="135"/>
  <c r="RUQ479" i="135" s="1"/>
  <c r="RUJ479" i="135"/>
  <c r="RUM479" i="135" s="1"/>
  <c r="RUF479" i="135"/>
  <c r="RUI479" i="135" s="1"/>
  <c r="RUB479" i="135"/>
  <c r="RUE479" i="135" s="1"/>
  <c r="RTX479" i="135"/>
  <c r="RUA479" i="135" s="1"/>
  <c r="RTT479" i="135"/>
  <c r="RTW479" i="135" s="1"/>
  <c r="RTP479" i="135"/>
  <c r="RTS479" i="135" s="1"/>
  <c r="RTL479" i="135"/>
  <c r="RTO479" i="135" s="1"/>
  <c r="RTH479" i="135"/>
  <c r="RTK479" i="135" s="1"/>
  <c r="RTD479" i="135"/>
  <c r="RTG479" i="135" s="1"/>
  <c r="RSZ479" i="135"/>
  <c r="RTC479" i="135" s="1"/>
  <c r="RSV479" i="135"/>
  <c r="RSY479" i="135" s="1"/>
  <c r="RSR479" i="135"/>
  <c r="RSU479" i="135" s="1"/>
  <c r="RSN479" i="135"/>
  <c r="RSQ479" i="135" s="1"/>
  <c r="RSJ479" i="135"/>
  <c r="RSM479" i="135" s="1"/>
  <c r="RSF479" i="135"/>
  <c r="RSI479" i="135" s="1"/>
  <c r="RSB479" i="135"/>
  <c r="RSE479" i="135" s="1"/>
  <c r="RRX479" i="135"/>
  <c r="RSA479" i="135" s="1"/>
  <c r="RRT479" i="135"/>
  <c r="RRW479" i="135" s="1"/>
  <c r="RRP479" i="135"/>
  <c r="RRS479" i="135" s="1"/>
  <c r="RRL479" i="135"/>
  <c r="RRO479" i="135" s="1"/>
  <c r="RRH479" i="135"/>
  <c r="RRK479" i="135" s="1"/>
  <c r="RRD479" i="135"/>
  <c r="RRG479" i="135" s="1"/>
  <c r="RQZ479" i="135"/>
  <c r="RRC479" i="135" s="1"/>
  <c r="RQV479" i="135"/>
  <c r="RQY479" i="135" s="1"/>
  <c r="RQR479" i="135"/>
  <c r="RQU479" i="135" s="1"/>
  <c r="RQN479" i="135"/>
  <c r="RQQ479" i="135" s="1"/>
  <c r="RQJ479" i="135"/>
  <c r="RQM479" i="135" s="1"/>
  <c r="RQF479" i="135"/>
  <c r="RQI479" i="135" s="1"/>
  <c r="RQB479" i="135"/>
  <c r="RQE479" i="135" s="1"/>
  <c r="RPX479" i="135"/>
  <c r="RQA479" i="135" s="1"/>
  <c r="RPT479" i="135"/>
  <c r="RPW479" i="135" s="1"/>
  <c r="RPP479" i="135"/>
  <c r="RPS479" i="135" s="1"/>
  <c r="RPL479" i="135"/>
  <c r="RPO479" i="135" s="1"/>
  <c r="RPH479" i="135"/>
  <c r="RPK479" i="135" s="1"/>
  <c r="RPD479" i="135"/>
  <c r="RPG479" i="135" s="1"/>
  <c r="ROZ479" i="135"/>
  <c r="RPC479" i="135" s="1"/>
  <c r="ROV479" i="135"/>
  <c r="ROY479" i="135" s="1"/>
  <c r="ROR479" i="135"/>
  <c r="ROU479" i="135" s="1"/>
  <c r="RON479" i="135"/>
  <c r="ROQ479" i="135" s="1"/>
  <c r="ROJ479" i="135"/>
  <c r="ROM479" i="135" s="1"/>
  <c r="ROF479" i="135"/>
  <c r="ROI479" i="135" s="1"/>
  <c r="ROB479" i="135"/>
  <c r="ROE479" i="135" s="1"/>
  <c r="RNX479" i="135"/>
  <c r="ROA479" i="135" s="1"/>
  <c r="RNT479" i="135"/>
  <c r="RNW479" i="135" s="1"/>
  <c r="RNP479" i="135"/>
  <c r="RNS479" i="135" s="1"/>
  <c r="RNL479" i="135"/>
  <c r="RNO479" i="135" s="1"/>
  <c r="RNH479" i="135"/>
  <c r="RNK479" i="135" s="1"/>
  <c r="RND479" i="135"/>
  <c r="RNG479" i="135" s="1"/>
  <c r="RMZ479" i="135"/>
  <c r="RNC479" i="135" s="1"/>
  <c r="RMV479" i="135"/>
  <c r="RMY479" i="135" s="1"/>
  <c r="RMR479" i="135"/>
  <c r="RMU479" i="135" s="1"/>
  <c r="RMN479" i="135"/>
  <c r="RMQ479" i="135" s="1"/>
  <c r="RMJ479" i="135"/>
  <c r="RMM479" i="135" s="1"/>
  <c r="RMF479" i="135"/>
  <c r="RMI479" i="135" s="1"/>
  <c r="RMB479" i="135"/>
  <c r="RME479" i="135" s="1"/>
  <c r="RLX479" i="135"/>
  <c r="RMA479" i="135" s="1"/>
  <c r="RLT479" i="135"/>
  <c r="RLW479" i="135" s="1"/>
  <c r="RLP479" i="135"/>
  <c r="RLS479" i="135" s="1"/>
  <c r="RLL479" i="135"/>
  <c r="RLO479" i="135" s="1"/>
  <c r="RLH479" i="135"/>
  <c r="RLK479" i="135" s="1"/>
  <c r="RLD479" i="135"/>
  <c r="RLG479" i="135" s="1"/>
  <c r="RKZ479" i="135"/>
  <c r="RLC479" i="135" s="1"/>
  <c r="RKV479" i="135"/>
  <c r="RKY479" i="135" s="1"/>
  <c r="RKR479" i="135"/>
  <c r="RKU479" i="135" s="1"/>
  <c r="RKN479" i="135"/>
  <c r="RKQ479" i="135" s="1"/>
  <c r="RKJ479" i="135"/>
  <c r="RKM479" i="135" s="1"/>
  <c r="RKF479" i="135"/>
  <c r="RKI479" i="135" s="1"/>
  <c r="RKB479" i="135"/>
  <c r="RKE479" i="135" s="1"/>
  <c r="RJX479" i="135"/>
  <c r="RKA479" i="135" s="1"/>
  <c r="RJT479" i="135"/>
  <c r="RJW479" i="135" s="1"/>
  <c r="RJP479" i="135"/>
  <c r="RJS479" i="135" s="1"/>
  <c r="RJL479" i="135"/>
  <c r="RJO479" i="135" s="1"/>
  <c r="RJH479" i="135"/>
  <c r="RJK479" i="135" s="1"/>
  <c r="RJD479" i="135"/>
  <c r="RJG479" i="135" s="1"/>
  <c r="RIZ479" i="135"/>
  <c r="RJC479" i="135" s="1"/>
  <c r="RIV479" i="135"/>
  <c r="RIY479" i="135" s="1"/>
  <c r="RIR479" i="135"/>
  <c r="RIU479" i="135" s="1"/>
  <c r="RIN479" i="135"/>
  <c r="RIQ479" i="135" s="1"/>
  <c r="RIJ479" i="135"/>
  <c r="RIM479" i="135" s="1"/>
  <c r="RIF479" i="135"/>
  <c r="RII479" i="135" s="1"/>
  <c r="RIB479" i="135"/>
  <c r="RIE479" i="135" s="1"/>
  <c r="RHX479" i="135"/>
  <c r="RIA479" i="135" s="1"/>
  <c r="RHT479" i="135"/>
  <c r="RHW479" i="135" s="1"/>
  <c r="RHP479" i="135"/>
  <c r="RHS479" i="135" s="1"/>
  <c r="RHL479" i="135"/>
  <c r="RHO479" i="135" s="1"/>
  <c r="RHH479" i="135"/>
  <c r="RHK479" i="135" s="1"/>
  <c r="RHD479" i="135"/>
  <c r="RHG479" i="135" s="1"/>
  <c r="RGZ479" i="135"/>
  <c r="RHC479" i="135" s="1"/>
  <c r="RGV479" i="135"/>
  <c r="RGY479" i="135" s="1"/>
  <c r="RGR479" i="135"/>
  <c r="RGU479" i="135" s="1"/>
  <c r="RGN479" i="135"/>
  <c r="RGQ479" i="135" s="1"/>
  <c r="RGJ479" i="135"/>
  <c r="RGM479" i="135" s="1"/>
  <c r="RGF479" i="135"/>
  <c r="RGI479" i="135" s="1"/>
  <c r="RGB479" i="135"/>
  <c r="RGE479" i="135" s="1"/>
  <c r="RFX479" i="135"/>
  <c r="RGA479" i="135" s="1"/>
  <c r="RFT479" i="135"/>
  <c r="RFW479" i="135" s="1"/>
  <c r="RFP479" i="135"/>
  <c r="RFS479" i="135" s="1"/>
  <c r="RFL479" i="135"/>
  <c r="RFO479" i="135" s="1"/>
  <c r="RFH479" i="135"/>
  <c r="RFK479" i="135" s="1"/>
  <c r="RFD479" i="135"/>
  <c r="RFG479" i="135" s="1"/>
  <c r="REZ479" i="135"/>
  <c r="RFC479" i="135" s="1"/>
  <c r="REV479" i="135"/>
  <c r="REY479" i="135" s="1"/>
  <c r="RER479" i="135"/>
  <c r="REU479" i="135" s="1"/>
  <c r="REN479" i="135"/>
  <c r="REQ479" i="135" s="1"/>
  <c r="REJ479" i="135"/>
  <c r="REM479" i="135" s="1"/>
  <c r="REF479" i="135"/>
  <c r="REI479" i="135" s="1"/>
  <c r="REB479" i="135"/>
  <c r="REE479" i="135" s="1"/>
  <c r="RDX479" i="135"/>
  <c r="REA479" i="135" s="1"/>
  <c r="RDT479" i="135"/>
  <c r="RDW479" i="135" s="1"/>
  <c r="RDP479" i="135"/>
  <c r="RDS479" i="135" s="1"/>
  <c r="RDL479" i="135"/>
  <c r="RDO479" i="135" s="1"/>
  <c r="RDH479" i="135"/>
  <c r="RDK479" i="135" s="1"/>
  <c r="RDD479" i="135"/>
  <c r="RDG479" i="135" s="1"/>
  <c r="RCZ479" i="135"/>
  <c r="RDC479" i="135" s="1"/>
  <c r="RCV479" i="135"/>
  <c r="RCY479" i="135" s="1"/>
  <c r="RCR479" i="135"/>
  <c r="RCU479" i="135" s="1"/>
  <c r="RCN479" i="135"/>
  <c r="RCQ479" i="135" s="1"/>
  <c r="RCJ479" i="135"/>
  <c r="RCM479" i="135" s="1"/>
  <c r="RCF479" i="135"/>
  <c r="RCI479" i="135" s="1"/>
  <c r="RCB479" i="135"/>
  <c r="RCE479" i="135" s="1"/>
  <c r="RBX479" i="135"/>
  <c r="RCA479" i="135" s="1"/>
  <c r="RBT479" i="135"/>
  <c r="RBW479" i="135" s="1"/>
  <c r="RBP479" i="135"/>
  <c r="RBS479" i="135" s="1"/>
  <c r="RBL479" i="135"/>
  <c r="RBO479" i="135" s="1"/>
  <c r="RBH479" i="135"/>
  <c r="RBK479" i="135" s="1"/>
  <c r="RBD479" i="135"/>
  <c r="RBG479" i="135" s="1"/>
  <c r="RAZ479" i="135"/>
  <c r="RBC479" i="135" s="1"/>
  <c r="RAV479" i="135"/>
  <c r="RAY479" i="135" s="1"/>
  <c r="RAR479" i="135"/>
  <c r="RAU479" i="135" s="1"/>
  <c r="RAN479" i="135"/>
  <c r="RAQ479" i="135" s="1"/>
  <c r="RAJ479" i="135"/>
  <c r="RAM479" i="135" s="1"/>
  <c r="RAF479" i="135"/>
  <c r="RAI479" i="135" s="1"/>
  <c r="RAB479" i="135"/>
  <c r="RAE479" i="135" s="1"/>
  <c r="QZX479" i="135"/>
  <c r="RAA479" i="135" s="1"/>
  <c r="QZT479" i="135"/>
  <c r="QZW479" i="135" s="1"/>
  <c r="QZP479" i="135"/>
  <c r="QZS479" i="135" s="1"/>
  <c r="QZL479" i="135"/>
  <c r="QZO479" i="135" s="1"/>
  <c r="QZH479" i="135"/>
  <c r="QZK479" i="135" s="1"/>
  <c r="QZD479" i="135"/>
  <c r="QZG479" i="135" s="1"/>
  <c r="QYZ479" i="135"/>
  <c r="QZC479" i="135" s="1"/>
  <c r="QYV479" i="135"/>
  <c r="QYY479" i="135" s="1"/>
  <c r="QYR479" i="135"/>
  <c r="QYU479" i="135" s="1"/>
  <c r="QYN479" i="135"/>
  <c r="QYQ479" i="135" s="1"/>
  <c r="QYJ479" i="135"/>
  <c r="QYM479" i="135" s="1"/>
  <c r="QYF479" i="135"/>
  <c r="QYI479" i="135" s="1"/>
  <c r="QYB479" i="135"/>
  <c r="QYE479" i="135" s="1"/>
  <c r="QXX479" i="135"/>
  <c r="QYA479" i="135" s="1"/>
  <c r="QXT479" i="135"/>
  <c r="QXW479" i="135" s="1"/>
  <c r="QXP479" i="135"/>
  <c r="QXS479" i="135" s="1"/>
  <c r="QXL479" i="135"/>
  <c r="QXO479" i="135" s="1"/>
  <c r="QXH479" i="135"/>
  <c r="QXK479" i="135" s="1"/>
  <c r="QXD479" i="135"/>
  <c r="QXG479" i="135" s="1"/>
  <c r="QWZ479" i="135"/>
  <c r="QXC479" i="135" s="1"/>
  <c r="QWV479" i="135"/>
  <c r="QWY479" i="135" s="1"/>
  <c r="QWR479" i="135"/>
  <c r="QWU479" i="135" s="1"/>
  <c r="QWN479" i="135"/>
  <c r="QWQ479" i="135" s="1"/>
  <c r="QWJ479" i="135"/>
  <c r="QWM479" i="135" s="1"/>
  <c r="QWF479" i="135"/>
  <c r="QWI479" i="135" s="1"/>
  <c r="QWB479" i="135"/>
  <c r="QWE479" i="135" s="1"/>
  <c r="QVX479" i="135"/>
  <c r="QWA479" i="135" s="1"/>
  <c r="QVT479" i="135"/>
  <c r="QVW479" i="135" s="1"/>
  <c r="QVP479" i="135"/>
  <c r="QVS479" i="135" s="1"/>
  <c r="QVL479" i="135"/>
  <c r="QVO479" i="135" s="1"/>
  <c r="QVH479" i="135"/>
  <c r="QVK479" i="135" s="1"/>
  <c r="QVD479" i="135"/>
  <c r="QVG479" i="135" s="1"/>
  <c r="QUZ479" i="135"/>
  <c r="QVC479" i="135" s="1"/>
  <c r="QUV479" i="135"/>
  <c r="QUY479" i="135" s="1"/>
  <c r="QUR479" i="135"/>
  <c r="QUU479" i="135" s="1"/>
  <c r="QUN479" i="135"/>
  <c r="QUQ479" i="135" s="1"/>
  <c r="QUJ479" i="135"/>
  <c r="QUM479" i="135" s="1"/>
  <c r="QUF479" i="135"/>
  <c r="QUI479" i="135" s="1"/>
  <c r="QUB479" i="135"/>
  <c r="QUE479" i="135" s="1"/>
  <c r="QTX479" i="135"/>
  <c r="QUA479" i="135" s="1"/>
  <c r="QTT479" i="135"/>
  <c r="QTW479" i="135" s="1"/>
  <c r="QTP479" i="135"/>
  <c r="QTS479" i="135" s="1"/>
  <c r="QTL479" i="135"/>
  <c r="QTO479" i="135" s="1"/>
  <c r="QTH479" i="135"/>
  <c r="QTK479" i="135" s="1"/>
  <c r="QTD479" i="135"/>
  <c r="QTG479" i="135" s="1"/>
  <c r="QSZ479" i="135"/>
  <c r="QTC479" i="135" s="1"/>
  <c r="QSV479" i="135"/>
  <c r="QSY479" i="135" s="1"/>
  <c r="QSR479" i="135"/>
  <c r="QSU479" i="135" s="1"/>
  <c r="QSN479" i="135"/>
  <c r="QSQ479" i="135" s="1"/>
  <c r="QSJ479" i="135"/>
  <c r="QSM479" i="135" s="1"/>
  <c r="QSF479" i="135"/>
  <c r="QSI479" i="135" s="1"/>
  <c r="QSB479" i="135"/>
  <c r="QSE479" i="135" s="1"/>
  <c r="QRX479" i="135"/>
  <c r="QSA479" i="135" s="1"/>
  <c r="QRT479" i="135"/>
  <c r="QRW479" i="135" s="1"/>
  <c r="QRP479" i="135"/>
  <c r="QRS479" i="135" s="1"/>
  <c r="QRL479" i="135"/>
  <c r="QRO479" i="135" s="1"/>
  <c r="QRH479" i="135"/>
  <c r="QRK479" i="135" s="1"/>
  <c r="QRD479" i="135"/>
  <c r="QRG479" i="135" s="1"/>
  <c r="QQZ479" i="135"/>
  <c r="QRC479" i="135" s="1"/>
  <c r="QQV479" i="135"/>
  <c r="QQY479" i="135" s="1"/>
  <c r="QQR479" i="135"/>
  <c r="QQU479" i="135" s="1"/>
  <c r="QQN479" i="135"/>
  <c r="QQQ479" i="135" s="1"/>
  <c r="QQJ479" i="135"/>
  <c r="QQM479" i="135" s="1"/>
  <c r="QQF479" i="135"/>
  <c r="QQI479" i="135" s="1"/>
  <c r="QQB479" i="135"/>
  <c r="QQE479" i="135" s="1"/>
  <c r="QPX479" i="135"/>
  <c r="QQA479" i="135" s="1"/>
  <c r="QPT479" i="135"/>
  <c r="QPW479" i="135" s="1"/>
  <c r="QPP479" i="135"/>
  <c r="QPS479" i="135" s="1"/>
  <c r="QPL479" i="135"/>
  <c r="QPO479" i="135" s="1"/>
  <c r="QPH479" i="135"/>
  <c r="QPK479" i="135" s="1"/>
  <c r="QPD479" i="135"/>
  <c r="QPG479" i="135" s="1"/>
  <c r="QOZ479" i="135"/>
  <c r="QPC479" i="135" s="1"/>
  <c r="QOV479" i="135"/>
  <c r="QOY479" i="135" s="1"/>
  <c r="QOR479" i="135"/>
  <c r="QOU479" i="135" s="1"/>
  <c r="QON479" i="135"/>
  <c r="QOQ479" i="135" s="1"/>
  <c r="QOJ479" i="135"/>
  <c r="QOM479" i="135" s="1"/>
  <c r="QOF479" i="135"/>
  <c r="QOI479" i="135" s="1"/>
  <c r="QOB479" i="135"/>
  <c r="QOE479" i="135" s="1"/>
  <c r="QNX479" i="135"/>
  <c r="QOA479" i="135" s="1"/>
  <c r="QNT479" i="135"/>
  <c r="QNW479" i="135" s="1"/>
  <c r="QNP479" i="135"/>
  <c r="QNS479" i="135" s="1"/>
  <c r="QNL479" i="135"/>
  <c r="QNO479" i="135" s="1"/>
  <c r="QNH479" i="135"/>
  <c r="QNK479" i="135" s="1"/>
  <c r="QND479" i="135"/>
  <c r="QNG479" i="135" s="1"/>
  <c r="QMZ479" i="135"/>
  <c r="QNC479" i="135" s="1"/>
  <c r="QMV479" i="135"/>
  <c r="QMY479" i="135" s="1"/>
  <c r="QMR479" i="135"/>
  <c r="QMU479" i="135" s="1"/>
  <c r="QMN479" i="135"/>
  <c r="QMQ479" i="135" s="1"/>
  <c r="QMJ479" i="135"/>
  <c r="QMM479" i="135" s="1"/>
  <c r="QMF479" i="135"/>
  <c r="QMI479" i="135" s="1"/>
  <c r="QMB479" i="135"/>
  <c r="QME479" i="135" s="1"/>
  <c r="QLX479" i="135"/>
  <c r="QMA479" i="135" s="1"/>
  <c r="QLT479" i="135"/>
  <c r="QLW479" i="135" s="1"/>
  <c r="QLP479" i="135"/>
  <c r="QLS479" i="135" s="1"/>
  <c r="QLL479" i="135"/>
  <c r="QLO479" i="135" s="1"/>
  <c r="QLH479" i="135"/>
  <c r="QLK479" i="135" s="1"/>
  <c r="QLD479" i="135"/>
  <c r="QLG479" i="135" s="1"/>
  <c r="QKZ479" i="135"/>
  <c r="QLC479" i="135" s="1"/>
  <c r="QKV479" i="135"/>
  <c r="QKY479" i="135" s="1"/>
  <c r="QKR479" i="135"/>
  <c r="QKU479" i="135" s="1"/>
  <c r="QKN479" i="135"/>
  <c r="QKQ479" i="135" s="1"/>
  <c r="QKJ479" i="135"/>
  <c r="QKM479" i="135" s="1"/>
  <c r="QKF479" i="135"/>
  <c r="QKI479" i="135" s="1"/>
  <c r="QKB479" i="135"/>
  <c r="QKE479" i="135" s="1"/>
  <c r="QJX479" i="135"/>
  <c r="QKA479" i="135" s="1"/>
  <c r="QJT479" i="135"/>
  <c r="QJW479" i="135" s="1"/>
  <c r="QJP479" i="135"/>
  <c r="QJS479" i="135" s="1"/>
  <c r="QJL479" i="135"/>
  <c r="QJO479" i="135" s="1"/>
  <c r="QJH479" i="135"/>
  <c r="QJK479" i="135" s="1"/>
  <c r="QJD479" i="135"/>
  <c r="QJG479" i="135" s="1"/>
  <c r="QIZ479" i="135"/>
  <c r="QJC479" i="135" s="1"/>
  <c r="QIV479" i="135"/>
  <c r="QIY479" i="135" s="1"/>
  <c r="QIR479" i="135"/>
  <c r="QIU479" i="135" s="1"/>
  <c r="QIN479" i="135"/>
  <c r="QIQ479" i="135" s="1"/>
  <c r="QIJ479" i="135"/>
  <c r="QIM479" i="135" s="1"/>
  <c r="QIF479" i="135"/>
  <c r="QII479" i="135" s="1"/>
  <c r="QIB479" i="135"/>
  <c r="QIE479" i="135" s="1"/>
  <c r="QHX479" i="135"/>
  <c r="QIA479" i="135" s="1"/>
  <c r="QHT479" i="135"/>
  <c r="QHW479" i="135" s="1"/>
  <c r="QHP479" i="135"/>
  <c r="QHS479" i="135" s="1"/>
  <c r="QHL479" i="135"/>
  <c r="QHO479" i="135" s="1"/>
  <c r="QHH479" i="135"/>
  <c r="QHK479" i="135" s="1"/>
  <c r="QHD479" i="135"/>
  <c r="QHG479" i="135" s="1"/>
  <c r="QGZ479" i="135"/>
  <c r="QHC479" i="135" s="1"/>
  <c r="QGV479" i="135"/>
  <c r="QGY479" i="135" s="1"/>
  <c r="QGR479" i="135"/>
  <c r="QGU479" i="135" s="1"/>
  <c r="QGN479" i="135"/>
  <c r="QGQ479" i="135" s="1"/>
  <c r="QGJ479" i="135"/>
  <c r="QGM479" i="135" s="1"/>
  <c r="QGF479" i="135"/>
  <c r="QGI479" i="135" s="1"/>
  <c r="QGB479" i="135"/>
  <c r="QGE479" i="135" s="1"/>
  <c r="QFX479" i="135"/>
  <c r="QGA479" i="135" s="1"/>
  <c r="QFT479" i="135"/>
  <c r="QFW479" i="135" s="1"/>
  <c r="QFP479" i="135"/>
  <c r="QFS479" i="135" s="1"/>
  <c r="QFL479" i="135"/>
  <c r="QFO479" i="135" s="1"/>
  <c r="QFH479" i="135"/>
  <c r="QFK479" i="135" s="1"/>
  <c r="QFD479" i="135"/>
  <c r="QFG479" i="135" s="1"/>
  <c r="QEZ479" i="135"/>
  <c r="QFC479" i="135" s="1"/>
  <c r="QEV479" i="135"/>
  <c r="QEY479" i="135" s="1"/>
  <c r="QER479" i="135"/>
  <c r="QEU479" i="135" s="1"/>
  <c r="QEN479" i="135"/>
  <c r="QEQ479" i="135" s="1"/>
  <c r="QEJ479" i="135"/>
  <c r="QEM479" i="135" s="1"/>
  <c r="QEF479" i="135"/>
  <c r="QEI479" i="135" s="1"/>
  <c r="QEB479" i="135"/>
  <c r="QEE479" i="135" s="1"/>
  <c r="QDX479" i="135"/>
  <c r="QEA479" i="135" s="1"/>
  <c r="QDT479" i="135"/>
  <c r="QDW479" i="135" s="1"/>
  <c r="QDP479" i="135"/>
  <c r="QDS479" i="135" s="1"/>
  <c r="QDL479" i="135"/>
  <c r="QDO479" i="135" s="1"/>
  <c r="QDH479" i="135"/>
  <c r="QDK479" i="135" s="1"/>
  <c r="QDD479" i="135"/>
  <c r="QDG479" i="135" s="1"/>
  <c r="QCZ479" i="135"/>
  <c r="QDC479" i="135" s="1"/>
  <c r="QCV479" i="135"/>
  <c r="QCY479" i="135" s="1"/>
  <c r="QCR479" i="135"/>
  <c r="QCU479" i="135" s="1"/>
  <c r="QCN479" i="135"/>
  <c r="QCQ479" i="135" s="1"/>
  <c r="QCJ479" i="135"/>
  <c r="QCM479" i="135" s="1"/>
  <c r="QCF479" i="135"/>
  <c r="QCI479" i="135" s="1"/>
  <c r="QCB479" i="135"/>
  <c r="QCE479" i="135" s="1"/>
  <c r="QBX479" i="135"/>
  <c r="QCA479" i="135" s="1"/>
  <c r="QBT479" i="135"/>
  <c r="QBW479" i="135" s="1"/>
  <c r="QBP479" i="135"/>
  <c r="QBS479" i="135" s="1"/>
  <c r="QBL479" i="135"/>
  <c r="QBO479" i="135" s="1"/>
  <c r="QBH479" i="135"/>
  <c r="QBK479" i="135" s="1"/>
  <c r="QBD479" i="135"/>
  <c r="QBG479" i="135" s="1"/>
  <c r="QAZ479" i="135"/>
  <c r="QBC479" i="135" s="1"/>
  <c r="QAV479" i="135"/>
  <c r="QAY479" i="135" s="1"/>
  <c r="QAR479" i="135"/>
  <c r="QAU479" i="135" s="1"/>
  <c r="QAN479" i="135"/>
  <c r="QAQ479" i="135" s="1"/>
  <c r="QAJ479" i="135"/>
  <c r="QAM479" i="135" s="1"/>
  <c r="QAF479" i="135"/>
  <c r="QAI479" i="135" s="1"/>
  <c r="QAB479" i="135"/>
  <c r="QAE479" i="135" s="1"/>
  <c r="PZX479" i="135"/>
  <c r="QAA479" i="135" s="1"/>
  <c r="PZT479" i="135"/>
  <c r="PZW479" i="135" s="1"/>
  <c r="PZP479" i="135"/>
  <c r="PZS479" i="135" s="1"/>
  <c r="PZL479" i="135"/>
  <c r="PZO479" i="135" s="1"/>
  <c r="PZH479" i="135"/>
  <c r="PZK479" i="135" s="1"/>
  <c r="PZD479" i="135"/>
  <c r="PZG479" i="135" s="1"/>
  <c r="PYZ479" i="135"/>
  <c r="PZC479" i="135" s="1"/>
  <c r="PYV479" i="135"/>
  <c r="PYY479" i="135" s="1"/>
  <c r="PYR479" i="135"/>
  <c r="PYU479" i="135" s="1"/>
  <c r="PYN479" i="135"/>
  <c r="PYQ479" i="135" s="1"/>
  <c r="PYJ479" i="135"/>
  <c r="PYM479" i="135" s="1"/>
  <c r="PYF479" i="135"/>
  <c r="PYI479" i="135" s="1"/>
  <c r="PYB479" i="135"/>
  <c r="PYE479" i="135" s="1"/>
  <c r="PXX479" i="135"/>
  <c r="PYA479" i="135" s="1"/>
  <c r="PXT479" i="135"/>
  <c r="PXW479" i="135" s="1"/>
  <c r="PXP479" i="135"/>
  <c r="PXS479" i="135" s="1"/>
  <c r="PXL479" i="135"/>
  <c r="PXO479" i="135" s="1"/>
  <c r="PXH479" i="135"/>
  <c r="PXK479" i="135" s="1"/>
  <c r="PXD479" i="135"/>
  <c r="PXG479" i="135" s="1"/>
  <c r="PWZ479" i="135"/>
  <c r="PXC479" i="135" s="1"/>
  <c r="PWV479" i="135"/>
  <c r="PWY479" i="135" s="1"/>
  <c r="PWR479" i="135"/>
  <c r="PWU479" i="135" s="1"/>
  <c r="PWN479" i="135"/>
  <c r="PWQ479" i="135" s="1"/>
  <c r="PWJ479" i="135"/>
  <c r="PWM479" i="135" s="1"/>
  <c r="PWF479" i="135"/>
  <c r="PWI479" i="135" s="1"/>
  <c r="PWB479" i="135"/>
  <c r="PWE479" i="135" s="1"/>
  <c r="PVX479" i="135"/>
  <c r="PWA479" i="135" s="1"/>
  <c r="PVT479" i="135"/>
  <c r="PVW479" i="135" s="1"/>
  <c r="PVP479" i="135"/>
  <c r="PVS479" i="135" s="1"/>
  <c r="PVL479" i="135"/>
  <c r="PVO479" i="135" s="1"/>
  <c r="PVH479" i="135"/>
  <c r="PVK479" i="135" s="1"/>
  <c r="PVD479" i="135"/>
  <c r="PVG479" i="135" s="1"/>
  <c r="PUZ479" i="135"/>
  <c r="PVC479" i="135" s="1"/>
  <c r="PUV479" i="135"/>
  <c r="PUY479" i="135" s="1"/>
  <c r="PUR479" i="135"/>
  <c r="PUU479" i="135" s="1"/>
  <c r="PUN479" i="135"/>
  <c r="PUQ479" i="135" s="1"/>
  <c r="PUJ479" i="135"/>
  <c r="PUM479" i="135" s="1"/>
  <c r="PUF479" i="135"/>
  <c r="PUI479" i="135" s="1"/>
  <c r="PUB479" i="135"/>
  <c r="PUE479" i="135" s="1"/>
  <c r="PTX479" i="135"/>
  <c r="PUA479" i="135" s="1"/>
  <c r="PTT479" i="135"/>
  <c r="PTW479" i="135" s="1"/>
  <c r="PTP479" i="135"/>
  <c r="PTS479" i="135" s="1"/>
  <c r="PTL479" i="135"/>
  <c r="PTO479" i="135" s="1"/>
  <c r="PTH479" i="135"/>
  <c r="PTK479" i="135" s="1"/>
  <c r="PTD479" i="135"/>
  <c r="PTG479" i="135" s="1"/>
  <c r="PSZ479" i="135"/>
  <c r="PTC479" i="135" s="1"/>
  <c r="PSV479" i="135"/>
  <c r="PSY479" i="135" s="1"/>
  <c r="PSR479" i="135"/>
  <c r="PSU479" i="135" s="1"/>
  <c r="PSN479" i="135"/>
  <c r="PSQ479" i="135" s="1"/>
  <c r="PSJ479" i="135"/>
  <c r="PSM479" i="135" s="1"/>
  <c r="PSF479" i="135"/>
  <c r="PSI479" i="135" s="1"/>
  <c r="PSB479" i="135"/>
  <c r="PSE479" i="135" s="1"/>
  <c r="PRX479" i="135"/>
  <c r="PSA479" i="135" s="1"/>
  <c r="PRT479" i="135"/>
  <c r="PRW479" i="135" s="1"/>
  <c r="PRP479" i="135"/>
  <c r="PRS479" i="135" s="1"/>
  <c r="PRL479" i="135"/>
  <c r="PRO479" i="135" s="1"/>
  <c r="PRH479" i="135"/>
  <c r="PRK479" i="135" s="1"/>
  <c r="PRD479" i="135"/>
  <c r="PRG479" i="135" s="1"/>
  <c r="PQZ479" i="135"/>
  <c r="PRC479" i="135" s="1"/>
  <c r="PQV479" i="135"/>
  <c r="PQY479" i="135" s="1"/>
  <c r="PQR479" i="135"/>
  <c r="PQU479" i="135" s="1"/>
  <c r="PQN479" i="135"/>
  <c r="PQQ479" i="135" s="1"/>
  <c r="PQJ479" i="135"/>
  <c r="PQM479" i="135" s="1"/>
  <c r="PQF479" i="135"/>
  <c r="PQI479" i="135" s="1"/>
  <c r="PQB479" i="135"/>
  <c r="PQE479" i="135" s="1"/>
  <c r="PPX479" i="135"/>
  <c r="PQA479" i="135" s="1"/>
  <c r="PPT479" i="135"/>
  <c r="PPW479" i="135" s="1"/>
  <c r="PPP479" i="135"/>
  <c r="PPS479" i="135" s="1"/>
  <c r="PPL479" i="135"/>
  <c r="PPO479" i="135" s="1"/>
  <c r="PPH479" i="135"/>
  <c r="PPK479" i="135" s="1"/>
  <c r="PPD479" i="135"/>
  <c r="PPG479" i="135" s="1"/>
  <c r="POZ479" i="135"/>
  <c r="PPC479" i="135" s="1"/>
  <c r="POV479" i="135"/>
  <c r="POY479" i="135" s="1"/>
  <c r="POR479" i="135"/>
  <c r="POU479" i="135" s="1"/>
  <c r="PON479" i="135"/>
  <c r="POQ479" i="135" s="1"/>
  <c r="POJ479" i="135"/>
  <c r="POM479" i="135" s="1"/>
  <c r="POF479" i="135"/>
  <c r="POI479" i="135" s="1"/>
  <c r="POB479" i="135"/>
  <c r="POE479" i="135" s="1"/>
  <c r="PNX479" i="135"/>
  <c r="POA479" i="135" s="1"/>
  <c r="PNT479" i="135"/>
  <c r="PNW479" i="135" s="1"/>
  <c r="PNP479" i="135"/>
  <c r="PNS479" i="135" s="1"/>
  <c r="PNL479" i="135"/>
  <c r="PNO479" i="135" s="1"/>
  <c r="PNH479" i="135"/>
  <c r="PNK479" i="135" s="1"/>
  <c r="PND479" i="135"/>
  <c r="PNG479" i="135" s="1"/>
  <c r="PMZ479" i="135"/>
  <c r="PNC479" i="135" s="1"/>
  <c r="PMV479" i="135"/>
  <c r="PMY479" i="135" s="1"/>
  <c r="PMR479" i="135"/>
  <c r="PMU479" i="135" s="1"/>
  <c r="PMN479" i="135"/>
  <c r="PMQ479" i="135" s="1"/>
  <c r="PMJ479" i="135"/>
  <c r="PMM479" i="135" s="1"/>
  <c r="PMF479" i="135"/>
  <c r="PMI479" i="135" s="1"/>
  <c r="PMB479" i="135"/>
  <c r="PME479" i="135" s="1"/>
  <c r="PLX479" i="135"/>
  <c r="PMA479" i="135" s="1"/>
  <c r="PLT479" i="135"/>
  <c r="PLW479" i="135" s="1"/>
  <c r="PLP479" i="135"/>
  <c r="PLS479" i="135" s="1"/>
  <c r="PLL479" i="135"/>
  <c r="PLO479" i="135" s="1"/>
  <c r="PLH479" i="135"/>
  <c r="PLK479" i="135" s="1"/>
  <c r="PLD479" i="135"/>
  <c r="PLG479" i="135" s="1"/>
  <c r="PKZ479" i="135"/>
  <c r="PLC479" i="135" s="1"/>
  <c r="PKV479" i="135"/>
  <c r="PKY479" i="135" s="1"/>
  <c r="PKR479" i="135"/>
  <c r="PKU479" i="135" s="1"/>
  <c r="PKN479" i="135"/>
  <c r="PKQ479" i="135" s="1"/>
  <c r="PKJ479" i="135"/>
  <c r="PKM479" i="135" s="1"/>
  <c r="PKF479" i="135"/>
  <c r="PKI479" i="135" s="1"/>
  <c r="PKB479" i="135"/>
  <c r="PKE479" i="135" s="1"/>
  <c r="PJX479" i="135"/>
  <c r="PKA479" i="135" s="1"/>
  <c r="PJT479" i="135"/>
  <c r="PJW479" i="135" s="1"/>
  <c r="PJP479" i="135"/>
  <c r="PJS479" i="135" s="1"/>
  <c r="PJL479" i="135"/>
  <c r="PJO479" i="135" s="1"/>
  <c r="PJH479" i="135"/>
  <c r="PJK479" i="135" s="1"/>
  <c r="PJD479" i="135"/>
  <c r="PJG479" i="135" s="1"/>
  <c r="PIZ479" i="135"/>
  <c r="PJC479" i="135" s="1"/>
  <c r="PIV479" i="135"/>
  <c r="PIY479" i="135" s="1"/>
  <c r="PIR479" i="135"/>
  <c r="PIU479" i="135" s="1"/>
  <c r="PIN479" i="135"/>
  <c r="PIQ479" i="135" s="1"/>
  <c r="PIJ479" i="135"/>
  <c r="PIM479" i="135" s="1"/>
  <c r="PIF479" i="135"/>
  <c r="PII479" i="135" s="1"/>
  <c r="PIB479" i="135"/>
  <c r="PIE479" i="135" s="1"/>
  <c r="PHX479" i="135"/>
  <c r="PIA479" i="135" s="1"/>
  <c r="PHT479" i="135"/>
  <c r="PHW479" i="135" s="1"/>
  <c r="PHP479" i="135"/>
  <c r="PHS479" i="135" s="1"/>
  <c r="PHL479" i="135"/>
  <c r="PHO479" i="135" s="1"/>
  <c r="PHH479" i="135"/>
  <c r="PHK479" i="135" s="1"/>
  <c r="PHD479" i="135"/>
  <c r="PHG479" i="135" s="1"/>
  <c r="PGZ479" i="135"/>
  <c r="PHC479" i="135" s="1"/>
  <c r="PGV479" i="135"/>
  <c r="PGY479" i="135" s="1"/>
  <c r="PGR479" i="135"/>
  <c r="PGU479" i="135" s="1"/>
  <c r="PGN479" i="135"/>
  <c r="PGQ479" i="135" s="1"/>
  <c r="PGJ479" i="135"/>
  <c r="PGM479" i="135" s="1"/>
  <c r="PGF479" i="135"/>
  <c r="PGI479" i="135" s="1"/>
  <c r="PGB479" i="135"/>
  <c r="PGE479" i="135" s="1"/>
  <c r="PFX479" i="135"/>
  <c r="PGA479" i="135" s="1"/>
  <c r="PFT479" i="135"/>
  <c r="PFW479" i="135" s="1"/>
  <c r="PFP479" i="135"/>
  <c r="PFS479" i="135" s="1"/>
  <c r="PFL479" i="135"/>
  <c r="PFO479" i="135" s="1"/>
  <c r="PFH479" i="135"/>
  <c r="PFK479" i="135" s="1"/>
  <c r="PFD479" i="135"/>
  <c r="PFG479" i="135" s="1"/>
  <c r="PEZ479" i="135"/>
  <c r="PFC479" i="135" s="1"/>
  <c r="PEV479" i="135"/>
  <c r="PEY479" i="135" s="1"/>
  <c r="PER479" i="135"/>
  <c r="PEU479" i="135" s="1"/>
  <c r="PEN479" i="135"/>
  <c r="PEQ479" i="135" s="1"/>
  <c r="PEJ479" i="135"/>
  <c r="PEM479" i="135" s="1"/>
  <c r="PEF479" i="135"/>
  <c r="PEI479" i="135" s="1"/>
  <c r="PEB479" i="135"/>
  <c r="PEE479" i="135" s="1"/>
  <c r="PDX479" i="135"/>
  <c r="PEA479" i="135" s="1"/>
  <c r="PDT479" i="135"/>
  <c r="PDW479" i="135" s="1"/>
  <c r="PDP479" i="135"/>
  <c r="PDS479" i="135" s="1"/>
  <c r="PDL479" i="135"/>
  <c r="PDO479" i="135" s="1"/>
  <c r="PDH479" i="135"/>
  <c r="PDK479" i="135" s="1"/>
  <c r="PDD479" i="135"/>
  <c r="PDG479" i="135" s="1"/>
  <c r="PCZ479" i="135"/>
  <c r="PDC479" i="135" s="1"/>
  <c r="PCV479" i="135"/>
  <c r="PCY479" i="135" s="1"/>
  <c r="PCR479" i="135"/>
  <c r="PCU479" i="135" s="1"/>
  <c r="PCN479" i="135"/>
  <c r="PCQ479" i="135" s="1"/>
  <c r="PCJ479" i="135"/>
  <c r="PCM479" i="135" s="1"/>
  <c r="PCF479" i="135"/>
  <c r="PCI479" i="135" s="1"/>
  <c r="PCB479" i="135"/>
  <c r="PCE479" i="135" s="1"/>
  <c r="PBX479" i="135"/>
  <c r="PCA479" i="135" s="1"/>
  <c r="PBT479" i="135"/>
  <c r="PBW479" i="135" s="1"/>
  <c r="PBP479" i="135"/>
  <c r="PBS479" i="135" s="1"/>
  <c r="PBL479" i="135"/>
  <c r="PBO479" i="135" s="1"/>
  <c r="PBH479" i="135"/>
  <c r="PBK479" i="135" s="1"/>
  <c r="PBD479" i="135"/>
  <c r="PBG479" i="135" s="1"/>
  <c r="PAZ479" i="135"/>
  <c r="PBC479" i="135" s="1"/>
  <c r="PAV479" i="135"/>
  <c r="PAY479" i="135" s="1"/>
  <c r="PAR479" i="135"/>
  <c r="PAU479" i="135" s="1"/>
  <c r="PAN479" i="135"/>
  <c r="PAQ479" i="135" s="1"/>
  <c r="PAJ479" i="135"/>
  <c r="PAM479" i="135" s="1"/>
  <c r="PAF479" i="135"/>
  <c r="PAI479" i="135" s="1"/>
  <c r="PAB479" i="135"/>
  <c r="PAE479" i="135" s="1"/>
  <c r="OZX479" i="135"/>
  <c r="PAA479" i="135" s="1"/>
  <c r="OZT479" i="135"/>
  <c r="OZW479" i="135" s="1"/>
  <c r="OZP479" i="135"/>
  <c r="OZS479" i="135" s="1"/>
  <c r="OZL479" i="135"/>
  <c r="OZO479" i="135" s="1"/>
  <c r="OZH479" i="135"/>
  <c r="OZK479" i="135" s="1"/>
  <c r="OZD479" i="135"/>
  <c r="OZG479" i="135" s="1"/>
  <c r="OYZ479" i="135"/>
  <c r="OZC479" i="135" s="1"/>
  <c r="OYV479" i="135"/>
  <c r="OYY479" i="135" s="1"/>
  <c r="OYR479" i="135"/>
  <c r="OYU479" i="135" s="1"/>
  <c r="OYN479" i="135"/>
  <c r="OYQ479" i="135" s="1"/>
  <c r="OYJ479" i="135"/>
  <c r="OYM479" i="135" s="1"/>
  <c r="OYF479" i="135"/>
  <c r="OYI479" i="135" s="1"/>
  <c r="OYB479" i="135"/>
  <c r="OYE479" i="135" s="1"/>
  <c r="OXX479" i="135"/>
  <c r="OYA479" i="135" s="1"/>
  <c r="OXT479" i="135"/>
  <c r="OXW479" i="135" s="1"/>
  <c r="OXP479" i="135"/>
  <c r="OXS479" i="135" s="1"/>
  <c r="OXL479" i="135"/>
  <c r="OXO479" i="135" s="1"/>
  <c r="OXH479" i="135"/>
  <c r="OXK479" i="135" s="1"/>
  <c r="OXD479" i="135"/>
  <c r="OXG479" i="135" s="1"/>
  <c r="OWZ479" i="135"/>
  <c r="OXC479" i="135" s="1"/>
  <c r="OWV479" i="135"/>
  <c r="OWY479" i="135" s="1"/>
  <c r="OWR479" i="135"/>
  <c r="OWU479" i="135" s="1"/>
  <c r="OWN479" i="135"/>
  <c r="OWQ479" i="135" s="1"/>
  <c r="OWJ479" i="135"/>
  <c r="OWM479" i="135" s="1"/>
  <c r="OWF479" i="135"/>
  <c r="OWI479" i="135" s="1"/>
  <c r="OWB479" i="135"/>
  <c r="OWE479" i="135" s="1"/>
  <c r="OVX479" i="135"/>
  <c r="OWA479" i="135" s="1"/>
  <c r="OVT479" i="135"/>
  <c r="OVW479" i="135" s="1"/>
  <c r="OVP479" i="135"/>
  <c r="OVS479" i="135" s="1"/>
  <c r="OVL479" i="135"/>
  <c r="OVO479" i="135" s="1"/>
  <c r="OVH479" i="135"/>
  <c r="OVK479" i="135" s="1"/>
  <c r="OVD479" i="135"/>
  <c r="OVG479" i="135" s="1"/>
  <c r="OUZ479" i="135"/>
  <c r="OVC479" i="135" s="1"/>
  <c r="OUV479" i="135"/>
  <c r="OUY479" i="135" s="1"/>
  <c r="OUR479" i="135"/>
  <c r="OUU479" i="135" s="1"/>
  <c r="OUN479" i="135"/>
  <c r="OUQ479" i="135" s="1"/>
  <c r="OUJ479" i="135"/>
  <c r="OUM479" i="135" s="1"/>
  <c r="OUF479" i="135"/>
  <c r="OUI479" i="135" s="1"/>
  <c r="OUB479" i="135"/>
  <c r="OUE479" i="135" s="1"/>
  <c r="OTX479" i="135"/>
  <c r="OUA479" i="135" s="1"/>
  <c r="OTT479" i="135"/>
  <c r="OTW479" i="135" s="1"/>
  <c r="OTP479" i="135"/>
  <c r="OTS479" i="135" s="1"/>
  <c r="OTL479" i="135"/>
  <c r="OTO479" i="135" s="1"/>
  <c r="OTH479" i="135"/>
  <c r="OTK479" i="135" s="1"/>
  <c r="OTD479" i="135"/>
  <c r="OTG479" i="135" s="1"/>
  <c r="OSZ479" i="135"/>
  <c r="OTC479" i="135" s="1"/>
  <c r="OSV479" i="135"/>
  <c r="OSY479" i="135" s="1"/>
  <c r="OSR479" i="135"/>
  <c r="OSU479" i="135" s="1"/>
  <c r="OSN479" i="135"/>
  <c r="OSQ479" i="135" s="1"/>
  <c r="OSJ479" i="135"/>
  <c r="OSM479" i="135" s="1"/>
  <c r="OSF479" i="135"/>
  <c r="OSI479" i="135" s="1"/>
  <c r="OSB479" i="135"/>
  <c r="OSE479" i="135" s="1"/>
  <c r="ORX479" i="135"/>
  <c r="OSA479" i="135" s="1"/>
  <c r="ORT479" i="135"/>
  <c r="ORW479" i="135" s="1"/>
  <c r="ORP479" i="135"/>
  <c r="ORS479" i="135" s="1"/>
  <c r="ORL479" i="135"/>
  <c r="ORO479" i="135" s="1"/>
  <c r="ORH479" i="135"/>
  <c r="ORK479" i="135" s="1"/>
  <c r="ORD479" i="135"/>
  <c r="ORG479" i="135" s="1"/>
  <c r="OQZ479" i="135"/>
  <c r="ORC479" i="135" s="1"/>
  <c r="OQV479" i="135"/>
  <c r="OQY479" i="135" s="1"/>
  <c r="OQR479" i="135"/>
  <c r="OQU479" i="135" s="1"/>
  <c r="OQN479" i="135"/>
  <c r="OQQ479" i="135" s="1"/>
  <c r="OQJ479" i="135"/>
  <c r="OQM479" i="135" s="1"/>
  <c r="OQF479" i="135"/>
  <c r="OQI479" i="135" s="1"/>
  <c r="OQB479" i="135"/>
  <c r="OQE479" i="135" s="1"/>
  <c r="OPX479" i="135"/>
  <c r="OQA479" i="135" s="1"/>
  <c r="OPT479" i="135"/>
  <c r="OPW479" i="135" s="1"/>
  <c r="OPP479" i="135"/>
  <c r="OPS479" i="135" s="1"/>
  <c r="OPL479" i="135"/>
  <c r="OPO479" i="135" s="1"/>
  <c r="OPH479" i="135"/>
  <c r="OPK479" i="135" s="1"/>
  <c r="OPD479" i="135"/>
  <c r="OPG479" i="135" s="1"/>
  <c r="OOZ479" i="135"/>
  <c r="OPC479" i="135" s="1"/>
  <c r="OOV479" i="135"/>
  <c r="OOY479" i="135" s="1"/>
  <c r="OOR479" i="135"/>
  <c r="OOU479" i="135" s="1"/>
  <c r="OON479" i="135"/>
  <c r="OOQ479" i="135" s="1"/>
  <c r="OOJ479" i="135"/>
  <c r="OOM479" i="135" s="1"/>
  <c r="OOF479" i="135"/>
  <c r="OOI479" i="135" s="1"/>
  <c r="OOB479" i="135"/>
  <c r="OOE479" i="135" s="1"/>
  <c r="ONX479" i="135"/>
  <c r="OOA479" i="135" s="1"/>
  <c r="ONT479" i="135"/>
  <c r="ONW479" i="135" s="1"/>
  <c r="ONP479" i="135"/>
  <c r="ONS479" i="135" s="1"/>
  <c r="ONL479" i="135"/>
  <c r="ONO479" i="135" s="1"/>
  <c r="ONH479" i="135"/>
  <c r="ONK479" i="135" s="1"/>
  <c r="OND479" i="135"/>
  <c r="ONG479" i="135" s="1"/>
  <c r="OMZ479" i="135"/>
  <c r="ONC479" i="135" s="1"/>
  <c r="OMV479" i="135"/>
  <c r="OMY479" i="135" s="1"/>
  <c r="OMR479" i="135"/>
  <c r="OMU479" i="135" s="1"/>
  <c r="OMN479" i="135"/>
  <c r="OMQ479" i="135" s="1"/>
  <c r="OMJ479" i="135"/>
  <c r="OMM479" i="135" s="1"/>
  <c r="OMF479" i="135"/>
  <c r="OMI479" i="135" s="1"/>
  <c r="OMB479" i="135"/>
  <c r="OME479" i="135" s="1"/>
  <c r="OLX479" i="135"/>
  <c r="OMA479" i="135" s="1"/>
  <c r="OLT479" i="135"/>
  <c r="OLW479" i="135" s="1"/>
  <c r="OLP479" i="135"/>
  <c r="OLS479" i="135" s="1"/>
  <c r="OLL479" i="135"/>
  <c r="OLO479" i="135" s="1"/>
  <c r="OLH479" i="135"/>
  <c r="OLK479" i="135" s="1"/>
  <c r="OLD479" i="135"/>
  <c r="OLG479" i="135" s="1"/>
  <c r="OKZ479" i="135"/>
  <c r="OLC479" i="135" s="1"/>
  <c r="OKV479" i="135"/>
  <c r="OKY479" i="135" s="1"/>
  <c r="OKR479" i="135"/>
  <c r="OKU479" i="135" s="1"/>
  <c r="OKN479" i="135"/>
  <c r="OKQ479" i="135" s="1"/>
  <c r="OKJ479" i="135"/>
  <c r="OKM479" i="135" s="1"/>
  <c r="OKF479" i="135"/>
  <c r="OKI479" i="135" s="1"/>
  <c r="OKB479" i="135"/>
  <c r="OKE479" i="135" s="1"/>
  <c r="OJX479" i="135"/>
  <c r="OKA479" i="135" s="1"/>
  <c r="OJT479" i="135"/>
  <c r="OJW479" i="135" s="1"/>
  <c r="OJP479" i="135"/>
  <c r="OJS479" i="135" s="1"/>
  <c r="OJL479" i="135"/>
  <c r="OJO479" i="135" s="1"/>
  <c r="OJH479" i="135"/>
  <c r="OJK479" i="135" s="1"/>
  <c r="OJD479" i="135"/>
  <c r="OJG479" i="135" s="1"/>
  <c r="OIZ479" i="135"/>
  <c r="OJC479" i="135" s="1"/>
  <c r="OIV479" i="135"/>
  <c r="OIY479" i="135" s="1"/>
  <c r="OIR479" i="135"/>
  <c r="OIU479" i="135" s="1"/>
  <c r="OIN479" i="135"/>
  <c r="OIQ479" i="135" s="1"/>
  <c r="OIJ479" i="135"/>
  <c r="OIM479" i="135" s="1"/>
  <c r="OIF479" i="135"/>
  <c r="OII479" i="135" s="1"/>
  <c r="OIB479" i="135"/>
  <c r="OIE479" i="135" s="1"/>
  <c r="OHX479" i="135"/>
  <c r="OIA479" i="135" s="1"/>
  <c r="OHT479" i="135"/>
  <c r="OHW479" i="135" s="1"/>
  <c r="OHP479" i="135"/>
  <c r="OHS479" i="135" s="1"/>
  <c r="OHL479" i="135"/>
  <c r="OHO479" i="135" s="1"/>
  <c r="OHH479" i="135"/>
  <c r="OHK479" i="135" s="1"/>
  <c r="OHD479" i="135"/>
  <c r="OHG479" i="135" s="1"/>
  <c r="OGZ479" i="135"/>
  <c r="OHC479" i="135" s="1"/>
  <c r="OGV479" i="135"/>
  <c r="OGY479" i="135" s="1"/>
  <c r="OGR479" i="135"/>
  <c r="OGU479" i="135" s="1"/>
  <c r="OGN479" i="135"/>
  <c r="OGQ479" i="135" s="1"/>
  <c r="OGJ479" i="135"/>
  <c r="OGM479" i="135" s="1"/>
  <c r="OGF479" i="135"/>
  <c r="OGI479" i="135" s="1"/>
  <c r="OGB479" i="135"/>
  <c r="OGE479" i="135" s="1"/>
  <c r="OFX479" i="135"/>
  <c r="OGA479" i="135" s="1"/>
  <c r="OFT479" i="135"/>
  <c r="OFW479" i="135" s="1"/>
  <c r="OFP479" i="135"/>
  <c r="OFS479" i="135" s="1"/>
  <c r="OFL479" i="135"/>
  <c r="OFO479" i="135" s="1"/>
  <c r="OFH479" i="135"/>
  <c r="OFK479" i="135" s="1"/>
  <c r="OFD479" i="135"/>
  <c r="OFG479" i="135" s="1"/>
  <c r="OEZ479" i="135"/>
  <c r="OFC479" i="135" s="1"/>
  <c r="OEV479" i="135"/>
  <c r="OEY479" i="135" s="1"/>
  <c r="OER479" i="135"/>
  <c r="OEU479" i="135" s="1"/>
  <c r="OEN479" i="135"/>
  <c r="OEQ479" i="135" s="1"/>
  <c r="OEJ479" i="135"/>
  <c r="OEM479" i="135" s="1"/>
  <c r="OEF479" i="135"/>
  <c r="OEI479" i="135" s="1"/>
  <c r="OEB479" i="135"/>
  <c r="OEE479" i="135" s="1"/>
  <c r="ODX479" i="135"/>
  <c r="OEA479" i="135" s="1"/>
  <c r="ODT479" i="135"/>
  <c r="ODW479" i="135" s="1"/>
  <c r="ODP479" i="135"/>
  <c r="ODS479" i="135" s="1"/>
  <c r="ODL479" i="135"/>
  <c r="ODO479" i="135" s="1"/>
  <c r="ODH479" i="135"/>
  <c r="ODK479" i="135" s="1"/>
  <c r="ODD479" i="135"/>
  <c r="ODG479" i="135" s="1"/>
  <c r="OCZ479" i="135"/>
  <c r="ODC479" i="135" s="1"/>
  <c r="OCV479" i="135"/>
  <c r="OCY479" i="135" s="1"/>
  <c r="OCR479" i="135"/>
  <c r="OCU479" i="135" s="1"/>
  <c r="OCN479" i="135"/>
  <c r="OCQ479" i="135" s="1"/>
  <c r="OCJ479" i="135"/>
  <c r="OCM479" i="135" s="1"/>
  <c r="OCF479" i="135"/>
  <c r="OCI479" i="135" s="1"/>
  <c r="OCB479" i="135"/>
  <c r="OCE479" i="135" s="1"/>
  <c r="OBX479" i="135"/>
  <c r="OCA479" i="135" s="1"/>
  <c r="OBT479" i="135"/>
  <c r="OBW479" i="135" s="1"/>
  <c r="OBP479" i="135"/>
  <c r="OBS479" i="135" s="1"/>
  <c r="OBL479" i="135"/>
  <c r="OBO479" i="135" s="1"/>
  <c r="OBH479" i="135"/>
  <c r="OBK479" i="135" s="1"/>
  <c r="OBD479" i="135"/>
  <c r="OBG479" i="135" s="1"/>
  <c r="OAZ479" i="135"/>
  <c r="OBC479" i="135" s="1"/>
  <c r="OAV479" i="135"/>
  <c r="OAY479" i="135" s="1"/>
  <c r="OAR479" i="135"/>
  <c r="OAU479" i="135" s="1"/>
  <c r="OAN479" i="135"/>
  <c r="OAQ479" i="135" s="1"/>
  <c r="OAJ479" i="135"/>
  <c r="OAM479" i="135" s="1"/>
  <c r="OAF479" i="135"/>
  <c r="OAI479" i="135" s="1"/>
  <c r="OAB479" i="135"/>
  <c r="OAE479" i="135" s="1"/>
  <c r="NZX479" i="135"/>
  <c r="OAA479" i="135" s="1"/>
  <c r="NZT479" i="135"/>
  <c r="NZW479" i="135" s="1"/>
  <c r="NZP479" i="135"/>
  <c r="NZS479" i="135" s="1"/>
  <c r="NZL479" i="135"/>
  <c r="NZO479" i="135" s="1"/>
  <c r="NZH479" i="135"/>
  <c r="NZK479" i="135" s="1"/>
  <c r="NZD479" i="135"/>
  <c r="NZG479" i="135" s="1"/>
  <c r="NYZ479" i="135"/>
  <c r="NZC479" i="135" s="1"/>
  <c r="NYV479" i="135"/>
  <c r="NYY479" i="135" s="1"/>
  <c r="NYR479" i="135"/>
  <c r="NYU479" i="135" s="1"/>
  <c r="NYN479" i="135"/>
  <c r="NYQ479" i="135" s="1"/>
  <c r="NYJ479" i="135"/>
  <c r="NYM479" i="135" s="1"/>
  <c r="NYF479" i="135"/>
  <c r="NYI479" i="135" s="1"/>
  <c r="NYB479" i="135"/>
  <c r="NYE479" i="135" s="1"/>
  <c r="NXX479" i="135"/>
  <c r="NYA479" i="135" s="1"/>
  <c r="NXT479" i="135"/>
  <c r="NXW479" i="135" s="1"/>
  <c r="NXP479" i="135"/>
  <c r="NXS479" i="135" s="1"/>
  <c r="NXL479" i="135"/>
  <c r="NXO479" i="135" s="1"/>
  <c r="NXH479" i="135"/>
  <c r="NXK479" i="135" s="1"/>
  <c r="NXD479" i="135"/>
  <c r="NXG479" i="135" s="1"/>
  <c r="NWZ479" i="135"/>
  <c r="NXC479" i="135" s="1"/>
  <c r="NWV479" i="135"/>
  <c r="NWY479" i="135" s="1"/>
  <c r="NWR479" i="135"/>
  <c r="NWU479" i="135" s="1"/>
  <c r="NWN479" i="135"/>
  <c r="NWQ479" i="135" s="1"/>
  <c r="NWJ479" i="135"/>
  <c r="NWM479" i="135" s="1"/>
  <c r="NWF479" i="135"/>
  <c r="NWI479" i="135" s="1"/>
  <c r="NWB479" i="135"/>
  <c r="NWE479" i="135" s="1"/>
  <c r="NVX479" i="135"/>
  <c r="NWA479" i="135" s="1"/>
  <c r="NVT479" i="135"/>
  <c r="NVW479" i="135" s="1"/>
  <c r="NVP479" i="135"/>
  <c r="NVS479" i="135" s="1"/>
  <c r="NVL479" i="135"/>
  <c r="NVO479" i="135" s="1"/>
  <c r="NVH479" i="135"/>
  <c r="NVK479" i="135" s="1"/>
  <c r="NVD479" i="135"/>
  <c r="NVG479" i="135" s="1"/>
  <c r="NUZ479" i="135"/>
  <c r="NVC479" i="135" s="1"/>
  <c r="NUV479" i="135"/>
  <c r="NUY479" i="135" s="1"/>
  <c r="NUR479" i="135"/>
  <c r="NUU479" i="135" s="1"/>
  <c r="NUN479" i="135"/>
  <c r="NUQ479" i="135" s="1"/>
  <c r="NUJ479" i="135"/>
  <c r="NUM479" i="135" s="1"/>
  <c r="NUF479" i="135"/>
  <c r="NUI479" i="135" s="1"/>
  <c r="NUB479" i="135"/>
  <c r="NUE479" i="135" s="1"/>
  <c r="NTX479" i="135"/>
  <c r="NUA479" i="135" s="1"/>
  <c r="NTT479" i="135"/>
  <c r="NTW479" i="135" s="1"/>
  <c r="NTP479" i="135"/>
  <c r="NTS479" i="135" s="1"/>
  <c r="NTL479" i="135"/>
  <c r="NTO479" i="135" s="1"/>
  <c r="NTH479" i="135"/>
  <c r="NTK479" i="135" s="1"/>
  <c r="NTD479" i="135"/>
  <c r="NTG479" i="135" s="1"/>
  <c r="NSZ479" i="135"/>
  <c r="NTC479" i="135" s="1"/>
  <c r="NSV479" i="135"/>
  <c r="NSY479" i="135" s="1"/>
  <c r="NSR479" i="135"/>
  <c r="NSU479" i="135" s="1"/>
  <c r="NSN479" i="135"/>
  <c r="NSQ479" i="135" s="1"/>
  <c r="NSJ479" i="135"/>
  <c r="NSM479" i="135" s="1"/>
  <c r="NSF479" i="135"/>
  <c r="NSI479" i="135" s="1"/>
  <c r="NSB479" i="135"/>
  <c r="NSE479" i="135" s="1"/>
  <c r="NRX479" i="135"/>
  <c r="NSA479" i="135" s="1"/>
  <c r="NRT479" i="135"/>
  <c r="NRW479" i="135" s="1"/>
  <c r="NRP479" i="135"/>
  <c r="NRS479" i="135" s="1"/>
  <c r="NRL479" i="135"/>
  <c r="NRO479" i="135" s="1"/>
  <c r="NRH479" i="135"/>
  <c r="NRK479" i="135" s="1"/>
  <c r="NRD479" i="135"/>
  <c r="NRG479" i="135" s="1"/>
  <c r="NQZ479" i="135"/>
  <c r="NRC479" i="135" s="1"/>
  <c r="NQV479" i="135"/>
  <c r="NQY479" i="135" s="1"/>
  <c r="NQR479" i="135"/>
  <c r="NQU479" i="135" s="1"/>
  <c r="NQN479" i="135"/>
  <c r="NQQ479" i="135" s="1"/>
  <c r="NQJ479" i="135"/>
  <c r="NQM479" i="135" s="1"/>
  <c r="NQF479" i="135"/>
  <c r="NQI479" i="135" s="1"/>
  <c r="NQB479" i="135"/>
  <c r="NQE479" i="135" s="1"/>
  <c r="NPX479" i="135"/>
  <c r="NQA479" i="135" s="1"/>
  <c r="NPT479" i="135"/>
  <c r="NPW479" i="135" s="1"/>
  <c r="NPP479" i="135"/>
  <c r="NPS479" i="135" s="1"/>
  <c r="NPL479" i="135"/>
  <c r="NPO479" i="135" s="1"/>
  <c r="NPH479" i="135"/>
  <c r="NPK479" i="135" s="1"/>
  <c r="NPD479" i="135"/>
  <c r="NPG479" i="135" s="1"/>
  <c r="NOZ479" i="135"/>
  <c r="NPC479" i="135" s="1"/>
  <c r="NOV479" i="135"/>
  <c r="NOY479" i="135" s="1"/>
  <c r="NOR479" i="135"/>
  <c r="NOU479" i="135" s="1"/>
  <c r="NON479" i="135"/>
  <c r="NOQ479" i="135" s="1"/>
  <c r="NOJ479" i="135"/>
  <c r="NOM479" i="135" s="1"/>
  <c r="NOF479" i="135"/>
  <c r="NOI479" i="135" s="1"/>
  <c r="NOB479" i="135"/>
  <c r="NOE479" i="135" s="1"/>
  <c r="NNX479" i="135"/>
  <c r="NOA479" i="135" s="1"/>
  <c r="NNT479" i="135"/>
  <c r="NNW479" i="135" s="1"/>
  <c r="NNP479" i="135"/>
  <c r="NNS479" i="135" s="1"/>
  <c r="NNL479" i="135"/>
  <c r="NNO479" i="135" s="1"/>
  <c r="NNH479" i="135"/>
  <c r="NNK479" i="135" s="1"/>
  <c r="NND479" i="135"/>
  <c r="NNG479" i="135" s="1"/>
  <c r="NMZ479" i="135"/>
  <c r="NNC479" i="135" s="1"/>
  <c r="NMV479" i="135"/>
  <c r="NMY479" i="135" s="1"/>
  <c r="NMR479" i="135"/>
  <c r="NMU479" i="135" s="1"/>
  <c r="NMN479" i="135"/>
  <c r="NMQ479" i="135" s="1"/>
  <c r="NMJ479" i="135"/>
  <c r="NMM479" i="135" s="1"/>
  <c r="NMF479" i="135"/>
  <c r="NMI479" i="135" s="1"/>
  <c r="NMB479" i="135"/>
  <c r="NME479" i="135" s="1"/>
  <c r="NLX479" i="135"/>
  <c r="NMA479" i="135" s="1"/>
  <c r="NLT479" i="135"/>
  <c r="NLW479" i="135" s="1"/>
  <c r="NLP479" i="135"/>
  <c r="NLS479" i="135" s="1"/>
  <c r="NLL479" i="135"/>
  <c r="NLO479" i="135" s="1"/>
  <c r="NLH479" i="135"/>
  <c r="NLK479" i="135" s="1"/>
  <c r="NLD479" i="135"/>
  <c r="NLG479" i="135" s="1"/>
  <c r="NKZ479" i="135"/>
  <c r="NLC479" i="135" s="1"/>
  <c r="NKV479" i="135"/>
  <c r="NKY479" i="135" s="1"/>
  <c r="NKR479" i="135"/>
  <c r="NKU479" i="135" s="1"/>
  <c r="NKN479" i="135"/>
  <c r="NKQ479" i="135" s="1"/>
  <c r="NKJ479" i="135"/>
  <c r="NKM479" i="135" s="1"/>
  <c r="NKF479" i="135"/>
  <c r="NKI479" i="135" s="1"/>
  <c r="NKB479" i="135"/>
  <c r="NKE479" i="135" s="1"/>
  <c r="NJX479" i="135"/>
  <c r="NKA479" i="135" s="1"/>
  <c r="NJT479" i="135"/>
  <c r="NJW479" i="135" s="1"/>
  <c r="NJP479" i="135"/>
  <c r="NJS479" i="135" s="1"/>
  <c r="NJL479" i="135"/>
  <c r="NJO479" i="135" s="1"/>
  <c r="NJH479" i="135"/>
  <c r="NJK479" i="135" s="1"/>
  <c r="NJD479" i="135"/>
  <c r="NJG479" i="135" s="1"/>
  <c r="NIZ479" i="135"/>
  <c r="NJC479" i="135" s="1"/>
  <c r="NIV479" i="135"/>
  <c r="NIY479" i="135" s="1"/>
  <c r="NIR479" i="135"/>
  <c r="NIU479" i="135" s="1"/>
  <c r="NIN479" i="135"/>
  <c r="NIQ479" i="135" s="1"/>
  <c r="NIJ479" i="135"/>
  <c r="NIM479" i="135" s="1"/>
  <c r="NIF479" i="135"/>
  <c r="NII479" i="135" s="1"/>
  <c r="NIB479" i="135"/>
  <c r="NIE479" i="135" s="1"/>
  <c r="NHX479" i="135"/>
  <c r="NIA479" i="135" s="1"/>
  <c r="NHT479" i="135"/>
  <c r="NHW479" i="135" s="1"/>
  <c r="NHP479" i="135"/>
  <c r="NHS479" i="135" s="1"/>
  <c r="NHL479" i="135"/>
  <c r="NHO479" i="135" s="1"/>
  <c r="NHH479" i="135"/>
  <c r="NHK479" i="135" s="1"/>
  <c r="NHD479" i="135"/>
  <c r="NHG479" i="135" s="1"/>
  <c r="NGZ479" i="135"/>
  <c r="NHC479" i="135" s="1"/>
  <c r="NGV479" i="135"/>
  <c r="NGY479" i="135" s="1"/>
  <c r="NGR479" i="135"/>
  <c r="NGU479" i="135" s="1"/>
  <c r="NGN479" i="135"/>
  <c r="NGQ479" i="135" s="1"/>
  <c r="NGJ479" i="135"/>
  <c r="NGM479" i="135" s="1"/>
  <c r="NGF479" i="135"/>
  <c r="NGI479" i="135" s="1"/>
  <c r="NGB479" i="135"/>
  <c r="NGE479" i="135" s="1"/>
  <c r="NFX479" i="135"/>
  <c r="NGA479" i="135" s="1"/>
  <c r="NFT479" i="135"/>
  <c r="NFW479" i="135" s="1"/>
  <c r="NFP479" i="135"/>
  <c r="NFS479" i="135" s="1"/>
  <c r="NFL479" i="135"/>
  <c r="NFO479" i="135" s="1"/>
  <c r="NFH479" i="135"/>
  <c r="NFK479" i="135" s="1"/>
  <c r="NFD479" i="135"/>
  <c r="NFG479" i="135" s="1"/>
  <c r="NEZ479" i="135"/>
  <c r="NFC479" i="135" s="1"/>
  <c r="NEV479" i="135"/>
  <c r="NEY479" i="135" s="1"/>
  <c r="NER479" i="135"/>
  <c r="NEU479" i="135" s="1"/>
  <c r="NEN479" i="135"/>
  <c r="NEQ479" i="135" s="1"/>
  <c r="NEJ479" i="135"/>
  <c r="NEM479" i="135" s="1"/>
  <c r="NEF479" i="135"/>
  <c r="NEI479" i="135" s="1"/>
  <c r="NEB479" i="135"/>
  <c r="NEE479" i="135" s="1"/>
  <c r="NDX479" i="135"/>
  <c r="NEA479" i="135" s="1"/>
  <c r="NDT479" i="135"/>
  <c r="NDW479" i="135" s="1"/>
  <c r="NDP479" i="135"/>
  <c r="NDS479" i="135" s="1"/>
  <c r="NDL479" i="135"/>
  <c r="NDO479" i="135" s="1"/>
  <c r="NDH479" i="135"/>
  <c r="NDK479" i="135" s="1"/>
  <c r="NDD479" i="135"/>
  <c r="NDG479" i="135" s="1"/>
  <c r="NCZ479" i="135"/>
  <c r="NDC479" i="135" s="1"/>
  <c r="NCV479" i="135"/>
  <c r="NCY479" i="135" s="1"/>
  <c r="NCR479" i="135"/>
  <c r="NCU479" i="135" s="1"/>
  <c r="NCN479" i="135"/>
  <c r="NCQ479" i="135" s="1"/>
  <c r="NCJ479" i="135"/>
  <c r="NCM479" i="135" s="1"/>
  <c r="NCF479" i="135"/>
  <c r="NCI479" i="135" s="1"/>
  <c r="NCB479" i="135"/>
  <c r="NCE479" i="135" s="1"/>
  <c r="NBX479" i="135"/>
  <c r="NCA479" i="135" s="1"/>
  <c r="NBT479" i="135"/>
  <c r="NBW479" i="135" s="1"/>
  <c r="NBP479" i="135"/>
  <c r="NBS479" i="135" s="1"/>
  <c r="NBL479" i="135"/>
  <c r="NBO479" i="135" s="1"/>
  <c r="NBH479" i="135"/>
  <c r="NBK479" i="135" s="1"/>
  <c r="NBD479" i="135"/>
  <c r="NBG479" i="135" s="1"/>
  <c r="NAZ479" i="135"/>
  <c r="NBC479" i="135" s="1"/>
  <c r="NAV479" i="135"/>
  <c r="NAY479" i="135" s="1"/>
  <c r="NAR479" i="135"/>
  <c r="NAU479" i="135" s="1"/>
  <c r="NAN479" i="135"/>
  <c r="NAQ479" i="135" s="1"/>
  <c r="NAJ479" i="135"/>
  <c r="NAM479" i="135" s="1"/>
  <c r="NAF479" i="135"/>
  <c r="NAI479" i="135" s="1"/>
  <c r="NAB479" i="135"/>
  <c r="NAE479" i="135" s="1"/>
  <c r="MZX479" i="135"/>
  <c r="NAA479" i="135" s="1"/>
  <c r="MZT479" i="135"/>
  <c r="MZW479" i="135" s="1"/>
  <c r="MZP479" i="135"/>
  <c r="MZS479" i="135" s="1"/>
  <c r="MZL479" i="135"/>
  <c r="MZO479" i="135" s="1"/>
  <c r="MZH479" i="135"/>
  <c r="MZK479" i="135" s="1"/>
  <c r="MZD479" i="135"/>
  <c r="MZG479" i="135" s="1"/>
  <c r="MYZ479" i="135"/>
  <c r="MZC479" i="135" s="1"/>
  <c r="MYV479" i="135"/>
  <c r="MYY479" i="135" s="1"/>
  <c r="MYR479" i="135"/>
  <c r="MYU479" i="135" s="1"/>
  <c r="MYN479" i="135"/>
  <c r="MYQ479" i="135" s="1"/>
  <c r="MYJ479" i="135"/>
  <c r="MYM479" i="135" s="1"/>
  <c r="MYF479" i="135"/>
  <c r="MYI479" i="135" s="1"/>
  <c r="MYB479" i="135"/>
  <c r="MYE479" i="135" s="1"/>
  <c r="MXX479" i="135"/>
  <c r="MYA479" i="135" s="1"/>
  <c r="MXT479" i="135"/>
  <c r="MXW479" i="135" s="1"/>
  <c r="MXP479" i="135"/>
  <c r="MXS479" i="135" s="1"/>
  <c r="MXL479" i="135"/>
  <c r="MXO479" i="135" s="1"/>
  <c r="MXH479" i="135"/>
  <c r="MXK479" i="135" s="1"/>
  <c r="MXD479" i="135"/>
  <c r="MXG479" i="135" s="1"/>
  <c r="MWZ479" i="135"/>
  <c r="MXC479" i="135" s="1"/>
  <c r="MWV479" i="135"/>
  <c r="MWY479" i="135" s="1"/>
  <c r="MWR479" i="135"/>
  <c r="MWU479" i="135" s="1"/>
  <c r="MWN479" i="135"/>
  <c r="MWQ479" i="135" s="1"/>
  <c r="MWJ479" i="135"/>
  <c r="MWM479" i="135" s="1"/>
  <c r="MWF479" i="135"/>
  <c r="MWI479" i="135" s="1"/>
  <c r="MWB479" i="135"/>
  <c r="MWE479" i="135" s="1"/>
  <c r="MVX479" i="135"/>
  <c r="MWA479" i="135" s="1"/>
  <c r="MVT479" i="135"/>
  <c r="MVW479" i="135" s="1"/>
  <c r="MVP479" i="135"/>
  <c r="MVS479" i="135" s="1"/>
  <c r="MVL479" i="135"/>
  <c r="MVO479" i="135" s="1"/>
  <c r="MVH479" i="135"/>
  <c r="MVK479" i="135" s="1"/>
  <c r="MVD479" i="135"/>
  <c r="MVG479" i="135" s="1"/>
  <c r="MUZ479" i="135"/>
  <c r="MVC479" i="135" s="1"/>
  <c r="MUV479" i="135"/>
  <c r="MUY479" i="135" s="1"/>
  <c r="MUR479" i="135"/>
  <c r="MUU479" i="135" s="1"/>
  <c r="MUN479" i="135"/>
  <c r="MUQ479" i="135" s="1"/>
  <c r="MUJ479" i="135"/>
  <c r="MUM479" i="135" s="1"/>
  <c r="MUF479" i="135"/>
  <c r="MUI479" i="135" s="1"/>
  <c r="MUB479" i="135"/>
  <c r="MUE479" i="135" s="1"/>
  <c r="MTX479" i="135"/>
  <c r="MUA479" i="135" s="1"/>
  <c r="MTT479" i="135"/>
  <c r="MTW479" i="135" s="1"/>
  <c r="MTP479" i="135"/>
  <c r="MTS479" i="135" s="1"/>
  <c r="MTL479" i="135"/>
  <c r="MTO479" i="135" s="1"/>
  <c r="MTH479" i="135"/>
  <c r="MTK479" i="135" s="1"/>
  <c r="MTD479" i="135"/>
  <c r="MTG479" i="135" s="1"/>
  <c r="MSZ479" i="135"/>
  <c r="MTC479" i="135" s="1"/>
  <c r="MSV479" i="135"/>
  <c r="MSY479" i="135" s="1"/>
  <c r="MSR479" i="135"/>
  <c r="MSU479" i="135" s="1"/>
  <c r="MSN479" i="135"/>
  <c r="MSQ479" i="135" s="1"/>
  <c r="MSJ479" i="135"/>
  <c r="MSM479" i="135" s="1"/>
  <c r="MSF479" i="135"/>
  <c r="MSI479" i="135" s="1"/>
  <c r="MSB479" i="135"/>
  <c r="MSE479" i="135" s="1"/>
  <c r="MRX479" i="135"/>
  <c r="MSA479" i="135" s="1"/>
  <c r="MRT479" i="135"/>
  <c r="MRW479" i="135" s="1"/>
  <c r="MRP479" i="135"/>
  <c r="MRS479" i="135" s="1"/>
  <c r="MRL479" i="135"/>
  <c r="MRO479" i="135" s="1"/>
  <c r="MRH479" i="135"/>
  <c r="MRK479" i="135" s="1"/>
  <c r="MRD479" i="135"/>
  <c r="MRG479" i="135" s="1"/>
  <c r="MQZ479" i="135"/>
  <c r="MRC479" i="135" s="1"/>
  <c r="MQV479" i="135"/>
  <c r="MQY479" i="135" s="1"/>
  <c r="MQR479" i="135"/>
  <c r="MQU479" i="135" s="1"/>
  <c r="MQN479" i="135"/>
  <c r="MQQ479" i="135" s="1"/>
  <c r="MQJ479" i="135"/>
  <c r="MQM479" i="135" s="1"/>
  <c r="MQF479" i="135"/>
  <c r="MQI479" i="135" s="1"/>
  <c r="MQB479" i="135"/>
  <c r="MQE479" i="135" s="1"/>
  <c r="MPX479" i="135"/>
  <c r="MQA479" i="135" s="1"/>
  <c r="MPT479" i="135"/>
  <c r="MPW479" i="135" s="1"/>
  <c r="MPP479" i="135"/>
  <c r="MPS479" i="135" s="1"/>
  <c r="MPL479" i="135"/>
  <c r="MPO479" i="135" s="1"/>
  <c r="MPH479" i="135"/>
  <c r="MPK479" i="135" s="1"/>
  <c r="MPD479" i="135"/>
  <c r="MPG479" i="135" s="1"/>
  <c r="MOZ479" i="135"/>
  <c r="MPC479" i="135" s="1"/>
  <c r="MOV479" i="135"/>
  <c r="MOY479" i="135" s="1"/>
  <c r="MOR479" i="135"/>
  <c r="MOU479" i="135" s="1"/>
  <c r="MON479" i="135"/>
  <c r="MOQ479" i="135" s="1"/>
  <c r="MOJ479" i="135"/>
  <c r="MOM479" i="135" s="1"/>
  <c r="MOF479" i="135"/>
  <c r="MOI479" i="135" s="1"/>
  <c r="MOB479" i="135"/>
  <c r="MOE479" i="135" s="1"/>
  <c r="MNX479" i="135"/>
  <c r="MOA479" i="135" s="1"/>
  <c r="MNT479" i="135"/>
  <c r="MNW479" i="135" s="1"/>
  <c r="MNP479" i="135"/>
  <c r="MNS479" i="135" s="1"/>
  <c r="MNL479" i="135"/>
  <c r="MNO479" i="135" s="1"/>
  <c r="MNH479" i="135"/>
  <c r="MNK479" i="135" s="1"/>
  <c r="MND479" i="135"/>
  <c r="MNG479" i="135" s="1"/>
  <c r="MMZ479" i="135"/>
  <c r="MNC479" i="135" s="1"/>
  <c r="MMV479" i="135"/>
  <c r="MMY479" i="135" s="1"/>
  <c r="MMR479" i="135"/>
  <c r="MMU479" i="135" s="1"/>
  <c r="MMN479" i="135"/>
  <c r="MMQ479" i="135" s="1"/>
  <c r="MMJ479" i="135"/>
  <c r="MMM479" i="135" s="1"/>
  <c r="MMF479" i="135"/>
  <c r="MMI479" i="135" s="1"/>
  <c r="MMB479" i="135"/>
  <c r="MME479" i="135" s="1"/>
  <c r="MLX479" i="135"/>
  <c r="MMA479" i="135" s="1"/>
  <c r="MLT479" i="135"/>
  <c r="MLW479" i="135" s="1"/>
  <c r="MLP479" i="135"/>
  <c r="MLS479" i="135" s="1"/>
  <c r="MLL479" i="135"/>
  <c r="MLO479" i="135" s="1"/>
  <c r="MLH479" i="135"/>
  <c r="MLK479" i="135" s="1"/>
  <c r="MLD479" i="135"/>
  <c r="MLG479" i="135" s="1"/>
  <c r="MKZ479" i="135"/>
  <c r="MLC479" i="135" s="1"/>
  <c r="MKV479" i="135"/>
  <c r="MKY479" i="135" s="1"/>
  <c r="MKR479" i="135"/>
  <c r="MKU479" i="135" s="1"/>
  <c r="MKN479" i="135"/>
  <c r="MKQ479" i="135" s="1"/>
  <c r="MKJ479" i="135"/>
  <c r="MKM479" i="135" s="1"/>
  <c r="MKF479" i="135"/>
  <c r="MKI479" i="135" s="1"/>
  <c r="MKB479" i="135"/>
  <c r="MKE479" i="135" s="1"/>
  <c r="MJX479" i="135"/>
  <c r="MKA479" i="135" s="1"/>
  <c r="MJT479" i="135"/>
  <c r="MJW479" i="135" s="1"/>
  <c r="MJP479" i="135"/>
  <c r="MJS479" i="135" s="1"/>
  <c r="MJL479" i="135"/>
  <c r="MJO479" i="135" s="1"/>
  <c r="MJH479" i="135"/>
  <c r="MJK479" i="135" s="1"/>
  <c r="MJD479" i="135"/>
  <c r="MJG479" i="135" s="1"/>
  <c r="MIZ479" i="135"/>
  <c r="MJC479" i="135" s="1"/>
  <c r="MIV479" i="135"/>
  <c r="MIY479" i="135" s="1"/>
  <c r="MIR479" i="135"/>
  <c r="MIU479" i="135" s="1"/>
  <c r="MIN479" i="135"/>
  <c r="MIQ479" i="135" s="1"/>
  <c r="MIJ479" i="135"/>
  <c r="MIM479" i="135" s="1"/>
  <c r="MIF479" i="135"/>
  <c r="MII479" i="135" s="1"/>
  <c r="MIB479" i="135"/>
  <c r="MIE479" i="135" s="1"/>
  <c r="MHX479" i="135"/>
  <c r="MIA479" i="135" s="1"/>
  <c r="MHT479" i="135"/>
  <c r="MHW479" i="135" s="1"/>
  <c r="MHP479" i="135"/>
  <c r="MHS479" i="135" s="1"/>
  <c r="MHL479" i="135"/>
  <c r="MHO479" i="135" s="1"/>
  <c r="MHH479" i="135"/>
  <c r="MHK479" i="135" s="1"/>
  <c r="MHD479" i="135"/>
  <c r="MHG479" i="135" s="1"/>
  <c r="MGZ479" i="135"/>
  <c r="MHC479" i="135" s="1"/>
  <c r="MGV479" i="135"/>
  <c r="MGY479" i="135" s="1"/>
  <c r="MGR479" i="135"/>
  <c r="MGU479" i="135" s="1"/>
  <c r="MGN479" i="135"/>
  <c r="MGQ479" i="135" s="1"/>
  <c r="MGJ479" i="135"/>
  <c r="MGM479" i="135" s="1"/>
  <c r="MGF479" i="135"/>
  <c r="MGI479" i="135" s="1"/>
  <c r="MGB479" i="135"/>
  <c r="MGE479" i="135" s="1"/>
  <c r="MFX479" i="135"/>
  <c r="MGA479" i="135" s="1"/>
  <c r="MFT479" i="135"/>
  <c r="MFW479" i="135" s="1"/>
  <c r="MFP479" i="135"/>
  <c r="MFS479" i="135" s="1"/>
  <c r="MFL479" i="135"/>
  <c r="MFO479" i="135" s="1"/>
  <c r="MFH479" i="135"/>
  <c r="MFK479" i="135" s="1"/>
  <c r="MFD479" i="135"/>
  <c r="MFG479" i="135" s="1"/>
  <c r="MEZ479" i="135"/>
  <c r="MFC479" i="135" s="1"/>
  <c r="MEV479" i="135"/>
  <c r="MEY479" i="135" s="1"/>
  <c r="MER479" i="135"/>
  <c r="MEU479" i="135" s="1"/>
  <c r="MEN479" i="135"/>
  <c r="MEQ479" i="135" s="1"/>
  <c r="MEJ479" i="135"/>
  <c r="MEM479" i="135" s="1"/>
  <c r="MEF479" i="135"/>
  <c r="MEI479" i="135" s="1"/>
  <c r="MEB479" i="135"/>
  <c r="MEE479" i="135" s="1"/>
  <c r="MDX479" i="135"/>
  <c r="MEA479" i="135" s="1"/>
  <c r="MDT479" i="135"/>
  <c r="MDW479" i="135" s="1"/>
  <c r="MDP479" i="135"/>
  <c r="MDS479" i="135" s="1"/>
  <c r="MDL479" i="135"/>
  <c r="MDO479" i="135" s="1"/>
  <c r="MDH479" i="135"/>
  <c r="MDK479" i="135" s="1"/>
  <c r="MDD479" i="135"/>
  <c r="MDG479" i="135" s="1"/>
  <c r="MCZ479" i="135"/>
  <c r="MDC479" i="135" s="1"/>
  <c r="MCV479" i="135"/>
  <c r="MCY479" i="135" s="1"/>
  <c r="MCR479" i="135"/>
  <c r="MCU479" i="135" s="1"/>
  <c r="MCN479" i="135"/>
  <c r="MCQ479" i="135" s="1"/>
  <c r="MCJ479" i="135"/>
  <c r="MCM479" i="135" s="1"/>
  <c r="MCF479" i="135"/>
  <c r="MCI479" i="135" s="1"/>
  <c r="MCB479" i="135"/>
  <c r="MCE479" i="135" s="1"/>
  <c r="MBX479" i="135"/>
  <c r="MCA479" i="135" s="1"/>
  <c r="MBT479" i="135"/>
  <c r="MBW479" i="135" s="1"/>
  <c r="MBP479" i="135"/>
  <c r="MBS479" i="135" s="1"/>
  <c r="MBL479" i="135"/>
  <c r="MBO479" i="135" s="1"/>
  <c r="MBH479" i="135"/>
  <c r="MBK479" i="135" s="1"/>
  <c r="MBD479" i="135"/>
  <c r="MBG479" i="135" s="1"/>
  <c r="MAZ479" i="135"/>
  <c r="MBC479" i="135" s="1"/>
  <c r="MAV479" i="135"/>
  <c r="MAY479" i="135" s="1"/>
  <c r="MAR479" i="135"/>
  <c r="MAU479" i="135" s="1"/>
  <c r="MAN479" i="135"/>
  <c r="MAQ479" i="135" s="1"/>
  <c r="MAJ479" i="135"/>
  <c r="MAM479" i="135" s="1"/>
  <c r="MAF479" i="135"/>
  <c r="MAI479" i="135" s="1"/>
  <c r="MAB479" i="135"/>
  <c r="MAE479" i="135" s="1"/>
  <c r="LZX479" i="135"/>
  <c r="MAA479" i="135" s="1"/>
  <c r="LZT479" i="135"/>
  <c r="LZW479" i="135" s="1"/>
  <c r="LZP479" i="135"/>
  <c r="LZS479" i="135" s="1"/>
  <c r="LZL479" i="135"/>
  <c r="LZO479" i="135" s="1"/>
  <c r="LZH479" i="135"/>
  <c r="LZK479" i="135" s="1"/>
  <c r="LZD479" i="135"/>
  <c r="LZG479" i="135" s="1"/>
  <c r="LYZ479" i="135"/>
  <c r="LZC479" i="135" s="1"/>
  <c r="LYV479" i="135"/>
  <c r="LYY479" i="135" s="1"/>
  <c r="LYR479" i="135"/>
  <c r="LYU479" i="135" s="1"/>
  <c r="LYN479" i="135"/>
  <c r="LYQ479" i="135" s="1"/>
  <c r="LYJ479" i="135"/>
  <c r="LYM479" i="135" s="1"/>
  <c r="LYF479" i="135"/>
  <c r="LYI479" i="135" s="1"/>
  <c r="LYB479" i="135"/>
  <c r="LYE479" i="135" s="1"/>
  <c r="LXX479" i="135"/>
  <c r="LYA479" i="135" s="1"/>
  <c r="LXT479" i="135"/>
  <c r="LXW479" i="135" s="1"/>
  <c r="LXP479" i="135"/>
  <c r="LXS479" i="135" s="1"/>
  <c r="LXL479" i="135"/>
  <c r="LXO479" i="135" s="1"/>
  <c r="LXH479" i="135"/>
  <c r="LXK479" i="135" s="1"/>
  <c r="LXD479" i="135"/>
  <c r="LXG479" i="135" s="1"/>
  <c r="LWZ479" i="135"/>
  <c r="LXC479" i="135" s="1"/>
  <c r="LWV479" i="135"/>
  <c r="LWY479" i="135" s="1"/>
  <c r="LWR479" i="135"/>
  <c r="LWU479" i="135" s="1"/>
  <c r="LWN479" i="135"/>
  <c r="LWQ479" i="135" s="1"/>
  <c r="LWJ479" i="135"/>
  <c r="LWM479" i="135" s="1"/>
  <c r="LWF479" i="135"/>
  <c r="LWI479" i="135" s="1"/>
  <c r="LWB479" i="135"/>
  <c r="LWE479" i="135" s="1"/>
  <c r="LVX479" i="135"/>
  <c r="LWA479" i="135" s="1"/>
  <c r="LVT479" i="135"/>
  <c r="LVW479" i="135" s="1"/>
  <c r="LVP479" i="135"/>
  <c r="LVS479" i="135" s="1"/>
  <c r="LVL479" i="135"/>
  <c r="LVO479" i="135" s="1"/>
  <c r="LVH479" i="135"/>
  <c r="LVK479" i="135" s="1"/>
  <c r="LVD479" i="135"/>
  <c r="LVG479" i="135" s="1"/>
  <c r="LUZ479" i="135"/>
  <c r="LVC479" i="135" s="1"/>
  <c r="LUV479" i="135"/>
  <c r="LUY479" i="135" s="1"/>
  <c r="LUR479" i="135"/>
  <c r="LUU479" i="135" s="1"/>
  <c r="LUN479" i="135"/>
  <c r="LUQ479" i="135" s="1"/>
  <c r="LUJ479" i="135"/>
  <c r="LUM479" i="135" s="1"/>
  <c r="LUF479" i="135"/>
  <c r="LUI479" i="135" s="1"/>
  <c r="LUB479" i="135"/>
  <c r="LUE479" i="135" s="1"/>
  <c r="LTX479" i="135"/>
  <c r="LUA479" i="135" s="1"/>
  <c r="LTT479" i="135"/>
  <c r="LTW479" i="135" s="1"/>
  <c r="LTP479" i="135"/>
  <c r="LTS479" i="135" s="1"/>
  <c r="LTL479" i="135"/>
  <c r="LTO479" i="135" s="1"/>
  <c r="LTH479" i="135"/>
  <c r="LTK479" i="135" s="1"/>
  <c r="LTD479" i="135"/>
  <c r="LTG479" i="135" s="1"/>
  <c r="LSZ479" i="135"/>
  <c r="LTC479" i="135" s="1"/>
  <c r="LSV479" i="135"/>
  <c r="LSY479" i="135" s="1"/>
  <c r="LSR479" i="135"/>
  <c r="LSU479" i="135" s="1"/>
  <c r="LSN479" i="135"/>
  <c r="LSQ479" i="135" s="1"/>
  <c r="LSJ479" i="135"/>
  <c r="LSM479" i="135" s="1"/>
  <c r="LSF479" i="135"/>
  <c r="LSI479" i="135" s="1"/>
  <c r="LSB479" i="135"/>
  <c r="LSE479" i="135" s="1"/>
  <c r="LRX479" i="135"/>
  <c r="LSA479" i="135" s="1"/>
  <c r="LRT479" i="135"/>
  <c r="LRW479" i="135" s="1"/>
  <c r="LRP479" i="135"/>
  <c r="LRS479" i="135" s="1"/>
  <c r="LRL479" i="135"/>
  <c r="LRO479" i="135" s="1"/>
  <c r="LRH479" i="135"/>
  <c r="LRK479" i="135" s="1"/>
  <c r="LRD479" i="135"/>
  <c r="LRG479" i="135" s="1"/>
  <c r="LQZ479" i="135"/>
  <c r="LRC479" i="135" s="1"/>
  <c r="LQV479" i="135"/>
  <c r="LQY479" i="135" s="1"/>
  <c r="LQR479" i="135"/>
  <c r="LQU479" i="135" s="1"/>
  <c r="LQN479" i="135"/>
  <c r="LQQ479" i="135" s="1"/>
  <c r="LQJ479" i="135"/>
  <c r="LQM479" i="135" s="1"/>
  <c r="LQF479" i="135"/>
  <c r="LQI479" i="135" s="1"/>
  <c r="LQB479" i="135"/>
  <c r="LQE479" i="135" s="1"/>
  <c r="LPX479" i="135"/>
  <c r="LQA479" i="135" s="1"/>
  <c r="LPT479" i="135"/>
  <c r="LPW479" i="135" s="1"/>
  <c r="LPP479" i="135"/>
  <c r="LPS479" i="135" s="1"/>
  <c r="LPL479" i="135"/>
  <c r="LPO479" i="135" s="1"/>
  <c r="LPH479" i="135"/>
  <c r="LPK479" i="135" s="1"/>
  <c r="LPD479" i="135"/>
  <c r="LPG479" i="135" s="1"/>
  <c r="LOZ479" i="135"/>
  <c r="LPC479" i="135" s="1"/>
  <c r="LOV479" i="135"/>
  <c r="LOY479" i="135" s="1"/>
  <c r="LOR479" i="135"/>
  <c r="LOU479" i="135" s="1"/>
  <c r="LON479" i="135"/>
  <c r="LOQ479" i="135" s="1"/>
  <c r="LOJ479" i="135"/>
  <c r="LOM479" i="135" s="1"/>
  <c r="LOF479" i="135"/>
  <c r="LOI479" i="135" s="1"/>
  <c r="LOB479" i="135"/>
  <c r="LOE479" i="135" s="1"/>
  <c r="LNX479" i="135"/>
  <c r="LOA479" i="135" s="1"/>
  <c r="LNT479" i="135"/>
  <c r="LNW479" i="135" s="1"/>
  <c r="LNP479" i="135"/>
  <c r="LNS479" i="135" s="1"/>
  <c r="LNL479" i="135"/>
  <c r="LNO479" i="135" s="1"/>
  <c r="LNH479" i="135"/>
  <c r="LNK479" i="135" s="1"/>
  <c r="LND479" i="135"/>
  <c r="LNG479" i="135" s="1"/>
  <c r="LMZ479" i="135"/>
  <c r="LNC479" i="135" s="1"/>
  <c r="LMV479" i="135"/>
  <c r="LMY479" i="135" s="1"/>
  <c r="LMR479" i="135"/>
  <c r="LMU479" i="135" s="1"/>
  <c r="LMN479" i="135"/>
  <c r="LMQ479" i="135" s="1"/>
  <c r="LMJ479" i="135"/>
  <c r="LMM479" i="135" s="1"/>
  <c r="LMF479" i="135"/>
  <c r="LMI479" i="135" s="1"/>
  <c r="LMB479" i="135"/>
  <c r="LME479" i="135" s="1"/>
  <c r="LLX479" i="135"/>
  <c r="LMA479" i="135" s="1"/>
  <c r="LLT479" i="135"/>
  <c r="LLW479" i="135" s="1"/>
  <c r="LLP479" i="135"/>
  <c r="LLS479" i="135" s="1"/>
  <c r="LLL479" i="135"/>
  <c r="LLO479" i="135" s="1"/>
  <c r="LLH479" i="135"/>
  <c r="LLK479" i="135" s="1"/>
  <c r="LLD479" i="135"/>
  <c r="LLG479" i="135" s="1"/>
  <c r="LKZ479" i="135"/>
  <c r="LLC479" i="135" s="1"/>
  <c r="LKV479" i="135"/>
  <c r="LKY479" i="135" s="1"/>
  <c r="LKR479" i="135"/>
  <c r="LKU479" i="135" s="1"/>
  <c r="LKN479" i="135"/>
  <c r="LKQ479" i="135" s="1"/>
  <c r="LKJ479" i="135"/>
  <c r="LKM479" i="135" s="1"/>
  <c r="LKF479" i="135"/>
  <c r="LKI479" i="135" s="1"/>
  <c r="LKB479" i="135"/>
  <c r="LKE479" i="135" s="1"/>
  <c r="LJX479" i="135"/>
  <c r="LKA479" i="135" s="1"/>
  <c r="LJT479" i="135"/>
  <c r="LJW479" i="135" s="1"/>
  <c r="LJP479" i="135"/>
  <c r="LJS479" i="135" s="1"/>
  <c r="LJL479" i="135"/>
  <c r="LJO479" i="135" s="1"/>
  <c r="LJH479" i="135"/>
  <c r="LJK479" i="135" s="1"/>
  <c r="LJD479" i="135"/>
  <c r="LJG479" i="135" s="1"/>
  <c r="LIZ479" i="135"/>
  <c r="LJC479" i="135" s="1"/>
  <c r="LIV479" i="135"/>
  <c r="LIY479" i="135" s="1"/>
  <c r="LIR479" i="135"/>
  <c r="LIU479" i="135" s="1"/>
  <c r="LIN479" i="135"/>
  <c r="LIQ479" i="135" s="1"/>
  <c r="LIJ479" i="135"/>
  <c r="LIM479" i="135" s="1"/>
  <c r="LIF479" i="135"/>
  <c r="LII479" i="135" s="1"/>
  <c r="LIB479" i="135"/>
  <c r="LIE479" i="135" s="1"/>
  <c r="LHX479" i="135"/>
  <c r="LIA479" i="135" s="1"/>
  <c r="LHT479" i="135"/>
  <c r="LHW479" i="135" s="1"/>
  <c r="LHP479" i="135"/>
  <c r="LHS479" i="135" s="1"/>
  <c r="LHL479" i="135"/>
  <c r="LHO479" i="135" s="1"/>
  <c r="LHH479" i="135"/>
  <c r="LHK479" i="135" s="1"/>
  <c r="LHD479" i="135"/>
  <c r="LHG479" i="135" s="1"/>
  <c r="LGZ479" i="135"/>
  <c r="LHC479" i="135" s="1"/>
  <c r="LGV479" i="135"/>
  <c r="LGY479" i="135" s="1"/>
  <c r="LGR479" i="135"/>
  <c r="LGU479" i="135" s="1"/>
  <c r="LGN479" i="135"/>
  <c r="LGQ479" i="135" s="1"/>
  <c r="LGJ479" i="135"/>
  <c r="LGM479" i="135" s="1"/>
  <c r="LGF479" i="135"/>
  <c r="LGI479" i="135" s="1"/>
  <c r="LGB479" i="135"/>
  <c r="LGE479" i="135" s="1"/>
  <c r="LFX479" i="135"/>
  <c r="LGA479" i="135" s="1"/>
  <c r="LFT479" i="135"/>
  <c r="LFW479" i="135" s="1"/>
  <c r="LFP479" i="135"/>
  <c r="LFS479" i="135" s="1"/>
  <c r="LFL479" i="135"/>
  <c r="LFO479" i="135" s="1"/>
  <c r="LFH479" i="135"/>
  <c r="LFK479" i="135" s="1"/>
  <c r="LFD479" i="135"/>
  <c r="LFG479" i="135" s="1"/>
  <c r="LEZ479" i="135"/>
  <c r="LFC479" i="135" s="1"/>
  <c r="LEV479" i="135"/>
  <c r="LEY479" i="135" s="1"/>
  <c r="LER479" i="135"/>
  <c r="LEU479" i="135" s="1"/>
  <c r="LEN479" i="135"/>
  <c r="LEQ479" i="135" s="1"/>
  <c r="LEJ479" i="135"/>
  <c r="LEM479" i="135" s="1"/>
  <c r="LEF479" i="135"/>
  <c r="LEI479" i="135" s="1"/>
  <c r="LEB479" i="135"/>
  <c r="LEE479" i="135" s="1"/>
  <c r="LDX479" i="135"/>
  <c r="LEA479" i="135" s="1"/>
  <c r="LDT479" i="135"/>
  <c r="LDW479" i="135" s="1"/>
  <c r="LDP479" i="135"/>
  <c r="LDS479" i="135" s="1"/>
  <c r="LDL479" i="135"/>
  <c r="LDO479" i="135" s="1"/>
  <c r="LDH479" i="135"/>
  <c r="LDK479" i="135" s="1"/>
  <c r="LDD479" i="135"/>
  <c r="LDG479" i="135" s="1"/>
  <c r="LCZ479" i="135"/>
  <c r="LDC479" i="135" s="1"/>
  <c r="LCV479" i="135"/>
  <c r="LCY479" i="135" s="1"/>
  <c r="LCR479" i="135"/>
  <c r="LCU479" i="135" s="1"/>
  <c r="LCN479" i="135"/>
  <c r="LCQ479" i="135" s="1"/>
  <c r="LCJ479" i="135"/>
  <c r="LCM479" i="135" s="1"/>
  <c r="LCF479" i="135"/>
  <c r="LCI479" i="135" s="1"/>
  <c r="LCB479" i="135"/>
  <c r="LCE479" i="135" s="1"/>
  <c r="LBX479" i="135"/>
  <c r="LCA479" i="135" s="1"/>
  <c r="LBT479" i="135"/>
  <c r="LBW479" i="135" s="1"/>
  <c r="LBP479" i="135"/>
  <c r="LBS479" i="135" s="1"/>
  <c r="LBL479" i="135"/>
  <c r="LBO479" i="135" s="1"/>
  <c r="LBH479" i="135"/>
  <c r="LBK479" i="135" s="1"/>
  <c r="LBD479" i="135"/>
  <c r="LBG479" i="135" s="1"/>
  <c r="LAZ479" i="135"/>
  <c r="LBC479" i="135" s="1"/>
  <c r="LAV479" i="135"/>
  <c r="LAY479" i="135" s="1"/>
  <c r="LAR479" i="135"/>
  <c r="LAU479" i="135" s="1"/>
  <c r="LAN479" i="135"/>
  <c r="LAQ479" i="135" s="1"/>
  <c r="LAJ479" i="135"/>
  <c r="LAM479" i="135" s="1"/>
  <c r="LAF479" i="135"/>
  <c r="LAI479" i="135" s="1"/>
  <c r="LAB479" i="135"/>
  <c r="LAE479" i="135" s="1"/>
  <c r="KZX479" i="135"/>
  <c r="LAA479" i="135" s="1"/>
  <c r="KZT479" i="135"/>
  <c r="KZW479" i="135" s="1"/>
  <c r="KZP479" i="135"/>
  <c r="KZS479" i="135" s="1"/>
  <c r="KZL479" i="135"/>
  <c r="KZO479" i="135" s="1"/>
  <c r="KZH479" i="135"/>
  <c r="KZK479" i="135" s="1"/>
  <c r="KZD479" i="135"/>
  <c r="KZG479" i="135" s="1"/>
  <c r="KYZ479" i="135"/>
  <c r="KZC479" i="135" s="1"/>
  <c r="KYV479" i="135"/>
  <c r="KYY479" i="135" s="1"/>
  <c r="KYR479" i="135"/>
  <c r="KYU479" i="135" s="1"/>
  <c r="KYN479" i="135"/>
  <c r="KYQ479" i="135" s="1"/>
  <c r="KYJ479" i="135"/>
  <c r="KYM479" i="135" s="1"/>
  <c r="KYF479" i="135"/>
  <c r="KYI479" i="135" s="1"/>
  <c r="KYB479" i="135"/>
  <c r="KYE479" i="135" s="1"/>
  <c r="KXX479" i="135"/>
  <c r="KYA479" i="135" s="1"/>
  <c r="KXT479" i="135"/>
  <c r="KXW479" i="135" s="1"/>
  <c r="KXP479" i="135"/>
  <c r="KXS479" i="135" s="1"/>
  <c r="KXL479" i="135"/>
  <c r="KXO479" i="135" s="1"/>
  <c r="KXH479" i="135"/>
  <c r="KXK479" i="135" s="1"/>
  <c r="KXD479" i="135"/>
  <c r="KXG479" i="135" s="1"/>
  <c r="KWZ479" i="135"/>
  <c r="KXC479" i="135" s="1"/>
  <c r="KWV479" i="135"/>
  <c r="KWY479" i="135" s="1"/>
  <c r="KWR479" i="135"/>
  <c r="KWU479" i="135" s="1"/>
  <c r="KWN479" i="135"/>
  <c r="KWQ479" i="135" s="1"/>
  <c r="KWJ479" i="135"/>
  <c r="KWM479" i="135" s="1"/>
  <c r="KWF479" i="135"/>
  <c r="KWI479" i="135" s="1"/>
  <c r="KWB479" i="135"/>
  <c r="KWE479" i="135" s="1"/>
  <c r="KVX479" i="135"/>
  <c r="KWA479" i="135" s="1"/>
  <c r="KVT479" i="135"/>
  <c r="KVW479" i="135" s="1"/>
  <c r="KVP479" i="135"/>
  <c r="KVS479" i="135" s="1"/>
  <c r="KVL479" i="135"/>
  <c r="KVO479" i="135" s="1"/>
  <c r="KVH479" i="135"/>
  <c r="KVK479" i="135" s="1"/>
  <c r="KVD479" i="135"/>
  <c r="KVG479" i="135" s="1"/>
  <c r="KUZ479" i="135"/>
  <c r="KVC479" i="135" s="1"/>
  <c r="KUV479" i="135"/>
  <c r="KUY479" i="135" s="1"/>
  <c r="KUR479" i="135"/>
  <c r="KUU479" i="135" s="1"/>
  <c r="KUN479" i="135"/>
  <c r="KUQ479" i="135" s="1"/>
  <c r="KUJ479" i="135"/>
  <c r="KUM479" i="135" s="1"/>
  <c r="KUF479" i="135"/>
  <c r="KUI479" i="135" s="1"/>
  <c r="KUB479" i="135"/>
  <c r="KUE479" i="135" s="1"/>
  <c r="KTX479" i="135"/>
  <c r="KUA479" i="135" s="1"/>
  <c r="KTT479" i="135"/>
  <c r="KTW479" i="135" s="1"/>
  <c r="KTP479" i="135"/>
  <c r="KTS479" i="135" s="1"/>
  <c r="KTL479" i="135"/>
  <c r="KTO479" i="135" s="1"/>
  <c r="KTH479" i="135"/>
  <c r="KTK479" i="135" s="1"/>
  <c r="KTD479" i="135"/>
  <c r="KTG479" i="135" s="1"/>
  <c r="KSZ479" i="135"/>
  <c r="KTC479" i="135" s="1"/>
  <c r="KSV479" i="135"/>
  <c r="KSY479" i="135" s="1"/>
  <c r="KSR479" i="135"/>
  <c r="KSU479" i="135" s="1"/>
  <c r="KSN479" i="135"/>
  <c r="KSQ479" i="135" s="1"/>
  <c r="KSJ479" i="135"/>
  <c r="KSM479" i="135" s="1"/>
  <c r="KSF479" i="135"/>
  <c r="KSI479" i="135" s="1"/>
  <c r="KSB479" i="135"/>
  <c r="KSE479" i="135" s="1"/>
  <c r="KRX479" i="135"/>
  <c r="KSA479" i="135" s="1"/>
  <c r="KRT479" i="135"/>
  <c r="KRW479" i="135" s="1"/>
  <c r="KRP479" i="135"/>
  <c r="KRS479" i="135" s="1"/>
  <c r="KRL479" i="135"/>
  <c r="KRO479" i="135" s="1"/>
  <c r="KRH479" i="135"/>
  <c r="KRK479" i="135" s="1"/>
  <c r="KRD479" i="135"/>
  <c r="KRG479" i="135" s="1"/>
  <c r="KQZ479" i="135"/>
  <c r="KRC479" i="135" s="1"/>
  <c r="KQV479" i="135"/>
  <c r="KQY479" i="135" s="1"/>
  <c r="KQR479" i="135"/>
  <c r="KQU479" i="135" s="1"/>
  <c r="KQN479" i="135"/>
  <c r="KQQ479" i="135" s="1"/>
  <c r="KQJ479" i="135"/>
  <c r="KQM479" i="135" s="1"/>
  <c r="KQF479" i="135"/>
  <c r="KQI479" i="135" s="1"/>
  <c r="KQB479" i="135"/>
  <c r="KQE479" i="135" s="1"/>
  <c r="KPX479" i="135"/>
  <c r="KQA479" i="135" s="1"/>
  <c r="KPT479" i="135"/>
  <c r="KPW479" i="135" s="1"/>
  <c r="KPP479" i="135"/>
  <c r="KPS479" i="135" s="1"/>
  <c r="KPL479" i="135"/>
  <c r="KPO479" i="135" s="1"/>
  <c r="KPH479" i="135"/>
  <c r="KPK479" i="135" s="1"/>
  <c r="KPD479" i="135"/>
  <c r="KPG479" i="135" s="1"/>
  <c r="KOZ479" i="135"/>
  <c r="KPC479" i="135" s="1"/>
  <c r="KOV479" i="135"/>
  <c r="KOY479" i="135" s="1"/>
  <c r="KOR479" i="135"/>
  <c r="KOU479" i="135" s="1"/>
  <c r="KON479" i="135"/>
  <c r="KOQ479" i="135" s="1"/>
  <c r="KOJ479" i="135"/>
  <c r="KOM479" i="135" s="1"/>
  <c r="KOF479" i="135"/>
  <c r="KOI479" i="135" s="1"/>
  <c r="KOB479" i="135"/>
  <c r="KOE479" i="135" s="1"/>
  <c r="KNX479" i="135"/>
  <c r="KOA479" i="135" s="1"/>
  <c r="KNT479" i="135"/>
  <c r="KNW479" i="135" s="1"/>
  <c r="KNP479" i="135"/>
  <c r="KNS479" i="135" s="1"/>
  <c r="KNL479" i="135"/>
  <c r="KNO479" i="135" s="1"/>
  <c r="KNH479" i="135"/>
  <c r="KNK479" i="135" s="1"/>
  <c r="KND479" i="135"/>
  <c r="KNG479" i="135" s="1"/>
  <c r="KMZ479" i="135"/>
  <c r="KNC479" i="135" s="1"/>
  <c r="KMV479" i="135"/>
  <c r="KMY479" i="135" s="1"/>
  <c r="KMR479" i="135"/>
  <c r="KMU479" i="135" s="1"/>
  <c r="KMN479" i="135"/>
  <c r="KMQ479" i="135" s="1"/>
  <c r="KMJ479" i="135"/>
  <c r="KMM479" i="135" s="1"/>
  <c r="KMF479" i="135"/>
  <c r="KMI479" i="135" s="1"/>
  <c r="KMB479" i="135"/>
  <c r="KME479" i="135" s="1"/>
  <c r="KLX479" i="135"/>
  <c r="KMA479" i="135" s="1"/>
  <c r="KLT479" i="135"/>
  <c r="KLW479" i="135" s="1"/>
  <c r="KLP479" i="135"/>
  <c r="KLS479" i="135" s="1"/>
  <c r="KLL479" i="135"/>
  <c r="KLO479" i="135" s="1"/>
  <c r="KLH479" i="135"/>
  <c r="KLK479" i="135" s="1"/>
  <c r="KLD479" i="135"/>
  <c r="KLG479" i="135" s="1"/>
  <c r="KKZ479" i="135"/>
  <c r="KLC479" i="135" s="1"/>
  <c r="KKV479" i="135"/>
  <c r="KKY479" i="135" s="1"/>
  <c r="KKR479" i="135"/>
  <c r="KKU479" i="135" s="1"/>
  <c r="KKN479" i="135"/>
  <c r="KKQ479" i="135" s="1"/>
  <c r="KKJ479" i="135"/>
  <c r="KKM479" i="135" s="1"/>
  <c r="KKF479" i="135"/>
  <c r="KKI479" i="135" s="1"/>
  <c r="KKB479" i="135"/>
  <c r="KKE479" i="135" s="1"/>
  <c r="KJX479" i="135"/>
  <c r="KKA479" i="135" s="1"/>
  <c r="KJT479" i="135"/>
  <c r="KJW479" i="135" s="1"/>
  <c r="KJP479" i="135"/>
  <c r="KJS479" i="135" s="1"/>
  <c r="KJL479" i="135"/>
  <c r="KJO479" i="135" s="1"/>
  <c r="KJH479" i="135"/>
  <c r="KJK479" i="135" s="1"/>
  <c r="KJD479" i="135"/>
  <c r="KJG479" i="135" s="1"/>
  <c r="KIZ479" i="135"/>
  <c r="KJC479" i="135" s="1"/>
  <c r="KIV479" i="135"/>
  <c r="KIY479" i="135" s="1"/>
  <c r="KIR479" i="135"/>
  <c r="KIU479" i="135" s="1"/>
  <c r="KIN479" i="135"/>
  <c r="KIQ479" i="135" s="1"/>
  <c r="KIJ479" i="135"/>
  <c r="KIM479" i="135" s="1"/>
  <c r="KIF479" i="135"/>
  <c r="KII479" i="135" s="1"/>
  <c r="KIB479" i="135"/>
  <c r="KIE479" i="135" s="1"/>
  <c r="KHX479" i="135"/>
  <c r="KIA479" i="135" s="1"/>
  <c r="KHT479" i="135"/>
  <c r="KHW479" i="135" s="1"/>
  <c r="KHP479" i="135"/>
  <c r="KHS479" i="135" s="1"/>
  <c r="KHL479" i="135"/>
  <c r="KHO479" i="135" s="1"/>
  <c r="KHH479" i="135"/>
  <c r="KHK479" i="135" s="1"/>
  <c r="KHD479" i="135"/>
  <c r="KHG479" i="135" s="1"/>
  <c r="KGZ479" i="135"/>
  <c r="KHC479" i="135" s="1"/>
  <c r="KGV479" i="135"/>
  <c r="KGY479" i="135" s="1"/>
  <c r="KGR479" i="135"/>
  <c r="KGU479" i="135" s="1"/>
  <c r="KGN479" i="135"/>
  <c r="KGQ479" i="135" s="1"/>
  <c r="KGJ479" i="135"/>
  <c r="KGM479" i="135" s="1"/>
  <c r="KGF479" i="135"/>
  <c r="KGI479" i="135" s="1"/>
  <c r="KGB479" i="135"/>
  <c r="KGE479" i="135" s="1"/>
  <c r="KFX479" i="135"/>
  <c r="KGA479" i="135" s="1"/>
  <c r="KFT479" i="135"/>
  <c r="KFW479" i="135" s="1"/>
  <c r="KFP479" i="135"/>
  <c r="KFS479" i="135" s="1"/>
  <c r="KFL479" i="135"/>
  <c r="KFO479" i="135" s="1"/>
  <c r="KFH479" i="135"/>
  <c r="KFK479" i="135" s="1"/>
  <c r="KFD479" i="135"/>
  <c r="KFG479" i="135" s="1"/>
  <c r="KEZ479" i="135"/>
  <c r="KFC479" i="135" s="1"/>
  <c r="KEV479" i="135"/>
  <c r="KEY479" i="135" s="1"/>
  <c r="KER479" i="135"/>
  <c r="KEU479" i="135" s="1"/>
  <c r="KEN479" i="135"/>
  <c r="KEQ479" i="135" s="1"/>
  <c r="KEJ479" i="135"/>
  <c r="KEM479" i="135" s="1"/>
  <c r="KEF479" i="135"/>
  <c r="KEI479" i="135" s="1"/>
  <c r="KEB479" i="135"/>
  <c r="KEE479" i="135" s="1"/>
  <c r="KDX479" i="135"/>
  <c r="KEA479" i="135" s="1"/>
  <c r="KDT479" i="135"/>
  <c r="KDW479" i="135" s="1"/>
  <c r="KDP479" i="135"/>
  <c r="KDS479" i="135" s="1"/>
  <c r="KDL479" i="135"/>
  <c r="KDO479" i="135" s="1"/>
  <c r="KDH479" i="135"/>
  <c r="KDK479" i="135" s="1"/>
  <c r="KDD479" i="135"/>
  <c r="KDG479" i="135" s="1"/>
  <c r="KCZ479" i="135"/>
  <c r="KDC479" i="135" s="1"/>
  <c r="KCV479" i="135"/>
  <c r="KCY479" i="135" s="1"/>
  <c r="KCR479" i="135"/>
  <c r="KCU479" i="135" s="1"/>
  <c r="KCN479" i="135"/>
  <c r="KCQ479" i="135" s="1"/>
  <c r="KCJ479" i="135"/>
  <c r="KCM479" i="135" s="1"/>
  <c r="KCF479" i="135"/>
  <c r="KCI479" i="135" s="1"/>
  <c r="KCB479" i="135"/>
  <c r="KCE479" i="135" s="1"/>
  <c r="KBX479" i="135"/>
  <c r="KCA479" i="135" s="1"/>
  <c r="KBT479" i="135"/>
  <c r="KBW479" i="135" s="1"/>
  <c r="KBP479" i="135"/>
  <c r="KBS479" i="135" s="1"/>
  <c r="KBL479" i="135"/>
  <c r="KBO479" i="135" s="1"/>
  <c r="KBH479" i="135"/>
  <c r="KBK479" i="135" s="1"/>
  <c r="KBD479" i="135"/>
  <c r="KBG479" i="135" s="1"/>
  <c r="KAZ479" i="135"/>
  <c r="KBC479" i="135" s="1"/>
  <c r="KAV479" i="135"/>
  <c r="KAY479" i="135" s="1"/>
  <c r="KAR479" i="135"/>
  <c r="KAU479" i="135" s="1"/>
  <c r="KAN479" i="135"/>
  <c r="KAQ479" i="135" s="1"/>
  <c r="KAJ479" i="135"/>
  <c r="KAM479" i="135" s="1"/>
  <c r="KAF479" i="135"/>
  <c r="KAI479" i="135" s="1"/>
  <c r="KAB479" i="135"/>
  <c r="KAE479" i="135" s="1"/>
  <c r="JZX479" i="135"/>
  <c r="KAA479" i="135" s="1"/>
  <c r="JZT479" i="135"/>
  <c r="JZW479" i="135" s="1"/>
  <c r="JZP479" i="135"/>
  <c r="JZS479" i="135" s="1"/>
  <c r="JZL479" i="135"/>
  <c r="JZO479" i="135" s="1"/>
  <c r="JZH479" i="135"/>
  <c r="JZK479" i="135" s="1"/>
  <c r="JZD479" i="135"/>
  <c r="JZG479" i="135" s="1"/>
  <c r="JYZ479" i="135"/>
  <c r="JZC479" i="135" s="1"/>
  <c r="JYV479" i="135"/>
  <c r="JYY479" i="135" s="1"/>
  <c r="JYR479" i="135"/>
  <c r="JYU479" i="135" s="1"/>
  <c r="JYN479" i="135"/>
  <c r="JYQ479" i="135" s="1"/>
  <c r="JYJ479" i="135"/>
  <c r="JYM479" i="135" s="1"/>
  <c r="JYF479" i="135"/>
  <c r="JYI479" i="135" s="1"/>
  <c r="JYB479" i="135"/>
  <c r="JYE479" i="135" s="1"/>
  <c r="JXX479" i="135"/>
  <c r="JYA479" i="135" s="1"/>
  <c r="JXT479" i="135"/>
  <c r="JXW479" i="135" s="1"/>
  <c r="JXP479" i="135"/>
  <c r="JXS479" i="135" s="1"/>
  <c r="JXL479" i="135"/>
  <c r="JXO479" i="135" s="1"/>
  <c r="JXH479" i="135"/>
  <c r="JXK479" i="135" s="1"/>
  <c r="JXD479" i="135"/>
  <c r="JXG479" i="135" s="1"/>
  <c r="JWZ479" i="135"/>
  <c r="JXC479" i="135" s="1"/>
  <c r="JWV479" i="135"/>
  <c r="JWY479" i="135" s="1"/>
  <c r="JWR479" i="135"/>
  <c r="JWU479" i="135" s="1"/>
  <c r="JWN479" i="135"/>
  <c r="JWQ479" i="135" s="1"/>
  <c r="JWJ479" i="135"/>
  <c r="JWM479" i="135" s="1"/>
  <c r="JWF479" i="135"/>
  <c r="JWI479" i="135" s="1"/>
  <c r="JWB479" i="135"/>
  <c r="JWE479" i="135" s="1"/>
  <c r="JVX479" i="135"/>
  <c r="JWA479" i="135" s="1"/>
  <c r="JVT479" i="135"/>
  <c r="JVW479" i="135" s="1"/>
  <c r="JVP479" i="135"/>
  <c r="JVS479" i="135" s="1"/>
  <c r="JVL479" i="135"/>
  <c r="JVO479" i="135" s="1"/>
  <c r="JVH479" i="135"/>
  <c r="JVK479" i="135" s="1"/>
  <c r="JVD479" i="135"/>
  <c r="JVG479" i="135" s="1"/>
  <c r="JUZ479" i="135"/>
  <c r="JVC479" i="135" s="1"/>
  <c r="JUV479" i="135"/>
  <c r="JUY479" i="135" s="1"/>
  <c r="JUR479" i="135"/>
  <c r="JUU479" i="135" s="1"/>
  <c r="JUN479" i="135"/>
  <c r="JUQ479" i="135" s="1"/>
  <c r="JUJ479" i="135"/>
  <c r="JUM479" i="135" s="1"/>
  <c r="JUF479" i="135"/>
  <c r="JUI479" i="135" s="1"/>
  <c r="JUB479" i="135"/>
  <c r="JUE479" i="135" s="1"/>
  <c r="JTX479" i="135"/>
  <c r="JUA479" i="135" s="1"/>
  <c r="JTT479" i="135"/>
  <c r="JTW479" i="135" s="1"/>
  <c r="JTP479" i="135"/>
  <c r="JTS479" i="135" s="1"/>
  <c r="JTL479" i="135"/>
  <c r="JTO479" i="135" s="1"/>
  <c r="JTH479" i="135"/>
  <c r="JTK479" i="135" s="1"/>
  <c r="JTD479" i="135"/>
  <c r="JTG479" i="135" s="1"/>
  <c r="JSZ479" i="135"/>
  <c r="JTC479" i="135" s="1"/>
  <c r="JSV479" i="135"/>
  <c r="JSY479" i="135" s="1"/>
  <c r="JSR479" i="135"/>
  <c r="JSU479" i="135" s="1"/>
  <c r="JSN479" i="135"/>
  <c r="JSQ479" i="135" s="1"/>
  <c r="JSJ479" i="135"/>
  <c r="JSM479" i="135" s="1"/>
  <c r="JSF479" i="135"/>
  <c r="JSI479" i="135" s="1"/>
  <c r="JSB479" i="135"/>
  <c r="JSE479" i="135" s="1"/>
  <c r="JRX479" i="135"/>
  <c r="JSA479" i="135" s="1"/>
  <c r="JRT479" i="135"/>
  <c r="JRW479" i="135" s="1"/>
  <c r="JRP479" i="135"/>
  <c r="JRS479" i="135" s="1"/>
  <c r="JRL479" i="135"/>
  <c r="JRO479" i="135" s="1"/>
  <c r="JRH479" i="135"/>
  <c r="JRK479" i="135" s="1"/>
  <c r="JRD479" i="135"/>
  <c r="JRG479" i="135" s="1"/>
  <c r="JQZ479" i="135"/>
  <c r="JRC479" i="135" s="1"/>
  <c r="JQV479" i="135"/>
  <c r="JQY479" i="135" s="1"/>
  <c r="JQR479" i="135"/>
  <c r="JQU479" i="135" s="1"/>
  <c r="JQN479" i="135"/>
  <c r="JQQ479" i="135" s="1"/>
  <c r="JQJ479" i="135"/>
  <c r="JQM479" i="135" s="1"/>
  <c r="JQF479" i="135"/>
  <c r="JQI479" i="135" s="1"/>
  <c r="JQB479" i="135"/>
  <c r="JQE479" i="135" s="1"/>
  <c r="JPX479" i="135"/>
  <c r="JQA479" i="135" s="1"/>
  <c r="JPT479" i="135"/>
  <c r="JPW479" i="135" s="1"/>
  <c r="JPP479" i="135"/>
  <c r="JPS479" i="135" s="1"/>
  <c r="JPL479" i="135"/>
  <c r="JPO479" i="135" s="1"/>
  <c r="JPH479" i="135"/>
  <c r="JPK479" i="135" s="1"/>
  <c r="JPD479" i="135"/>
  <c r="JPG479" i="135" s="1"/>
  <c r="JOZ479" i="135"/>
  <c r="JPC479" i="135" s="1"/>
  <c r="JOV479" i="135"/>
  <c r="JOY479" i="135" s="1"/>
  <c r="JOR479" i="135"/>
  <c r="JOU479" i="135" s="1"/>
  <c r="JON479" i="135"/>
  <c r="JOQ479" i="135" s="1"/>
  <c r="JOJ479" i="135"/>
  <c r="JOM479" i="135" s="1"/>
  <c r="JOF479" i="135"/>
  <c r="JOI479" i="135" s="1"/>
  <c r="JOB479" i="135"/>
  <c r="JOE479" i="135" s="1"/>
  <c r="JNX479" i="135"/>
  <c r="JOA479" i="135" s="1"/>
  <c r="JNT479" i="135"/>
  <c r="JNW479" i="135" s="1"/>
  <c r="JNP479" i="135"/>
  <c r="JNS479" i="135" s="1"/>
  <c r="JNL479" i="135"/>
  <c r="JNO479" i="135" s="1"/>
  <c r="JNH479" i="135"/>
  <c r="JNK479" i="135" s="1"/>
  <c r="JND479" i="135"/>
  <c r="JNG479" i="135" s="1"/>
  <c r="JMZ479" i="135"/>
  <c r="JNC479" i="135" s="1"/>
  <c r="JMV479" i="135"/>
  <c r="JMY479" i="135" s="1"/>
  <c r="JMR479" i="135"/>
  <c r="JMU479" i="135" s="1"/>
  <c r="JMN479" i="135"/>
  <c r="JMQ479" i="135" s="1"/>
  <c r="JMJ479" i="135"/>
  <c r="JMM479" i="135" s="1"/>
  <c r="JMF479" i="135"/>
  <c r="JMI479" i="135" s="1"/>
  <c r="JMB479" i="135"/>
  <c r="JME479" i="135" s="1"/>
  <c r="JLX479" i="135"/>
  <c r="JMA479" i="135" s="1"/>
  <c r="JLT479" i="135"/>
  <c r="JLW479" i="135" s="1"/>
  <c r="JLP479" i="135"/>
  <c r="JLS479" i="135" s="1"/>
  <c r="JLL479" i="135"/>
  <c r="JLO479" i="135" s="1"/>
  <c r="JLH479" i="135"/>
  <c r="JLK479" i="135" s="1"/>
  <c r="JLD479" i="135"/>
  <c r="JLG479" i="135" s="1"/>
  <c r="JKZ479" i="135"/>
  <c r="JLC479" i="135" s="1"/>
  <c r="JKV479" i="135"/>
  <c r="JKY479" i="135" s="1"/>
  <c r="JKR479" i="135"/>
  <c r="JKU479" i="135" s="1"/>
  <c r="JKN479" i="135"/>
  <c r="JKQ479" i="135" s="1"/>
  <c r="JKJ479" i="135"/>
  <c r="JKM479" i="135" s="1"/>
  <c r="JKF479" i="135"/>
  <c r="JKI479" i="135" s="1"/>
  <c r="JKB479" i="135"/>
  <c r="JKE479" i="135" s="1"/>
  <c r="JJX479" i="135"/>
  <c r="JKA479" i="135" s="1"/>
  <c r="JJT479" i="135"/>
  <c r="JJW479" i="135" s="1"/>
  <c r="JJP479" i="135"/>
  <c r="JJS479" i="135" s="1"/>
  <c r="JJL479" i="135"/>
  <c r="JJO479" i="135" s="1"/>
  <c r="JJH479" i="135"/>
  <c r="JJK479" i="135" s="1"/>
  <c r="JJD479" i="135"/>
  <c r="JJG479" i="135" s="1"/>
  <c r="JIZ479" i="135"/>
  <c r="JJC479" i="135" s="1"/>
  <c r="JIV479" i="135"/>
  <c r="JIY479" i="135" s="1"/>
  <c r="JIR479" i="135"/>
  <c r="JIU479" i="135" s="1"/>
  <c r="JIN479" i="135"/>
  <c r="JIQ479" i="135" s="1"/>
  <c r="JIJ479" i="135"/>
  <c r="JIM479" i="135" s="1"/>
  <c r="JIF479" i="135"/>
  <c r="JII479" i="135" s="1"/>
  <c r="JIB479" i="135"/>
  <c r="JIE479" i="135" s="1"/>
  <c r="JHX479" i="135"/>
  <c r="JIA479" i="135" s="1"/>
  <c r="JHT479" i="135"/>
  <c r="JHW479" i="135" s="1"/>
  <c r="JHP479" i="135"/>
  <c r="JHS479" i="135" s="1"/>
  <c r="JHL479" i="135"/>
  <c r="JHO479" i="135" s="1"/>
  <c r="JHH479" i="135"/>
  <c r="JHK479" i="135" s="1"/>
  <c r="JHD479" i="135"/>
  <c r="JHG479" i="135" s="1"/>
  <c r="JGZ479" i="135"/>
  <c r="JHC479" i="135" s="1"/>
  <c r="JGV479" i="135"/>
  <c r="JGY479" i="135" s="1"/>
  <c r="JGR479" i="135"/>
  <c r="JGU479" i="135" s="1"/>
  <c r="JGN479" i="135"/>
  <c r="JGQ479" i="135" s="1"/>
  <c r="JGJ479" i="135"/>
  <c r="JGM479" i="135" s="1"/>
  <c r="JGF479" i="135"/>
  <c r="JGI479" i="135" s="1"/>
  <c r="JGB479" i="135"/>
  <c r="JGE479" i="135" s="1"/>
  <c r="JFX479" i="135"/>
  <c r="JGA479" i="135" s="1"/>
  <c r="JFT479" i="135"/>
  <c r="JFW479" i="135" s="1"/>
  <c r="JFP479" i="135"/>
  <c r="JFS479" i="135" s="1"/>
  <c r="JFL479" i="135"/>
  <c r="JFO479" i="135" s="1"/>
  <c r="JFH479" i="135"/>
  <c r="JFK479" i="135" s="1"/>
  <c r="JFD479" i="135"/>
  <c r="JFG479" i="135" s="1"/>
  <c r="JEZ479" i="135"/>
  <c r="JFC479" i="135" s="1"/>
  <c r="JEV479" i="135"/>
  <c r="JEY479" i="135" s="1"/>
  <c r="JER479" i="135"/>
  <c r="JEU479" i="135" s="1"/>
  <c r="JEN479" i="135"/>
  <c r="JEQ479" i="135" s="1"/>
  <c r="JEJ479" i="135"/>
  <c r="JEM479" i="135" s="1"/>
  <c r="JEF479" i="135"/>
  <c r="JEI479" i="135" s="1"/>
  <c r="JEB479" i="135"/>
  <c r="JEE479" i="135" s="1"/>
  <c r="JDX479" i="135"/>
  <c r="JEA479" i="135" s="1"/>
  <c r="JDT479" i="135"/>
  <c r="JDW479" i="135" s="1"/>
  <c r="JDP479" i="135"/>
  <c r="JDS479" i="135" s="1"/>
  <c r="JDL479" i="135"/>
  <c r="JDO479" i="135" s="1"/>
  <c r="JDH479" i="135"/>
  <c r="JDK479" i="135" s="1"/>
  <c r="JDD479" i="135"/>
  <c r="JDG479" i="135" s="1"/>
  <c r="JCZ479" i="135"/>
  <c r="JDC479" i="135" s="1"/>
  <c r="JCV479" i="135"/>
  <c r="JCY479" i="135" s="1"/>
  <c r="JCR479" i="135"/>
  <c r="JCU479" i="135" s="1"/>
  <c r="JCN479" i="135"/>
  <c r="JCQ479" i="135" s="1"/>
  <c r="JCJ479" i="135"/>
  <c r="JCM479" i="135" s="1"/>
  <c r="JCF479" i="135"/>
  <c r="JCI479" i="135" s="1"/>
  <c r="JCB479" i="135"/>
  <c r="JCE479" i="135" s="1"/>
  <c r="JBX479" i="135"/>
  <c r="JCA479" i="135" s="1"/>
  <c r="JBT479" i="135"/>
  <c r="JBW479" i="135" s="1"/>
  <c r="JBP479" i="135"/>
  <c r="JBS479" i="135" s="1"/>
  <c r="JBL479" i="135"/>
  <c r="JBO479" i="135" s="1"/>
  <c r="JBH479" i="135"/>
  <c r="JBK479" i="135" s="1"/>
  <c r="JBD479" i="135"/>
  <c r="JBG479" i="135" s="1"/>
  <c r="JAZ479" i="135"/>
  <c r="JBC479" i="135" s="1"/>
  <c r="JAV479" i="135"/>
  <c r="JAY479" i="135" s="1"/>
  <c r="JAR479" i="135"/>
  <c r="JAU479" i="135" s="1"/>
  <c r="JAN479" i="135"/>
  <c r="JAQ479" i="135" s="1"/>
  <c r="JAJ479" i="135"/>
  <c r="JAM479" i="135" s="1"/>
  <c r="JAF479" i="135"/>
  <c r="JAI479" i="135" s="1"/>
  <c r="JAB479" i="135"/>
  <c r="JAE479" i="135" s="1"/>
  <c r="IZX479" i="135"/>
  <c r="JAA479" i="135" s="1"/>
  <c r="IZT479" i="135"/>
  <c r="IZW479" i="135" s="1"/>
  <c r="IZP479" i="135"/>
  <c r="IZS479" i="135" s="1"/>
  <c r="IZL479" i="135"/>
  <c r="IZO479" i="135" s="1"/>
  <c r="IZH479" i="135"/>
  <c r="IZK479" i="135" s="1"/>
  <c r="IZD479" i="135"/>
  <c r="IZG479" i="135" s="1"/>
  <c r="IYZ479" i="135"/>
  <c r="IZC479" i="135" s="1"/>
  <c r="IYV479" i="135"/>
  <c r="IYY479" i="135" s="1"/>
  <c r="IYR479" i="135"/>
  <c r="IYU479" i="135" s="1"/>
  <c r="IYN479" i="135"/>
  <c r="IYQ479" i="135" s="1"/>
  <c r="IYJ479" i="135"/>
  <c r="IYM479" i="135" s="1"/>
  <c r="IYF479" i="135"/>
  <c r="IYI479" i="135" s="1"/>
  <c r="IYB479" i="135"/>
  <c r="IYE479" i="135" s="1"/>
  <c r="IXX479" i="135"/>
  <c r="IYA479" i="135" s="1"/>
  <c r="IXT479" i="135"/>
  <c r="IXW479" i="135" s="1"/>
  <c r="IXP479" i="135"/>
  <c r="IXS479" i="135" s="1"/>
  <c r="IXL479" i="135"/>
  <c r="IXO479" i="135" s="1"/>
  <c r="IXH479" i="135"/>
  <c r="IXK479" i="135" s="1"/>
  <c r="IXD479" i="135"/>
  <c r="IXG479" i="135" s="1"/>
  <c r="IWZ479" i="135"/>
  <c r="IXC479" i="135" s="1"/>
  <c r="IWV479" i="135"/>
  <c r="IWY479" i="135" s="1"/>
  <c r="IWR479" i="135"/>
  <c r="IWU479" i="135" s="1"/>
  <c r="IWN479" i="135"/>
  <c r="IWQ479" i="135" s="1"/>
  <c r="IWJ479" i="135"/>
  <c r="IWM479" i="135" s="1"/>
  <c r="IWF479" i="135"/>
  <c r="IWI479" i="135" s="1"/>
  <c r="IWB479" i="135"/>
  <c r="IWE479" i="135" s="1"/>
  <c r="IVX479" i="135"/>
  <c r="IWA479" i="135" s="1"/>
  <c r="IVT479" i="135"/>
  <c r="IVW479" i="135" s="1"/>
  <c r="IVP479" i="135"/>
  <c r="IVS479" i="135" s="1"/>
  <c r="IVL479" i="135"/>
  <c r="IVO479" i="135" s="1"/>
  <c r="IVH479" i="135"/>
  <c r="IVK479" i="135" s="1"/>
  <c r="IVD479" i="135"/>
  <c r="IVG479" i="135" s="1"/>
  <c r="IUZ479" i="135"/>
  <c r="IVC479" i="135" s="1"/>
  <c r="IUV479" i="135"/>
  <c r="IUY479" i="135" s="1"/>
  <c r="IUR479" i="135"/>
  <c r="IUU479" i="135" s="1"/>
  <c r="IUN479" i="135"/>
  <c r="IUQ479" i="135" s="1"/>
  <c r="IUJ479" i="135"/>
  <c r="IUM479" i="135" s="1"/>
  <c r="IUF479" i="135"/>
  <c r="IUI479" i="135" s="1"/>
  <c r="IUB479" i="135"/>
  <c r="IUE479" i="135" s="1"/>
  <c r="ITX479" i="135"/>
  <c r="IUA479" i="135" s="1"/>
  <c r="ITT479" i="135"/>
  <c r="ITW479" i="135" s="1"/>
  <c r="ITP479" i="135"/>
  <c r="ITS479" i="135" s="1"/>
  <c r="ITL479" i="135"/>
  <c r="ITO479" i="135" s="1"/>
  <c r="ITH479" i="135"/>
  <c r="ITK479" i="135" s="1"/>
  <c r="ITD479" i="135"/>
  <c r="ITG479" i="135" s="1"/>
  <c r="ISZ479" i="135"/>
  <c r="ITC479" i="135" s="1"/>
  <c r="ISV479" i="135"/>
  <c r="ISY479" i="135" s="1"/>
  <c r="ISR479" i="135"/>
  <c r="ISU479" i="135" s="1"/>
  <c r="ISN479" i="135"/>
  <c r="ISQ479" i="135" s="1"/>
  <c r="ISJ479" i="135"/>
  <c r="ISM479" i="135" s="1"/>
  <c r="ISF479" i="135"/>
  <c r="ISI479" i="135" s="1"/>
  <c r="ISB479" i="135"/>
  <c r="ISE479" i="135" s="1"/>
  <c r="IRX479" i="135"/>
  <c r="ISA479" i="135" s="1"/>
  <c r="IRT479" i="135"/>
  <c r="IRW479" i="135" s="1"/>
  <c r="IRP479" i="135"/>
  <c r="IRS479" i="135" s="1"/>
  <c r="IRL479" i="135"/>
  <c r="IRO479" i="135" s="1"/>
  <c r="IRH479" i="135"/>
  <c r="IRK479" i="135" s="1"/>
  <c r="IRD479" i="135"/>
  <c r="IRG479" i="135" s="1"/>
  <c r="IQZ479" i="135"/>
  <c r="IRC479" i="135" s="1"/>
  <c r="IQV479" i="135"/>
  <c r="IQY479" i="135" s="1"/>
  <c r="IQR479" i="135"/>
  <c r="IQU479" i="135" s="1"/>
  <c r="IQN479" i="135"/>
  <c r="IQQ479" i="135" s="1"/>
  <c r="IQJ479" i="135"/>
  <c r="IQM479" i="135" s="1"/>
  <c r="IQF479" i="135"/>
  <c r="IQI479" i="135" s="1"/>
  <c r="IQB479" i="135"/>
  <c r="IQE479" i="135" s="1"/>
  <c r="IPX479" i="135"/>
  <c r="IQA479" i="135" s="1"/>
  <c r="IPT479" i="135"/>
  <c r="IPW479" i="135" s="1"/>
  <c r="IPP479" i="135"/>
  <c r="IPS479" i="135" s="1"/>
  <c r="IPL479" i="135"/>
  <c r="IPO479" i="135" s="1"/>
  <c r="IPH479" i="135"/>
  <c r="IPK479" i="135" s="1"/>
  <c r="IPD479" i="135"/>
  <c r="IPG479" i="135" s="1"/>
  <c r="IOZ479" i="135"/>
  <c r="IPC479" i="135" s="1"/>
  <c r="IOV479" i="135"/>
  <c r="IOY479" i="135" s="1"/>
  <c r="IOR479" i="135"/>
  <c r="IOU479" i="135" s="1"/>
  <c r="ION479" i="135"/>
  <c r="IOQ479" i="135" s="1"/>
  <c r="IOJ479" i="135"/>
  <c r="IOM479" i="135" s="1"/>
  <c r="IOF479" i="135"/>
  <c r="IOI479" i="135" s="1"/>
  <c r="IOB479" i="135"/>
  <c r="IOE479" i="135" s="1"/>
  <c r="INX479" i="135"/>
  <c r="IOA479" i="135" s="1"/>
  <c r="INT479" i="135"/>
  <c r="INW479" i="135" s="1"/>
  <c r="INP479" i="135"/>
  <c r="INS479" i="135" s="1"/>
  <c r="INL479" i="135"/>
  <c r="INO479" i="135" s="1"/>
  <c r="INH479" i="135"/>
  <c r="INK479" i="135" s="1"/>
  <c r="IND479" i="135"/>
  <c r="ING479" i="135" s="1"/>
  <c r="IMZ479" i="135"/>
  <c r="INC479" i="135" s="1"/>
  <c r="IMV479" i="135"/>
  <c r="IMY479" i="135" s="1"/>
  <c r="IMR479" i="135"/>
  <c r="IMU479" i="135" s="1"/>
  <c r="IMN479" i="135"/>
  <c r="IMQ479" i="135" s="1"/>
  <c r="IMJ479" i="135"/>
  <c r="IMM479" i="135" s="1"/>
  <c r="IMF479" i="135"/>
  <c r="IMI479" i="135" s="1"/>
  <c r="IMB479" i="135"/>
  <c r="IME479" i="135" s="1"/>
  <c r="ILX479" i="135"/>
  <c r="IMA479" i="135" s="1"/>
  <c r="ILT479" i="135"/>
  <c r="ILW479" i="135" s="1"/>
  <c r="ILP479" i="135"/>
  <c r="ILS479" i="135" s="1"/>
  <c r="ILL479" i="135"/>
  <c r="ILO479" i="135" s="1"/>
  <c r="ILH479" i="135"/>
  <c r="ILK479" i="135" s="1"/>
  <c r="ILD479" i="135"/>
  <c r="ILG479" i="135" s="1"/>
  <c r="IKZ479" i="135"/>
  <c r="ILC479" i="135" s="1"/>
  <c r="IKV479" i="135"/>
  <c r="IKY479" i="135" s="1"/>
  <c r="IKR479" i="135"/>
  <c r="IKU479" i="135" s="1"/>
  <c r="IKN479" i="135"/>
  <c r="IKQ479" i="135" s="1"/>
  <c r="IKJ479" i="135"/>
  <c r="IKM479" i="135" s="1"/>
  <c r="IKF479" i="135"/>
  <c r="IKI479" i="135" s="1"/>
  <c r="IKB479" i="135"/>
  <c r="IKE479" i="135" s="1"/>
  <c r="IJX479" i="135"/>
  <c r="IKA479" i="135" s="1"/>
  <c r="IJT479" i="135"/>
  <c r="IJW479" i="135" s="1"/>
  <c r="IJP479" i="135"/>
  <c r="IJS479" i="135" s="1"/>
  <c r="IJL479" i="135"/>
  <c r="IJO479" i="135" s="1"/>
  <c r="IJH479" i="135"/>
  <c r="IJK479" i="135" s="1"/>
  <c r="IJD479" i="135"/>
  <c r="IJG479" i="135" s="1"/>
  <c r="IIZ479" i="135"/>
  <c r="IJC479" i="135" s="1"/>
  <c r="IIV479" i="135"/>
  <c r="IIY479" i="135" s="1"/>
  <c r="IIR479" i="135"/>
  <c r="IIU479" i="135" s="1"/>
  <c r="IIN479" i="135"/>
  <c r="IIQ479" i="135" s="1"/>
  <c r="IIJ479" i="135"/>
  <c r="IIM479" i="135" s="1"/>
  <c r="IIF479" i="135"/>
  <c r="III479" i="135" s="1"/>
  <c r="IIB479" i="135"/>
  <c r="IIE479" i="135" s="1"/>
  <c r="IHX479" i="135"/>
  <c r="IIA479" i="135" s="1"/>
  <c r="IHT479" i="135"/>
  <c r="IHW479" i="135" s="1"/>
  <c r="IHP479" i="135"/>
  <c r="IHS479" i="135" s="1"/>
  <c r="IHL479" i="135"/>
  <c r="IHO479" i="135" s="1"/>
  <c r="IHH479" i="135"/>
  <c r="IHK479" i="135" s="1"/>
  <c r="IHD479" i="135"/>
  <c r="IHG479" i="135" s="1"/>
  <c r="IGZ479" i="135"/>
  <c r="IHC479" i="135" s="1"/>
  <c r="IGV479" i="135"/>
  <c r="IGY479" i="135" s="1"/>
  <c r="IGR479" i="135"/>
  <c r="IGU479" i="135" s="1"/>
  <c r="IGN479" i="135"/>
  <c r="IGQ479" i="135" s="1"/>
  <c r="IGJ479" i="135"/>
  <c r="IGM479" i="135" s="1"/>
  <c r="IGF479" i="135"/>
  <c r="IGI479" i="135" s="1"/>
  <c r="IGB479" i="135"/>
  <c r="IGE479" i="135" s="1"/>
  <c r="IFX479" i="135"/>
  <c r="IGA479" i="135" s="1"/>
  <c r="IFT479" i="135"/>
  <c r="IFW479" i="135" s="1"/>
  <c r="IFP479" i="135"/>
  <c r="IFS479" i="135" s="1"/>
  <c r="IFL479" i="135"/>
  <c r="IFO479" i="135" s="1"/>
  <c r="IFH479" i="135"/>
  <c r="IFK479" i="135" s="1"/>
  <c r="IFD479" i="135"/>
  <c r="IFG479" i="135" s="1"/>
  <c r="IEZ479" i="135"/>
  <c r="IFC479" i="135" s="1"/>
  <c r="IEV479" i="135"/>
  <c r="IEY479" i="135" s="1"/>
  <c r="IER479" i="135"/>
  <c r="IEU479" i="135" s="1"/>
  <c r="IEN479" i="135"/>
  <c r="IEQ479" i="135" s="1"/>
  <c r="IEJ479" i="135"/>
  <c r="IEM479" i="135" s="1"/>
  <c r="IEF479" i="135"/>
  <c r="IEI479" i="135" s="1"/>
  <c r="IEB479" i="135"/>
  <c r="IEE479" i="135" s="1"/>
  <c r="IDX479" i="135"/>
  <c r="IEA479" i="135" s="1"/>
  <c r="IDT479" i="135"/>
  <c r="IDW479" i="135" s="1"/>
  <c r="IDP479" i="135"/>
  <c r="IDS479" i="135" s="1"/>
  <c r="IDL479" i="135"/>
  <c r="IDO479" i="135" s="1"/>
  <c r="IDH479" i="135"/>
  <c r="IDK479" i="135" s="1"/>
  <c r="IDD479" i="135"/>
  <c r="IDG479" i="135" s="1"/>
  <c r="ICZ479" i="135"/>
  <c r="IDC479" i="135" s="1"/>
  <c r="ICV479" i="135"/>
  <c r="ICY479" i="135" s="1"/>
  <c r="ICR479" i="135"/>
  <c r="ICU479" i="135" s="1"/>
  <c r="ICN479" i="135"/>
  <c r="ICQ479" i="135" s="1"/>
  <c r="ICJ479" i="135"/>
  <c r="ICM479" i="135" s="1"/>
  <c r="ICF479" i="135"/>
  <c r="ICI479" i="135" s="1"/>
  <c r="ICB479" i="135"/>
  <c r="ICE479" i="135" s="1"/>
  <c r="IBX479" i="135"/>
  <c r="ICA479" i="135" s="1"/>
  <c r="IBT479" i="135"/>
  <c r="IBW479" i="135" s="1"/>
  <c r="IBP479" i="135"/>
  <c r="IBS479" i="135" s="1"/>
  <c r="IBL479" i="135"/>
  <c r="IBO479" i="135" s="1"/>
  <c r="IBH479" i="135"/>
  <c r="IBK479" i="135" s="1"/>
  <c r="IBD479" i="135"/>
  <c r="IBG479" i="135" s="1"/>
  <c r="IAZ479" i="135"/>
  <c r="IBC479" i="135" s="1"/>
  <c r="IAV479" i="135"/>
  <c r="IAY479" i="135" s="1"/>
  <c r="IAR479" i="135"/>
  <c r="IAU479" i="135" s="1"/>
  <c r="IAN479" i="135"/>
  <c r="IAQ479" i="135" s="1"/>
  <c r="IAJ479" i="135"/>
  <c r="IAM479" i="135" s="1"/>
  <c r="IAF479" i="135"/>
  <c r="IAI479" i="135" s="1"/>
  <c r="IAB479" i="135"/>
  <c r="IAE479" i="135" s="1"/>
  <c r="HZX479" i="135"/>
  <c r="IAA479" i="135" s="1"/>
  <c r="HZT479" i="135"/>
  <c r="HZW479" i="135" s="1"/>
  <c r="HZP479" i="135"/>
  <c r="HZS479" i="135" s="1"/>
  <c r="HZL479" i="135"/>
  <c r="HZO479" i="135" s="1"/>
  <c r="HZH479" i="135"/>
  <c r="HZK479" i="135" s="1"/>
  <c r="HZD479" i="135"/>
  <c r="HZG479" i="135" s="1"/>
  <c r="HYZ479" i="135"/>
  <c r="HZC479" i="135" s="1"/>
  <c r="HYV479" i="135"/>
  <c r="HYY479" i="135" s="1"/>
  <c r="HYR479" i="135"/>
  <c r="HYU479" i="135" s="1"/>
  <c r="HYN479" i="135"/>
  <c r="HYQ479" i="135" s="1"/>
  <c r="HYJ479" i="135"/>
  <c r="HYM479" i="135" s="1"/>
  <c r="HYF479" i="135"/>
  <c r="HYI479" i="135" s="1"/>
  <c r="HYB479" i="135"/>
  <c r="HYE479" i="135" s="1"/>
  <c r="HXX479" i="135"/>
  <c r="HYA479" i="135" s="1"/>
  <c r="HXT479" i="135"/>
  <c r="HXW479" i="135" s="1"/>
  <c r="HXP479" i="135"/>
  <c r="HXS479" i="135" s="1"/>
  <c r="HXL479" i="135"/>
  <c r="HXO479" i="135" s="1"/>
  <c r="HXH479" i="135"/>
  <c r="HXK479" i="135" s="1"/>
  <c r="HXD479" i="135"/>
  <c r="HXG479" i="135" s="1"/>
  <c r="HWZ479" i="135"/>
  <c r="HXC479" i="135" s="1"/>
  <c r="HWV479" i="135"/>
  <c r="HWY479" i="135" s="1"/>
  <c r="HWR479" i="135"/>
  <c r="HWU479" i="135" s="1"/>
  <c r="HWN479" i="135"/>
  <c r="HWQ479" i="135" s="1"/>
  <c r="HWJ479" i="135"/>
  <c r="HWM479" i="135" s="1"/>
  <c r="HWF479" i="135"/>
  <c r="HWI479" i="135" s="1"/>
  <c r="HWB479" i="135"/>
  <c r="HWE479" i="135" s="1"/>
  <c r="HVX479" i="135"/>
  <c r="HWA479" i="135" s="1"/>
  <c r="HVT479" i="135"/>
  <c r="HVW479" i="135" s="1"/>
  <c r="HVP479" i="135"/>
  <c r="HVS479" i="135" s="1"/>
  <c r="HVL479" i="135"/>
  <c r="HVO479" i="135" s="1"/>
  <c r="HVH479" i="135"/>
  <c r="HVK479" i="135" s="1"/>
  <c r="HVD479" i="135"/>
  <c r="HVG479" i="135" s="1"/>
  <c r="HUZ479" i="135"/>
  <c r="HVC479" i="135" s="1"/>
  <c r="HUV479" i="135"/>
  <c r="HUY479" i="135" s="1"/>
  <c r="HUR479" i="135"/>
  <c r="HUU479" i="135" s="1"/>
  <c r="HUN479" i="135"/>
  <c r="HUQ479" i="135" s="1"/>
  <c r="HUJ479" i="135"/>
  <c r="HUM479" i="135" s="1"/>
  <c r="HUF479" i="135"/>
  <c r="HUI479" i="135" s="1"/>
  <c r="HUB479" i="135"/>
  <c r="HUE479" i="135" s="1"/>
  <c r="HTX479" i="135"/>
  <c r="HUA479" i="135" s="1"/>
  <c r="HTT479" i="135"/>
  <c r="HTW479" i="135" s="1"/>
  <c r="HTP479" i="135"/>
  <c r="HTS479" i="135" s="1"/>
  <c r="HTL479" i="135"/>
  <c r="HTO479" i="135" s="1"/>
  <c r="HTH479" i="135"/>
  <c r="HTK479" i="135" s="1"/>
  <c r="HTD479" i="135"/>
  <c r="HTG479" i="135" s="1"/>
  <c r="HSZ479" i="135"/>
  <c r="HTC479" i="135" s="1"/>
  <c r="HSV479" i="135"/>
  <c r="HSY479" i="135" s="1"/>
  <c r="HSR479" i="135"/>
  <c r="HSU479" i="135" s="1"/>
  <c r="HSN479" i="135"/>
  <c r="HSQ479" i="135" s="1"/>
  <c r="HSJ479" i="135"/>
  <c r="HSM479" i="135" s="1"/>
  <c r="HSF479" i="135"/>
  <c r="HSI479" i="135" s="1"/>
  <c r="HSB479" i="135"/>
  <c r="HSE479" i="135" s="1"/>
  <c r="HRX479" i="135"/>
  <c r="HSA479" i="135" s="1"/>
  <c r="HRT479" i="135"/>
  <c r="HRW479" i="135" s="1"/>
  <c r="HRP479" i="135"/>
  <c r="HRS479" i="135" s="1"/>
  <c r="HRL479" i="135"/>
  <c r="HRO479" i="135" s="1"/>
  <c r="HRH479" i="135"/>
  <c r="HRK479" i="135" s="1"/>
  <c r="HRD479" i="135"/>
  <c r="HRG479" i="135" s="1"/>
  <c r="HQZ479" i="135"/>
  <c r="HRC479" i="135" s="1"/>
  <c r="HQV479" i="135"/>
  <c r="HQY479" i="135" s="1"/>
  <c r="HQR479" i="135"/>
  <c r="HQU479" i="135" s="1"/>
  <c r="HQN479" i="135"/>
  <c r="HQQ479" i="135" s="1"/>
  <c r="HQJ479" i="135"/>
  <c r="HQM479" i="135" s="1"/>
  <c r="HQF479" i="135"/>
  <c r="HQI479" i="135" s="1"/>
  <c r="HQB479" i="135"/>
  <c r="HQE479" i="135" s="1"/>
  <c r="HPX479" i="135"/>
  <c r="HQA479" i="135" s="1"/>
  <c r="HPT479" i="135"/>
  <c r="HPW479" i="135" s="1"/>
  <c r="HPP479" i="135"/>
  <c r="HPS479" i="135" s="1"/>
  <c r="HPL479" i="135"/>
  <c r="HPO479" i="135" s="1"/>
  <c r="HPH479" i="135"/>
  <c r="HPK479" i="135" s="1"/>
  <c r="HPD479" i="135"/>
  <c r="HPG479" i="135" s="1"/>
  <c r="HOZ479" i="135"/>
  <c r="HPC479" i="135" s="1"/>
  <c r="HOV479" i="135"/>
  <c r="HOY479" i="135" s="1"/>
  <c r="HOR479" i="135"/>
  <c r="HOU479" i="135" s="1"/>
  <c r="HON479" i="135"/>
  <c r="HOQ479" i="135" s="1"/>
  <c r="HOJ479" i="135"/>
  <c r="HOM479" i="135" s="1"/>
  <c r="HOF479" i="135"/>
  <c r="HOI479" i="135" s="1"/>
  <c r="HOB479" i="135"/>
  <c r="HOE479" i="135" s="1"/>
  <c r="HNX479" i="135"/>
  <c r="HOA479" i="135" s="1"/>
  <c r="HNT479" i="135"/>
  <c r="HNW479" i="135" s="1"/>
  <c r="HNP479" i="135"/>
  <c r="HNS479" i="135" s="1"/>
  <c r="HNL479" i="135"/>
  <c r="HNO479" i="135" s="1"/>
  <c r="HNH479" i="135"/>
  <c r="HNK479" i="135" s="1"/>
  <c r="HND479" i="135"/>
  <c r="HNG479" i="135" s="1"/>
  <c r="HMZ479" i="135"/>
  <c r="HNC479" i="135" s="1"/>
  <c r="HMV479" i="135"/>
  <c r="HMY479" i="135" s="1"/>
  <c r="HMR479" i="135"/>
  <c r="HMU479" i="135" s="1"/>
  <c r="HMN479" i="135"/>
  <c r="HMQ479" i="135" s="1"/>
  <c r="HMJ479" i="135"/>
  <c r="HMM479" i="135" s="1"/>
  <c r="HMF479" i="135"/>
  <c r="HMI479" i="135" s="1"/>
  <c r="HMB479" i="135"/>
  <c r="HME479" i="135" s="1"/>
  <c r="HLX479" i="135"/>
  <c r="HMA479" i="135" s="1"/>
  <c r="HLT479" i="135"/>
  <c r="HLW479" i="135" s="1"/>
  <c r="HLP479" i="135"/>
  <c r="HLS479" i="135" s="1"/>
  <c r="HLL479" i="135"/>
  <c r="HLO479" i="135" s="1"/>
  <c r="HLH479" i="135"/>
  <c r="HLK479" i="135" s="1"/>
  <c r="HLD479" i="135"/>
  <c r="HLG479" i="135" s="1"/>
  <c r="HKZ479" i="135"/>
  <c r="HLC479" i="135" s="1"/>
  <c r="HKV479" i="135"/>
  <c r="HKY479" i="135" s="1"/>
  <c r="HKR479" i="135"/>
  <c r="HKU479" i="135" s="1"/>
  <c r="HKN479" i="135"/>
  <c r="HKQ479" i="135" s="1"/>
  <c r="HKJ479" i="135"/>
  <c r="HKM479" i="135" s="1"/>
  <c r="HKF479" i="135"/>
  <c r="HKI479" i="135" s="1"/>
  <c r="HKB479" i="135"/>
  <c r="HKE479" i="135" s="1"/>
  <c r="HJX479" i="135"/>
  <c r="HKA479" i="135" s="1"/>
  <c r="HJT479" i="135"/>
  <c r="HJW479" i="135" s="1"/>
  <c r="HJP479" i="135"/>
  <c r="HJS479" i="135" s="1"/>
  <c r="HJL479" i="135"/>
  <c r="HJO479" i="135" s="1"/>
  <c r="HJH479" i="135"/>
  <c r="HJK479" i="135" s="1"/>
  <c r="HJD479" i="135"/>
  <c r="HJG479" i="135" s="1"/>
  <c r="HIZ479" i="135"/>
  <c r="HJC479" i="135" s="1"/>
  <c r="HIV479" i="135"/>
  <c r="HIY479" i="135" s="1"/>
  <c r="HIR479" i="135"/>
  <c r="HIU479" i="135" s="1"/>
  <c r="HIN479" i="135"/>
  <c r="HIQ479" i="135" s="1"/>
  <c r="HIJ479" i="135"/>
  <c r="HIM479" i="135" s="1"/>
  <c r="HIF479" i="135"/>
  <c r="HII479" i="135" s="1"/>
  <c r="HIB479" i="135"/>
  <c r="HIE479" i="135" s="1"/>
  <c r="HHX479" i="135"/>
  <c r="HIA479" i="135" s="1"/>
  <c r="HHT479" i="135"/>
  <c r="HHW479" i="135" s="1"/>
  <c r="HHP479" i="135"/>
  <c r="HHS479" i="135" s="1"/>
  <c r="HHL479" i="135"/>
  <c r="HHO479" i="135" s="1"/>
  <c r="HHH479" i="135"/>
  <c r="HHK479" i="135" s="1"/>
  <c r="HHD479" i="135"/>
  <c r="HHG479" i="135" s="1"/>
  <c r="HGZ479" i="135"/>
  <c r="HHC479" i="135" s="1"/>
  <c r="HGV479" i="135"/>
  <c r="HGY479" i="135" s="1"/>
  <c r="HGR479" i="135"/>
  <c r="HGU479" i="135" s="1"/>
  <c r="HGN479" i="135"/>
  <c r="HGQ479" i="135" s="1"/>
  <c r="HGJ479" i="135"/>
  <c r="HGM479" i="135" s="1"/>
  <c r="HGF479" i="135"/>
  <c r="HGI479" i="135" s="1"/>
  <c r="HGB479" i="135"/>
  <c r="HGE479" i="135" s="1"/>
  <c r="HFX479" i="135"/>
  <c r="HGA479" i="135" s="1"/>
  <c r="HFT479" i="135"/>
  <c r="HFW479" i="135" s="1"/>
  <c r="HFP479" i="135"/>
  <c r="HFS479" i="135" s="1"/>
  <c r="HFL479" i="135"/>
  <c r="HFO479" i="135" s="1"/>
  <c r="HFH479" i="135"/>
  <c r="HFK479" i="135" s="1"/>
  <c r="HFD479" i="135"/>
  <c r="HFG479" i="135" s="1"/>
  <c r="HEZ479" i="135"/>
  <c r="HFC479" i="135" s="1"/>
  <c r="HEV479" i="135"/>
  <c r="HEY479" i="135" s="1"/>
  <c r="HER479" i="135"/>
  <c r="HEU479" i="135" s="1"/>
  <c r="HEN479" i="135"/>
  <c r="HEQ479" i="135" s="1"/>
  <c r="HEJ479" i="135"/>
  <c r="HEM479" i="135" s="1"/>
  <c r="HEF479" i="135"/>
  <c r="HEI479" i="135" s="1"/>
  <c r="HEB479" i="135"/>
  <c r="HEE479" i="135" s="1"/>
  <c r="HDX479" i="135"/>
  <c r="HEA479" i="135" s="1"/>
  <c r="HDT479" i="135"/>
  <c r="HDW479" i="135" s="1"/>
  <c r="HDP479" i="135"/>
  <c r="HDS479" i="135" s="1"/>
  <c r="HDL479" i="135"/>
  <c r="HDO479" i="135" s="1"/>
  <c r="HDH479" i="135"/>
  <c r="HDK479" i="135" s="1"/>
  <c r="HDD479" i="135"/>
  <c r="HDG479" i="135" s="1"/>
  <c r="HCZ479" i="135"/>
  <c r="HDC479" i="135" s="1"/>
  <c r="HCV479" i="135"/>
  <c r="HCY479" i="135" s="1"/>
  <c r="HCR479" i="135"/>
  <c r="HCU479" i="135" s="1"/>
  <c r="HCN479" i="135"/>
  <c r="HCQ479" i="135" s="1"/>
  <c r="HCJ479" i="135"/>
  <c r="HCM479" i="135" s="1"/>
  <c r="HCF479" i="135"/>
  <c r="HCI479" i="135" s="1"/>
  <c r="HCB479" i="135"/>
  <c r="HCE479" i="135" s="1"/>
  <c r="HBX479" i="135"/>
  <c r="HCA479" i="135" s="1"/>
  <c r="HBT479" i="135"/>
  <c r="HBW479" i="135" s="1"/>
  <c r="HBP479" i="135"/>
  <c r="HBS479" i="135" s="1"/>
  <c r="HBL479" i="135"/>
  <c r="HBO479" i="135" s="1"/>
  <c r="HBH479" i="135"/>
  <c r="HBK479" i="135" s="1"/>
  <c r="HBD479" i="135"/>
  <c r="HBG479" i="135" s="1"/>
  <c r="HAZ479" i="135"/>
  <c r="HBC479" i="135" s="1"/>
  <c r="HAV479" i="135"/>
  <c r="HAY479" i="135" s="1"/>
  <c r="HAR479" i="135"/>
  <c r="HAU479" i="135" s="1"/>
  <c r="HAN479" i="135"/>
  <c r="HAQ479" i="135" s="1"/>
  <c r="HAJ479" i="135"/>
  <c r="HAM479" i="135" s="1"/>
  <c r="HAF479" i="135"/>
  <c r="HAI479" i="135" s="1"/>
  <c r="HAB479" i="135"/>
  <c r="HAE479" i="135" s="1"/>
  <c r="GZX479" i="135"/>
  <c r="HAA479" i="135" s="1"/>
  <c r="GZT479" i="135"/>
  <c r="GZW479" i="135" s="1"/>
  <c r="GZP479" i="135"/>
  <c r="GZS479" i="135" s="1"/>
  <c r="GZL479" i="135"/>
  <c r="GZO479" i="135" s="1"/>
  <c r="GZH479" i="135"/>
  <c r="GZK479" i="135" s="1"/>
  <c r="GZD479" i="135"/>
  <c r="GZG479" i="135" s="1"/>
  <c r="GYZ479" i="135"/>
  <c r="GZC479" i="135" s="1"/>
  <c r="GYV479" i="135"/>
  <c r="GYY479" i="135" s="1"/>
  <c r="GYR479" i="135"/>
  <c r="GYU479" i="135" s="1"/>
  <c r="GYN479" i="135"/>
  <c r="GYQ479" i="135" s="1"/>
  <c r="GYJ479" i="135"/>
  <c r="GYM479" i="135" s="1"/>
  <c r="GYF479" i="135"/>
  <c r="GYI479" i="135" s="1"/>
  <c r="GYB479" i="135"/>
  <c r="GYE479" i="135" s="1"/>
  <c r="GXX479" i="135"/>
  <c r="GYA479" i="135" s="1"/>
  <c r="GXT479" i="135"/>
  <c r="GXW479" i="135" s="1"/>
  <c r="GXP479" i="135"/>
  <c r="GXS479" i="135" s="1"/>
  <c r="GXL479" i="135"/>
  <c r="GXO479" i="135" s="1"/>
  <c r="GXH479" i="135"/>
  <c r="GXK479" i="135" s="1"/>
  <c r="GXD479" i="135"/>
  <c r="GXG479" i="135" s="1"/>
  <c r="GWZ479" i="135"/>
  <c r="GXC479" i="135" s="1"/>
  <c r="GWV479" i="135"/>
  <c r="GWY479" i="135" s="1"/>
  <c r="GWR479" i="135"/>
  <c r="GWU479" i="135" s="1"/>
  <c r="GWN479" i="135"/>
  <c r="GWQ479" i="135" s="1"/>
  <c r="GWJ479" i="135"/>
  <c r="GWM479" i="135" s="1"/>
  <c r="GWF479" i="135"/>
  <c r="GWI479" i="135" s="1"/>
  <c r="GWB479" i="135"/>
  <c r="GWE479" i="135" s="1"/>
  <c r="GVX479" i="135"/>
  <c r="GWA479" i="135" s="1"/>
  <c r="GVT479" i="135"/>
  <c r="GVW479" i="135" s="1"/>
  <c r="GVP479" i="135"/>
  <c r="GVS479" i="135" s="1"/>
  <c r="GVL479" i="135"/>
  <c r="GVO479" i="135" s="1"/>
  <c r="GVH479" i="135"/>
  <c r="GVK479" i="135" s="1"/>
  <c r="GVD479" i="135"/>
  <c r="GVG479" i="135" s="1"/>
  <c r="GUZ479" i="135"/>
  <c r="GVC479" i="135" s="1"/>
  <c r="GUV479" i="135"/>
  <c r="GUY479" i="135" s="1"/>
  <c r="GUR479" i="135"/>
  <c r="GUU479" i="135" s="1"/>
  <c r="GUN479" i="135"/>
  <c r="GUQ479" i="135" s="1"/>
  <c r="GUJ479" i="135"/>
  <c r="GUM479" i="135" s="1"/>
  <c r="GUF479" i="135"/>
  <c r="GUI479" i="135" s="1"/>
  <c r="GUB479" i="135"/>
  <c r="GUE479" i="135" s="1"/>
  <c r="GTX479" i="135"/>
  <c r="GUA479" i="135" s="1"/>
  <c r="GTT479" i="135"/>
  <c r="GTW479" i="135" s="1"/>
  <c r="GTP479" i="135"/>
  <c r="GTS479" i="135" s="1"/>
  <c r="GTL479" i="135"/>
  <c r="GTO479" i="135" s="1"/>
  <c r="GTH479" i="135"/>
  <c r="GTK479" i="135" s="1"/>
  <c r="GTD479" i="135"/>
  <c r="GTG479" i="135" s="1"/>
  <c r="GSZ479" i="135"/>
  <c r="GTC479" i="135" s="1"/>
  <c r="GSV479" i="135"/>
  <c r="GSY479" i="135" s="1"/>
  <c r="GSR479" i="135"/>
  <c r="GSU479" i="135" s="1"/>
  <c r="GSN479" i="135"/>
  <c r="GSQ479" i="135" s="1"/>
  <c r="GSJ479" i="135"/>
  <c r="GSM479" i="135" s="1"/>
  <c r="GSF479" i="135"/>
  <c r="GSI479" i="135" s="1"/>
  <c r="GSB479" i="135"/>
  <c r="GSE479" i="135" s="1"/>
  <c r="GRX479" i="135"/>
  <c r="GSA479" i="135" s="1"/>
  <c r="GRT479" i="135"/>
  <c r="GRW479" i="135" s="1"/>
  <c r="GRP479" i="135"/>
  <c r="GRS479" i="135" s="1"/>
  <c r="GRL479" i="135"/>
  <c r="GRO479" i="135" s="1"/>
  <c r="GRH479" i="135"/>
  <c r="GRK479" i="135" s="1"/>
  <c r="GRD479" i="135"/>
  <c r="GRG479" i="135" s="1"/>
  <c r="GQZ479" i="135"/>
  <c r="GRC479" i="135" s="1"/>
  <c r="GQV479" i="135"/>
  <c r="GQY479" i="135" s="1"/>
  <c r="GQR479" i="135"/>
  <c r="GQU479" i="135" s="1"/>
  <c r="GQN479" i="135"/>
  <c r="GQQ479" i="135" s="1"/>
  <c r="GQJ479" i="135"/>
  <c r="GQM479" i="135" s="1"/>
  <c r="GQF479" i="135"/>
  <c r="GQI479" i="135" s="1"/>
  <c r="GQB479" i="135"/>
  <c r="GQE479" i="135" s="1"/>
  <c r="GPX479" i="135"/>
  <c r="GQA479" i="135" s="1"/>
  <c r="GPT479" i="135"/>
  <c r="GPW479" i="135" s="1"/>
  <c r="GPP479" i="135"/>
  <c r="GPS479" i="135" s="1"/>
  <c r="GPL479" i="135"/>
  <c r="GPO479" i="135" s="1"/>
  <c r="GPH479" i="135"/>
  <c r="GPK479" i="135" s="1"/>
  <c r="GPD479" i="135"/>
  <c r="GPG479" i="135" s="1"/>
  <c r="GOZ479" i="135"/>
  <c r="GPC479" i="135" s="1"/>
  <c r="GOV479" i="135"/>
  <c r="GOY479" i="135" s="1"/>
  <c r="GOR479" i="135"/>
  <c r="GOU479" i="135" s="1"/>
  <c r="GON479" i="135"/>
  <c r="GOQ479" i="135" s="1"/>
  <c r="GOJ479" i="135"/>
  <c r="GOM479" i="135" s="1"/>
  <c r="GOF479" i="135"/>
  <c r="GOI479" i="135" s="1"/>
  <c r="GOB479" i="135"/>
  <c r="GOE479" i="135" s="1"/>
  <c r="GNX479" i="135"/>
  <c r="GOA479" i="135" s="1"/>
  <c r="GNT479" i="135"/>
  <c r="GNW479" i="135" s="1"/>
  <c r="GNP479" i="135"/>
  <c r="GNS479" i="135" s="1"/>
  <c r="GNL479" i="135"/>
  <c r="GNO479" i="135" s="1"/>
  <c r="GNH479" i="135"/>
  <c r="GNK479" i="135" s="1"/>
  <c r="GND479" i="135"/>
  <c r="GNG479" i="135" s="1"/>
  <c r="GMZ479" i="135"/>
  <c r="GNC479" i="135" s="1"/>
  <c r="GMV479" i="135"/>
  <c r="GMY479" i="135" s="1"/>
  <c r="GMR479" i="135"/>
  <c r="GMU479" i="135" s="1"/>
  <c r="GMN479" i="135"/>
  <c r="GMQ479" i="135" s="1"/>
  <c r="GMJ479" i="135"/>
  <c r="GMM479" i="135" s="1"/>
  <c r="GMF479" i="135"/>
  <c r="GMI479" i="135" s="1"/>
  <c r="GMB479" i="135"/>
  <c r="GME479" i="135" s="1"/>
  <c r="GLX479" i="135"/>
  <c r="GMA479" i="135" s="1"/>
  <c r="GLT479" i="135"/>
  <c r="GLW479" i="135" s="1"/>
  <c r="GLP479" i="135"/>
  <c r="GLS479" i="135" s="1"/>
  <c r="GLL479" i="135"/>
  <c r="GLO479" i="135" s="1"/>
  <c r="GLH479" i="135"/>
  <c r="GLK479" i="135" s="1"/>
  <c r="GLD479" i="135"/>
  <c r="GLG479" i="135" s="1"/>
  <c r="GKZ479" i="135"/>
  <c r="GLC479" i="135" s="1"/>
  <c r="GKV479" i="135"/>
  <c r="GKY479" i="135" s="1"/>
  <c r="GKR479" i="135"/>
  <c r="GKU479" i="135" s="1"/>
  <c r="GKN479" i="135"/>
  <c r="GKQ479" i="135" s="1"/>
  <c r="GKJ479" i="135"/>
  <c r="GKM479" i="135" s="1"/>
  <c r="GKF479" i="135"/>
  <c r="GKI479" i="135" s="1"/>
  <c r="GKB479" i="135"/>
  <c r="GKE479" i="135" s="1"/>
  <c r="GJX479" i="135"/>
  <c r="GKA479" i="135" s="1"/>
  <c r="GJT479" i="135"/>
  <c r="GJW479" i="135" s="1"/>
  <c r="GJP479" i="135"/>
  <c r="GJS479" i="135" s="1"/>
  <c r="GJL479" i="135"/>
  <c r="GJO479" i="135" s="1"/>
  <c r="GJH479" i="135"/>
  <c r="GJK479" i="135" s="1"/>
  <c r="GJD479" i="135"/>
  <c r="GJG479" i="135" s="1"/>
  <c r="GIZ479" i="135"/>
  <c r="GJC479" i="135" s="1"/>
  <c r="GIV479" i="135"/>
  <c r="GIY479" i="135" s="1"/>
  <c r="GIR479" i="135"/>
  <c r="GIU479" i="135" s="1"/>
  <c r="GIN479" i="135"/>
  <c r="GIQ479" i="135" s="1"/>
  <c r="GIJ479" i="135"/>
  <c r="GIM479" i="135" s="1"/>
  <c r="GIF479" i="135"/>
  <c r="GII479" i="135" s="1"/>
  <c r="GIB479" i="135"/>
  <c r="GIE479" i="135" s="1"/>
  <c r="GHX479" i="135"/>
  <c r="GIA479" i="135" s="1"/>
  <c r="GHT479" i="135"/>
  <c r="GHW479" i="135" s="1"/>
  <c r="GHP479" i="135"/>
  <c r="GHS479" i="135" s="1"/>
  <c r="GHL479" i="135"/>
  <c r="GHO479" i="135" s="1"/>
  <c r="GHH479" i="135"/>
  <c r="GHK479" i="135" s="1"/>
  <c r="GHD479" i="135"/>
  <c r="GHG479" i="135" s="1"/>
  <c r="GGZ479" i="135"/>
  <c r="GHC479" i="135" s="1"/>
  <c r="GGV479" i="135"/>
  <c r="GGY479" i="135" s="1"/>
  <c r="GGR479" i="135"/>
  <c r="GGU479" i="135" s="1"/>
  <c r="GGN479" i="135"/>
  <c r="GGQ479" i="135" s="1"/>
  <c r="GGJ479" i="135"/>
  <c r="GGM479" i="135" s="1"/>
  <c r="GGF479" i="135"/>
  <c r="GGI479" i="135" s="1"/>
  <c r="GGB479" i="135"/>
  <c r="GGE479" i="135" s="1"/>
  <c r="GFX479" i="135"/>
  <c r="GGA479" i="135" s="1"/>
  <c r="GFT479" i="135"/>
  <c r="GFW479" i="135" s="1"/>
  <c r="GFP479" i="135"/>
  <c r="GFS479" i="135" s="1"/>
  <c r="GFL479" i="135"/>
  <c r="GFO479" i="135" s="1"/>
  <c r="GFH479" i="135"/>
  <c r="GFK479" i="135" s="1"/>
  <c r="GFD479" i="135"/>
  <c r="GFG479" i="135" s="1"/>
  <c r="GEZ479" i="135"/>
  <c r="GFC479" i="135" s="1"/>
  <c r="GEV479" i="135"/>
  <c r="GEY479" i="135" s="1"/>
  <c r="GER479" i="135"/>
  <c r="GEU479" i="135" s="1"/>
  <c r="GEN479" i="135"/>
  <c r="GEQ479" i="135" s="1"/>
  <c r="GEJ479" i="135"/>
  <c r="GEM479" i="135" s="1"/>
  <c r="GEF479" i="135"/>
  <c r="GEI479" i="135" s="1"/>
  <c r="GEB479" i="135"/>
  <c r="GEE479" i="135" s="1"/>
  <c r="GDX479" i="135"/>
  <c r="GEA479" i="135" s="1"/>
  <c r="GDT479" i="135"/>
  <c r="GDW479" i="135" s="1"/>
  <c r="GDP479" i="135"/>
  <c r="GDS479" i="135" s="1"/>
  <c r="GDL479" i="135"/>
  <c r="GDO479" i="135" s="1"/>
  <c r="GDH479" i="135"/>
  <c r="GDK479" i="135" s="1"/>
  <c r="GDD479" i="135"/>
  <c r="GDG479" i="135" s="1"/>
  <c r="GCZ479" i="135"/>
  <c r="GDC479" i="135" s="1"/>
  <c r="GCV479" i="135"/>
  <c r="GCY479" i="135" s="1"/>
  <c r="GCR479" i="135"/>
  <c r="GCU479" i="135" s="1"/>
  <c r="GCN479" i="135"/>
  <c r="GCQ479" i="135" s="1"/>
  <c r="GCJ479" i="135"/>
  <c r="GCM479" i="135" s="1"/>
  <c r="GCF479" i="135"/>
  <c r="GCI479" i="135" s="1"/>
  <c r="GCB479" i="135"/>
  <c r="GCE479" i="135" s="1"/>
  <c r="GBX479" i="135"/>
  <c r="GCA479" i="135" s="1"/>
  <c r="GBT479" i="135"/>
  <c r="GBW479" i="135" s="1"/>
  <c r="GBP479" i="135"/>
  <c r="GBS479" i="135" s="1"/>
  <c r="GBL479" i="135"/>
  <c r="GBO479" i="135" s="1"/>
  <c r="GBH479" i="135"/>
  <c r="GBK479" i="135" s="1"/>
  <c r="GBD479" i="135"/>
  <c r="GBG479" i="135" s="1"/>
  <c r="GAZ479" i="135"/>
  <c r="GBC479" i="135" s="1"/>
  <c r="GAV479" i="135"/>
  <c r="GAY479" i="135" s="1"/>
  <c r="GAR479" i="135"/>
  <c r="GAU479" i="135" s="1"/>
  <c r="GAN479" i="135"/>
  <c r="GAQ479" i="135" s="1"/>
  <c r="GAJ479" i="135"/>
  <c r="GAM479" i="135" s="1"/>
  <c r="GAF479" i="135"/>
  <c r="GAI479" i="135" s="1"/>
  <c r="GAB479" i="135"/>
  <c r="GAE479" i="135" s="1"/>
  <c r="FZX479" i="135"/>
  <c r="GAA479" i="135" s="1"/>
  <c r="FZT479" i="135"/>
  <c r="FZW479" i="135" s="1"/>
  <c r="FZP479" i="135"/>
  <c r="FZS479" i="135" s="1"/>
  <c r="FZL479" i="135"/>
  <c r="FZO479" i="135" s="1"/>
  <c r="FZH479" i="135"/>
  <c r="FZK479" i="135" s="1"/>
  <c r="FZD479" i="135"/>
  <c r="FZG479" i="135" s="1"/>
  <c r="FYZ479" i="135"/>
  <c r="FZC479" i="135" s="1"/>
  <c r="FYV479" i="135"/>
  <c r="FYY479" i="135" s="1"/>
  <c r="FYR479" i="135"/>
  <c r="FYU479" i="135" s="1"/>
  <c r="FYN479" i="135"/>
  <c r="FYQ479" i="135" s="1"/>
  <c r="FYJ479" i="135"/>
  <c r="FYM479" i="135" s="1"/>
  <c r="FYF479" i="135"/>
  <c r="FYI479" i="135" s="1"/>
  <c r="FYB479" i="135"/>
  <c r="FYE479" i="135" s="1"/>
  <c r="FXX479" i="135"/>
  <c r="FYA479" i="135" s="1"/>
  <c r="FXT479" i="135"/>
  <c r="FXW479" i="135" s="1"/>
  <c r="FXP479" i="135"/>
  <c r="FXS479" i="135" s="1"/>
  <c r="FXL479" i="135"/>
  <c r="FXO479" i="135" s="1"/>
  <c r="FXH479" i="135"/>
  <c r="FXK479" i="135" s="1"/>
  <c r="FXD479" i="135"/>
  <c r="FXG479" i="135" s="1"/>
  <c r="FWZ479" i="135"/>
  <c r="FXC479" i="135" s="1"/>
  <c r="FWV479" i="135"/>
  <c r="FWY479" i="135" s="1"/>
  <c r="FWR479" i="135"/>
  <c r="FWU479" i="135" s="1"/>
  <c r="FWN479" i="135"/>
  <c r="FWQ479" i="135" s="1"/>
  <c r="FWJ479" i="135"/>
  <c r="FWM479" i="135" s="1"/>
  <c r="FWF479" i="135"/>
  <c r="FWI479" i="135" s="1"/>
  <c r="FWB479" i="135"/>
  <c r="FWE479" i="135" s="1"/>
  <c r="FVX479" i="135"/>
  <c r="FWA479" i="135" s="1"/>
  <c r="FVT479" i="135"/>
  <c r="FVW479" i="135" s="1"/>
  <c r="FVP479" i="135"/>
  <c r="FVS479" i="135" s="1"/>
  <c r="FVL479" i="135"/>
  <c r="FVO479" i="135" s="1"/>
  <c r="FVH479" i="135"/>
  <c r="FVK479" i="135" s="1"/>
  <c r="FVD479" i="135"/>
  <c r="FVG479" i="135" s="1"/>
  <c r="FUZ479" i="135"/>
  <c r="FVC479" i="135" s="1"/>
  <c r="FUV479" i="135"/>
  <c r="FUY479" i="135" s="1"/>
  <c r="FUR479" i="135"/>
  <c r="FUU479" i="135" s="1"/>
  <c r="FUN479" i="135"/>
  <c r="FUQ479" i="135" s="1"/>
  <c r="FUJ479" i="135"/>
  <c r="FUM479" i="135" s="1"/>
  <c r="FUF479" i="135"/>
  <c r="FUI479" i="135" s="1"/>
  <c r="FUB479" i="135"/>
  <c r="FUE479" i="135" s="1"/>
  <c r="FTX479" i="135"/>
  <c r="FUA479" i="135" s="1"/>
  <c r="FTT479" i="135"/>
  <c r="FTW479" i="135" s="1"/>
  <c r="FTP479" i="135"/>
  <c r="FTS479" i="135" s="1"/>
  <c r="FTL479" i="135"/>
  <c r="FTO479" i="135" s="1"/>
  <c r="FTH479" i="135"/>
  <c r="FTK479" i="135" s="1"/>
  <c r="FTD479" i="135"/>
  <c r="FTG479" i="135" s="1"/>
  <c r="FSZ479" i="135"/>
  <c r="FTC479" i="135" s="1"/>
  <c r="FSV479" i="135"/>
  <c r="FSY479" i="135" s="1"/>
  <c r="FSR479" i="135"/>
  <c r="FSU479" i="135" s="1"/>
  <c r="FSN479" i="135"/>
  <c r="FSQ479" i="135" s="1"/>
  <c r="FSJ479" i="135"/>
  <c r="FSM479" i="135" s="1"/>
  <c r="FSF479" i="135"/>
  <c r="FSI479" i="135" s="1"/>
  <c r="FSB479" i="135"/>
  <c r="FSE479" i="135" s="1"/>
  <c r="FRX479" i="135"/>
  <c r="FSA479" i="135" s="1"/>
  <c r="FRT479" i="135"/>
  <c r="FRW479" i="135" s="1"/>
  <c r="FRP479" i="135"/>
  <c r="FRS479" i="135" s="1"/>
  <c r="FRL479" i="135"/>
  <c r="FRO479" i="135" s="1"/>
  <c r="FRH479" i="135"/>
  <c r="FRK479" i="135" s="1"/>
  <c r="FRD479" i="135"/>
  <c r="FRG479" i="135" s="1"/>
  <c r="FQZ479" i="135"/>
  <c r="FRC479" i="135" s="1"/>
  <c r="FQV479" i="135"/>
  <c r="FQY479" i="135" s="1"/>
  <c r="FQR479" i="135"/>
  <c r="FQU479" i="135" s="1"/>
  <c r="FQN479" i="135"/>
  <c r="FQQ479" i="135" s="1"/>
  <c r="FQJ479" i="135"/>
  <c r="FQM479" i="135" s="1"/>
  <c r="FQF479" i="135"/>
  <c r="FQI479" i="135" s="1"/>
  <c r="FQB479" i="135"/>
  <c r="FQE479" i="135" s="1"/>
  <c r="FPX479" i="135"/>
  <c r="FQA479" i="135" s="1"/>
  <c r="FPT479" i="135"/>
  <c r="FPW479" i="135" s="1"/>
  <c r="FPP479" i="135"/>
  <c r="FPS479" i="135" s="1"/>
  <c r="FPL479" i="135"/>
  <c r="FPO479" i="135" s="1"/>
  <c r="FPH479" i="135"/>
  <c r="FPK479" i="135" s="1"/>
  <c r="FPD479" i="135"/>
  <c r="FPG479" i="135" s="1"/>
  <c r="FOZ479" i="135"/>
  <c r="FPC479" i="135" s="1"/>
  <c r="FOV479" i="135"/>
  <c r="FOY479" i="135" s="1"/>
  <c r="FOR479" i="135"/>
  <c r="FOU479" i="135" s="1"/>
  <c r="FON479" i="135"/>
  <c r="FOQ479" i="135" s="1"/>
  <c r="FOJ479" i="135"/>
  <c r="FOM479" i="135" s="1"/>
  <c r="FOF479" i="135"/>
  <c r="FOI479" i="135" s="1"/>
  <c r="FOB479" i="135"/>
  <c r="FOE479" i="135" s="1"/>
  <c r="FNX479" i="135"/>
  <c r="FOA479" i="135" s="1"/>
  <c r="FNT479" i="135"/>
  <c r="FNW479" i="135" s="1"/>
  <c r="FNP479" i="135"/>
  <c r="FNS479" i="135" s="1"/>
  <c r="FNL479" i="135"/>
  <c r="FNO479" i="135" s="1"/>
  <c r="FNH479" i="135"/>
  <c r="FNK479" i="135" s="1"/>
  <c r="FND479" i="135"/>
  <c r="FNG479" i="135" s="1"/>
  <c r="FMZ479" i="135"/>
  <c r="FNC479" i="135" s="1"/>
  <c r="FMV479" i="135"/>
  <c r="FMY479" i="135" s="1"/>
  <c r="FMR479" i="135"/>
  <c r="FMU479" i="135" s="1"/>
  <c r="FMN479" i="135"/>
  <c r="FMQ479" i="135" s="1"/>
  <c r="FMJ479" i="135"/>
  <c r="FMM479" i="135" s="1"/>
  <c r="FMF479" i="135"/>
  <c r="FMI479" i="135" s="1"/>
  <c r="FMB479" i="135"/>
  <c r="FME479" i="135" s="1"/>
  <c r="FLX479" i="135"/>
  <c r="FMA479" i="135" s="1"/>
  <c r="FLT479" i="135"/>
  <c r="FLW479" i="135" s="1"/>
  <c r="FLP479" i="135"/>
  <c r="FLS479" i="135" s="1"/>
  <c r="FLL479" i="135"/>
  <c r="FLO479" i="135" s="1"/>
  <c r="FLH479" i="135"/>
  <c r="FLK479" i="135" s="1"/>
  <c r="FLD479" i="135"/>
  <c r="FLG479" i="135" s="1"/>
  <c r="FKZ479" i="135"/>
  <c r="FLC479" i="135" s="1"/>
  <c r="FKV479" i="135"/>
  <c r="FKY479" i="135" s="1"/>
  <c r="FKR479" i="135"/>
  <c r="FKU479" i="135" s="1"/>
  <c r="FKN479" i="135"/>
  <c r="FKQ479" i="135" s="1"/>
  <c r="FKJ479" i="135"/>
  <c r="FKM479" i="135" s="1"/>
  <c r="FKF479" i="135"/>
  <c r="FKI479" i="135" s="1"/>
  <c r="FKB479" i="135"/>
  <c r="FKE479" i="135" s="1"/>
  <c r="FJX479" i="135"/>
  <c r="FKA479" i="135" s="1"/>
  <c r="FJT479" i="135"/>
  <c r="FJW479" i="135" s="1"/>
  <c r="FJP479" i="135"/>
  <c r="FJS479" i="135" s="1"/>
  <c r="FJL479" i="135"/>
  <c r="FJO479" i="135" s="1"/>
  <c r="FJH479" i="135"/>
  <c r="FJK479" i="135" s="1"/>
  <c r="FJD479" i="135"/>
  <c r="FJG479" i="135" s="1"/>
  <c r="FIZ479" i="135"/>
  <c r="FJC479" i="135" s="1"/>
  <c r="FIV479" i="135"/>
  <c r="FIY479" i="135" s="1"/>
  <c r="FIR479" i="135"/>
  <c r="FIU479" i="135" s="1"/>
  <c r="FIN479" i="135"/>
  <c r="FIQ479" i="135" s="1"/>
  <c r="FIJ479" i="135"/>
  <c r="FIM479" i="135" s="1"/>
  <c r="FIF479" i="135"/>
  <c r="FII479" i="135" s="1"/>
  <c r="FIB479" i="135"/>
  <c r="FIE479" i="135" s="1"/>
  <c r="FHX479" i="135"/>
  <c r="FIA479" i="135" s="1"/>
  <c r="FHT479" i="135"/>
  <c r="FHW479" i="135" s="1"/>
  <c r="FHP479" i="135"/>
  <c r="FHS479" i="135" s="1"/>
  <c r="FHL479" i="135"/>
  <c r="FHO479" i="135" s="1"/>
  <c r="FHH479" i="135"/>
  <c r="FHK479" i="135" s="1"/>
  <c r="FHD479" i="135"/>
  <c r="FHG479" i="135" s="1"/>
  <c r="FGZ479" i="135"/>
  <c r="FHC479" i="135" s="1"/>
  <c r="FGV479" i="135"/>
  <c r="FGY479" i="135" s="1"/>
  <c r="FGR479" i="135"/>
  <c r="FGU479" i="135" s="1"/>
  <c r="FGN479" i="135"/>
  <c r="FGQ479" i="135" s="1"/>
  <c r="FGJ479" i="135"/>
  <c r="FGM479" i="135" s="1"/>
  <c r="FGF479" i="135"/>
  <c r="FGI479" i="135" s="1"/>
  <c r="FGB479" i="135"/>
  <c r="FGE479" i="135" s="1"/>
  <c r="FFX479" i="135"/>
  <c r="FGA479" i="135" s="1"/>
  <c r="FFT479" i="135"/>
  <c r="FFW479" i="135" s="1"/>
  <c r="FFP479" i="135"/>
  <c r="FFS479" i="135" s="1"/>
  <c r="FFL479" i="135"/>
  <c r="FFO479" i="135" s="1"/>
  <c r="FFH479" i="135"/>
  <c r="FFK479" i="135" s="1"/>
  <c r="FFD479" i="135"/>
  <c r="FFG479" i="135" s="1"/>
  <c r="FEZ479" i="135"/>
  <c r="FFC479" i="135" s="1"/>
  <c r="FEV479" i="135"/>
  <c r="FEY479" i="135" s="1"/>
  <c r="FER479" i="135"/>
  <c r="FEU479" i="135" s="1"/>
  <c r="FEN479" i="135"/>
  <c r="FEQ479" i="135" s="1"/>
  <c r="FEJ479" i="135"/>
  <c r="FEM479" i="135" s="1"/>
  <c r="FEF479" i="135"/>
  <c r="FEI479" i="135" s="1"/>
  <c r="FEB479" i="135"/>
  <c r="FEE479" i="135" s="1"/>
  <c r="FDX479" i="135"/>
  <c r="FEA479" i="135" s="1"/>
  <c r="FDT479" i="135"/>
  <c r="FDW479" i="135" s="1"/>
  <c r="FDP479" i="135"/>
  <c r="FDS479" i="135" s="1"/>
  <c r="FDL479" i="135"/>
  <c r="FDO479" i="135" s="1"/>
  <c r="FDH479" i="135"/>
  <c r="FDK479" i="135" s="1"/>
  <c r="FDD479" i="135"/>
  <c r="FDG479" i="135" s="1"/>
  <c r="FCZ479" i="135"/>
  <c r="FDC479" i="135" s="1"/>
  <c r="FCV479" i="135"/>
  <c r="FCY479" i="135" s="1"/>
  <c r="FCR479" i="135"/>
  <c r="FCU479" i="135" s="1"/>
  <c r="FCN479" i="135"/>
  <c r="FCQ479" i="135" s="1"/>
  <c r="FCJ479" i="135"/>
  <c r="FCM479" i="135" s="1"/>
  <c r="FCF479" i="135"/>
  <c r="FCI479" i="135" s="1"/>
  <c r="FCB479" i="135"/>
  <c r="FCE479" i="135" s="1"/>
  <c r="FBX479" i="135"/>
  <c r="FCA479" i="135" s="1"/>
  <c r="FBT479" i="135"/>
  <c r="FBW479" i="135" s="1"/>
  <c r="FBP479" i="135"/>
  <c r="FBS479" i="135" s="1"/>
  <c r="FBL479" i="135"/>
  <c r="FBO479" i="135" s="1"/>
  <c r="FBH479" i="135"/>
  <c r="FBK479" i="135" s="1"/>
  <c r="FBD479" i="135"/>
  <c r="FBG479" i="135" s="1"/>
  <c r="FAZ479" i="135"/>
  <c r="FBC479" i="135" s="1"/>
  <c r="FAV479" i="135"/>
  <c r="FAY479" i="135" s="1"/>
  <c r="FAR479" i="135"/>
  <c r="FAU479" i="135" s="1"/>
  <c r="FAN479" i="135"/>
  <c r="FAQ479" i="135" s="1"/>
  <c r="FAJ479" i="135"/>
  <c r="FAM479" i="135" s="1"/>
  <c r="FAF479" i="135"/>
  <c r="FAI479" i="135" s="1"/>
  <c r="FAB479" i="135"/>
  <c r="FAE479" i="135" s="1"/>
  <c r="EZX479" i="135"/>
  <c r="FAA479" i="135" s="1"/>
  <c r="EZT479" i="135"/>
  <c r="EZW479" i="135" s="1"/>
  <c r="EZP479" i="135"/>
  <c r="EZS479" i="135" s="1"/>
  <c r="EZL479" i="135"/>
  <c r="EZO479" i="135" s="1"/>
  <c r="EZH479" i="135"/>
  <c r="EZK479" i="135" s="1"/>
  <c r="EZD479" i="135"/>
  <c r="EZG479" i="135" s="1"/>
  <c r="EYZ479" i="135"/>
  <c r="EZC479" i="135" s="1"/>
  <c r="EYV479" i="135"/>
  <c r="EYY479" i="135" s="1"/>
  <c r="EYR479" i="135"/>
  <c r="EYU479" i="135" s="1"/>
  <c r="EYN479" i="135"/>
  <c r="EYQ479" i="135" s="1"/>
  <c r="EYJ479" i="135"/>
  <c r="EYM479" i="135" s="1"/>
  <c r="EYF479" i="135"/>
  <c r="EYI479" i="135" s="1"/>
  <c r="EYB479" i="135"/>
  <c r="EYE479" i="135" s="1"/>
  <c r="EXX479" i="135"/>
  <c r="EYA479" i="135" s="1"/>
  <c r="EXT479" i="135"/>
  <c r="EXW479" i="135" s="1"/>
  <c r="EXP479" i="135"/>
  <c r="EXS479" i="135" s="1"/>
  <c r="EXL479" i="135"/>
  <c r="EXO479" i="135" s="1"/>
  <c r="EXH479" i="135"/>
  <c r="EXK479" i="135" s="1"/>
  <c r="EXD479" i="135"/>
  <c r="EXG479" i="135" s="1"/>
  <c r="EWZ479" i="135"/>
  <c r="EXC479" i="135" s="1"/>
  <c r="EWV479" i="135"/>
  <c r="EWY479" i="135" s="1"/>
  <c r="EWR479" i="135"/>
  <c r="EWU479" i="135" s="1"/>
  <c r="EWN479" i="135"/>
  <c r="EWQ479" i="135" s="1"/>
  <c r="EWJ479" i="135"/>
  <c r="EWM479" i="135" s="1"/>
  <c r="EWF479" i="135"/>
  <c r="EWI479" i="135" s="1"/>
  <c r="EWB479" i="135"/>
  <c r="EWE479" i="135" s="1"/>
  <c r="EVX479" i="135"/>
  <c r="EWA479" i="135" s="1"/>
  <c r="EVT479" i="135"/>
  <c r="EVW479" i="135" s="1"/>
  <c r="EVP479" i="135"/>
  <c r="EVS479" i="135" s="1"/>
  <c r="EVL479" i="135"/>
  <c r="EVO479" i="135" s="1"/>
  <c r="EVH479" i="135"/>
  <c r="EVK479" i="135" s="1"/>
  <c r="EVD479" i="135"/>
  <c r="EVG479" i="135" s="1"/>
  <c r="EUZ479" i="135"/>
  <c r="EVC479" i="135" s="1"/>
  <c r="EUV479" i="135"/>
  <c r="EUY479" i="135" s="1"/>
  <c r="EUR479" i="135"/>
  <c r="EUU479" i="135" s="1"/>
  <c r="EUN479" i="135"/>
  <c r="EUQ479" i="135" s="1"/>
  <c r="EUJ479" i="135"/>
  <c r="EUM479" i="135" s="1"/>
  <c r="EUF479" i="135"/>
  <c r="EUI479" i="135" s="1"/>
  <c r="EUB479" i="135"/>
  <c r="EUE479" i="135" s="1"/>
  <c r="ETX479" i="135"/>
  <c r="EUA479" i="135" s="1"/>
  <c r="ETT479" i="135"/>
  <c r="ETW479" i="135" s="1"/>
  <c r="ETP479" i="135"/>
  <c r="ETS479" i="135" s="1"/>
  <c r="ETL479" i="135"/>
  <c r="ETO479" i="135" s="1"/>
  <c r="ETH479" i="135"/>
  <c r="ETK479" i="135" s="1"/>
  <c r="ETD479" i="135"/>
  <c r="ETG479" i="135" s="1"/>
  <c r="ESZ479" i="135"/>
  <c r="ETC479" i="135" s="1"/>
  <c r="ESV479" i="135"/>
  <c r="ESY479" i="135" s="1"/>
  <c r="ESR479" i="135"/>
  <c r="ESU479" i="135" s="1"/>
  <c r="ESN479" i="135"/>
  <c r="ESQ479" i="135" s="1"/>
  <c r="ESJ479" i="135"/>
  <c r="ESM479" i="135" s="1"/>
  <c r="ESF479" i="135"/>
  <c r="ESI479" i="135" s="1"/>
  <c r="ESB479" i="135"/>
  <c r="ESE479" i="135" s="1"/>
  <c r="ERX479" i="135"/>
  <c r="ESA479" i="135" s="1"/>
  <c r="ERT479" i="135"/>
  <c r="ERW479" i="135" s="1"/>
  <c r="ERP479" i="135"/>
  <c r="ERS479" i="135" s="1"/>
  <c r="ERL479" i="135"/>
  <c r="ERO479" i="135" s="1"/>
  <c r="ERH479" i="135"/>
  <c r="ERK479" i="135" s="1"/>
  <c r="ERD479" i="135"/>
  <c r="ERG479" i="135" s="1"/>
  <c r="EQZ479" i="135"/>
  <c r="ERC479" i="135" s="1"/>
  <c r="EQV479" i="135"/>
  <c r="EQY479" i="135" s="1"/>
  <c r="EQR479" i="135"/>
  <c r="EQU479" i="135" s="1"/>
  <c r="EQN479" i="135"/>
  <c r="EQQ479" i="135" s="1"/>
  <c r="EQJ479" i="135"/>
  <c r="EQM479" i="135" s="1"/>
  <c r="EQF479" i="135"/>
  <c r="EQI479" i="135" s="1"/>
  <c r="EQB479" i="135"/>
  <c r="EQE479" i="135" s="1"/>
  <c r="EPX479" i="135"/>
  <c r="EQA479" i="135" s="1"/>
  <c r="EPT479" i="135"/>
  <c r="EPW479" i="135" s="1"/>
  <c r="EPP479" i="135"/>
  <c r="EPS479" i="135" s="1"/>
  <c r="EPL479" i="135"/>
  <c r="EPO479" i="135" s="1"/>
  <c r="EPH479" i="135"/>
  <c r="EPK479" i="135" s="1"/>
  <c r="EPD479" i="135"/>
  <c r="EPG479" i="135" s="1"/>
  <c r="EOZ479" i="135"/>
  <c r="EPC479" i="135" s="1"/>
  <c r="EOV479" i="135"/>
  <c r="EOY479" i="135" s="1"/>
  <c r="EOR479" i="135"/>
  <c r="EOU479" i="135" s="1"/>
  <c r="EON479" i="135"/>
  <c r="EOQ479" i="135" s="1"/>
  <c r="EOJ479" i="135"/>
  <c r="EOM479" i="135" s="1"/>
  <c r="EOF479" i="135"/>
  <c r="EOI479" i="135" s="1"/>
  <c r="EOB479" i="135"/>
  <c r="EOE479" i="135" s="1"/>
  <c r="ENX479" i="135"/>
  <c r="EOA479" i="135" s="1"/>
  <c r="ENT479" i="135"/>
  <c r="ENW479" i="135" s="1"/>
  <c r="ENP479" i="135"/>
  <c r="ENS479" i="135" s="1"/>
  <c r="ENL479" i="135"/>
  <c r="ENO479" i="135" s="1"/>
  <c r="ENH479" i="135"/>
  <c r="ENK479" i="135" s="1"/>
  <c r="END479" i="135"/>
  <c r="ENG479" i="135" s="1"/>
  <c r="EMZ479" i="135"/>
  <c r="ENC479" i="135" s="1"/>
  <c r="EMV479" i="135"/>
  <c r="EMY479" i="135" s="1"/>
  <c r="EMR479" i="135"/>
  <c r="EMU479" i="135" s="1"/>
  <c r="EMN479" i="135"/>
  <c r="EMQ479" i="135" s="1"/>
  <c r="EMJ479" i="135"/>
  <c r="EMM479" i="135" s="1"/>
  <c r="EMF479" i="135"/>
  <c r="EMI479" i="135" s="1"/>
  <c r="EMB479" i="135"/>
  <c r="EME479" i="135" s="1"/>
  <c r="ELX479" i="135"/>
  <c r="EMA479" i="135" s="1"/>
  <c r="ELT479" i="135"/>
  <c r="ELW479" i="135" s="1"/>
  <c r="ELP479" i="135"/>
  <c r="ELS479" i="135" s="1"/>
  <c r="ELL479" i="135"/>
  <c r="ELO479" i="135" s="1"/>
  <c r="ELH479" i="135"/>
  <c r="ELK479" i="135" s="1"/>
  <c r="ELD479" i="135"/>
  <c r="ELG479" i="135" s="1"/>
  <c r="EKZ479" i="135"/>
  <c r="ELC479" i="135" s="1"/>
  <c r="EKV479" i="135"/>
  <c r="EKY479" i="135" s="1"/>
  <c r="EKR479" i="135"/>
  <c r="EKU479" i="135" s="1"/>
  <c r="EKN479" i="135"/>
  <c r="EKQ479" i="135" s="1"/>
  <c r="EKJ479" i="135"/>
  <c r="EKM479" i="135" s="1"/>
  <c r="EKF479" i="135"/>
  <c r="EKI479" i="135" s="1"/>
  <c r="EKB479" i="135"/>
  <c r="EKE479" i="135" s="1"/>
  <c r="EJX479" i="135"/>
  <c r="EKA479" i="135" s="1"/>
  <c r="EJT479" i="135"/>
  <c r="EJW479" i="135" s="1"/>
  <c r="EJP479" i="135"/>
  <c r="EJS479" i="135" s="1"/>
  <c r="EJL479" i="135"/>
  <c r="EJO479" i="135" s="1"/>
  <c r="EJH479" i="135"/>
  <c r="EJK479" i="135" s="1"/>
  <c r="EJD479" i="135"/>
  <c r="EJG479" i="135" s="1"/>
  <c r="EIZ479" i="135"/>
  <c r="EJC479" i="135" s="1"/>
  <c r="EIV479" i="135"/>
  <c r="EIY479" i="135" s="1"/>
  <c r="EIR479" i="135"/>
  <c r="EIU479" i="135" s="1"/>
  <c r="EIN479" i="135"/>
  <c r="EIQ479" i="135" s="1"/>
  <c r="EIJ479" i="135"/>
  <c r="EIM479" i="135" s="1"/>
  <c r="EIF479" i="135"/>
  <c r="EII479" i="135" s="1"/>
  <c r="EIB479" i="135"/>
  <c r="EIE479" i="135" s="1"/>
  <c r="EHX479" i="135"/>
  <c r="EIA479" i="135" s="1"/>
  <c r="EHT479" i="135"/>
  <c r="EHW479" i="135" s="1"/>
  <c r="EHP479" i="135"/>
  <c r="EHS479" i="135" s="1"/>
  <c r="EHL479" i="135"/>
  <c r="EHO479" i="135" s="1"/>
  <c r="EHH479" i="135"/>
  <c r="EHK479" i="135" s="1"/>
  <c r="EHD479" i="135"/>
  <c r="EHG479" i="135" s="1"/>
  <c r="EGZ479" i="135"/>
  <c r="EHC479" i="135" s="1"/>
  <c r="EGV479" i="135"/>
  <c r="EGY479" i="135" s="1"/>
  <c r="EGR479" i="135"/>
  <c r="EGU479" i="135" s="1"/>
  <c r="EGN479" i="135"/>
  <c r="EGQ479" i="135" s="1"/>
  <c r="EGJ479" i="135"/>
  <c r="EGM479" i="135" s="1"/>
  <c r="EGF479" i="135"/>
  <c r="EGI479" i="135" s="1"/>
  <c r="EGB479" i="135"/>
  <c r="EGE479" i="135" s="1"/>
  <c r="EFX479" i="135"/>
  <c r="EGA479" i="135" s="1"/>
  <c r="EFT479" i="135"/>
  <c r="EFW479" i="135" s="1"/>
  <c r="EFP479" i="135"/>
  <c r="EFS479" i="135" s="1"/>
  <c r="EFL479" i="135"/>
  <c r="EFO479" i="135" s="1"/>
  <c r="EFH479" i="135"/>
  <c r="EFK479" i="135" s="1"/>
  <c r="EFD479" i="135"/>
  <c r="EFG479" i="135" s="1"/>
  <c r="EEZ479" i="135"/>
  <c r="EFC479" i="135" s="1"/>
  <c r="EEV479" i="135"/>
  <c r="EEY479" i="135" s="1"/>
  <c r="EER479" i="135"/>
  <c r="EEU479" i="135" s="1"/>
  <c r="EEN479" i="135"/>
  <c r="EEQ479" i="135" s="1"/>
  <c r="EEJ479" i="135"/>
  <c r="EEM479" i="135" s="1"/>
  <c r="EEF479" i="135"/>
  <c r="EEI479" i="135" s="1"/>
  <c r="EEB479" i="135"/>
  <c r="EEE479" i="135" s="1"/>
  <c r="EDX479" i="135"/>
  <c r="EEA479" i="135" s="1"/>
  <c r="EDT479" i="135"/>
  <c r="EDW479" i="135" s="1"/>
  <c r="EDP479" i="135"/>
  <c r="EDS479" i="135" s="1"/>
  <c r="EDL479" i="135"/>
  <c r="EDO479" i="135" s="1"/>
  <c r="EDH479" i="135"/>
  <c r="EDK479" i="135" s="1"/>
  <c r="EDD479" i="135"/>
  <c r="EDG479" i="135" s="1"/>
  <c r="ECZ479" i="135"/>
  <c r="EDC479" i="135" s="1"/>
  <c r="ECV479" i="135"/>
  <c r="ECY479" i="135" s="1"/>
  <c r="ECR479" i="135"/>
  <c r="ECU479" i="135" s="1"/>
  <c r="ECN479" i="135"/>
  <c r="ECQ479" i="135" s="1"/>
  <c r="ECJ479" i="135"/>
  <c r="ECM479" i="135" s="1"/>
  <c r="ECF479" i="135"/>
  <c r="ECI479" i="135" s="1"/>
  <c r="ECB479" i="135"/>
  <c r="ECE479" i="135" s="1"/>
  <c r="EBX479" i="135"/>
  <c r="ECA479" i="135" s="1"/>
  <c r="EBT479" i="135"/>
  <c r="EBW479" i="135" s="1"/>
  <c r="EBP479" i="135"/>
  <c r="EBS479" i="135" s="1"/>
  <c r="EBL479" i="135"/>
  <c r="EBO479" i="135" s="1"/>
  <c r="EBH479" i="135"/>
  <c r="EBK479" i="135" s="1"/>
  <c r="EBD479" i="135"/>
  <c r="EBG479" i="135" s="1"/>
  <c r="EAZ479" i="135"/>
  <c r="EBC479" i="135" s="1"/>
  <c r="EAV479" i="135"/>
  <c r="EAY479" i="135" s="1"/>
  <c r="EAR479" i="135"/>
  <c r="EAU479" i="135" s="1"/>
  <c r="EAN479" i="135"/>
  <c r="EAQ479" i="135" s="1"/>
  <c r="EAJ479" i="135"/>
  <c r="EAM479" i="135" s="1"/>
  <c r="EAF479" i="135"/>
  <c r="EAI479" i="135" s="1"/>
  <c r="EAB479" i="135"/>
  <c r="EAE479" i="135" s="1"/>
  <c r="DZX479" i="135"/>
  <c r="EAA479" i="135" s="1"/>
  <c r="DZT479" i="135"/>
  <c r="DZW479" i="135" s="1"/>
  <c r="DZP479" i="135"/>
  <c r="DZS479" i="135" s="1"/>
  <c r="DZL479" i="135"/>
  <c r="DZO479" i="135" s="1"/>
  <c r="DZH479" i="135"/>
  <c r="DZK479" i="135" s="1"/>
  <c r="DZD479" i="135"/>
  <c r="DZG479" i="135" s="1"/>
  <c r="DYZ479" i="135"/>
  <c r="DZC479" i="135" s="1"/>
  <c r="DYV479" i="135"/>
  <c r="DYY479" i="135" s="1"/>
  <c r="DYR479" i="135"/>
  <c r="DYU479" i="135" s="1"/>
  <c r="DYN479" i="135"/>
  <c r="DYQ479" i="135" s="1"/>
  <c r="DYJ479" i="135"/>
  <c r="DYM479" i="135" s="1"/>
  <c r="DYF479" i="135"/>
  <c r="DYI479" i="135" s="1"/>
  <c r="DYB479" i="135"/>
  <c r="DYE479" i="135" s="1"/>
  <c r="DXX479" i="135"/>
  <c r="DYA479" i="135" s="1"/>
  <c r="DXT479" i="135"/>
  <c r="DXW479" i="135" s="1"/>
  <c r="DXP479" i="135"/>
  <c r="DXS479" i="135" s="1"/>
  <c r="DXL479" i="135"/>
  <c r="DXO479" i="135" s="1"/>
  <c r="DXH479" i="135"/>
  <c r="DXK479" i="135" s="1"/>
  <c r="DXD479" i="135"/>
  <c r="DXG479" i="135" s="1"/>
  <c r="DWZ479" i="135"/>
  <c r="DXC479" i="135" s="1"/>
  <c r="DWV479" i="135"/>
  <c r="DWY479" i="135" s="1"/>
  <c r="DWR479" i="135"/>
  <c r="DWU479" i="135" s="1"/>
  <c r="DWN479" i="135"/>
  <c r="DWQ479" i="135" s="1"/>
  <c r="DWJ479" i="135"/>
  <c r="DWM479" i="135" s="1"/>
  <c r="DWF479" i="135"/>
  <c r="DWI479" i="135" s="1"/>
  <c r="DWB479" i="135"/>
  <c r="DWE479" i="135" s="1"/>
  <c r="DVX479" i="135"/>
  <c r="DWA479" i="135" s="1"/>
  <c r="DVT479" i="135"/>
  <c r="DVW479" i="135" s="1"/>
  <c r="DVP479" i="135"/>
  <c r="DVS479" i="135" s="1"/>
  <c r="DVL479" i="135"/>
  <c r="DVO479" i="135" s="1"/>
  <c r="DVH479" i="135"/>
  <c r="DVK479" i="135" s="1"/>
  <c r="DVD479" i="135"/>
  <c r="DVG479" i="135" s="1"/>
  <c r="DUZ479" i="135"/>
  <c r="DVC479" i="135" s="1"/>
  <c r="DUV479" i="135"/>
  <c r="DUY479" i="135" s="1"/>
  <c r="DUR479" i="135"/>
  <c r="DUU479" i="135" s="1"/>
  <c r="DUN479" i="135"/>
  <c r="DUQ479" i="135" s="1"/>
  <c r="DUJ479" i="135"/>
  <c r="DUM479" i="135" s="1"/>
  <c r="DUF479" i="135"/>
  <c r="DUI479" i="135" s="1"/>
  <c r="DUB479" i="135"/>
  <c r="DUE479" i="135" s="1"/>
  <c r="DTX479" i="135"/>
  <c r="DUA479" i="135" s="1"/>
  <c r="DTT479" i="135"/>
  <c r="DTW479" i="135" s="1"/>
  <c r="DTP479" i="135"/>
  <c r="DTS479" i="135" s="1"/>
  <c r="DTL479" i="135"/>
  <c r="DTO479" i="135" s="1"/>
  <c r="DTH479" i="135"/>
  <c r="DTK479" i="135" s="1"/>
  <c r="DTD479" i="135"/>
  <c r="DTG479" i="135" s="1"/>
  <c r="DSZ479" i="135"/>
  <c r="DTC479" i="135" s="1"/>
  <c r="DSV479" i="135"/>
  <c r="DSY479" i="135" s="1"/>
  <c r="DSR479" i="135"/>
  <c r="DSU479" i="135" s="1"/>
  <c r="DSN479" i="135"/>
  <c r="DSQ479" i="135" s="1"/>
  <c r="DSJ479" i="135"/>
  <c r="DSM479" i="135" s="1"/>
  <c r="DSF479" i="135"/>
  <c r="DSI479" i="135" s="1"/>
  <c r="DSB479" i="135"/>
  <c r="DSE479" i="135" s="1"/>
  <c r="DRX479" i="135"/>
  <c r="DSA479" i="135" s="1"/>
  <c r="DRT479" i="135"/>
  <c r="DRW479" i="135" s="1"/>
  <c r="DRP479" i="135"/>
  <c r="DRS479" i="135" s="1"/>
  <c r="DRL479" i="135"/>
  <c r="DRO479" i="135" s="1"/>
  <c r="DRH479" i="135"/>
  <c r="DRK479" i="135" s="1"/>
  <c r="DRD479" i="135"/>
  <c r="DRG479" i="135" s="1"/>
  <c r="DQZ479" i="135"/>
  <c r="DRC479" i="135" s="1"/>
  <c r="DQV479" i="135"/>
  <c r="DQY479" i="135" s="1"/>
  <c r="DQR479" i="135"/>
  <c r="DQU479" i="135" s="1"/>
  <c r="DQN479" i="135"/>
  <c r="DQQ479" i="135" s="1"/>
  <c r="DQJ479" i="135"/>
  <c r="DQM479" i="135" s="1"/>
  <c r="DQF479" i="135"/>
  <c r="DQI479" i="135" s="1"/>
  <c r="DQB479" i="135"/>
  <c r="DQE479" i="135" s="1"/>
  <c r="DPX479" i="135"/>
  <c r="DQA479" i="135" s="1"/>
  <c r="DPT479" i="135"/>
  <c r="DPW479" i="135" s="1"/>
  <c r="DPP479" i="135"/>
  <c r="DPS479" i="135" s="1"/>
  <c r="DPL479" i="135"/>
  <c r="DPO479" i="135" s="1"/>
  <c r="DPH479" i="135"/>
  <c r="DPK479" i="135" s="1"/>
  <c r="DPD479" i="135"/>
  <c r="DPG479" i="135" s="1"/>
  <c r="DOZ479" i="135"/>
  <c r="DPC479" i="135" s="1"/>
  <c r="DOV479" i="135"/>
  <c r="DOY479" i="135" s="1"/>
  <c r="DOR479" i="135"/>
  <c r="DOU479" i="135" s="1"/>
  <c r="DON479" i="135"/>
  <c r="DOQ479" i="135" s="1"/>
  <c r="DOJ479" i="135"/>
  <c r="DOM479" i="135" s="1"/>
  <c r="DOF479" i="135"/>
  <c r="DOI479" i="135" s="1"/>
  <c r="DOB479" i="135"/>
  <c r="DOE479" i="135" s="1"/>
  <c r="DNX479" i="135"/>
  <c r="DOA479" i="135" s="1"/>
  <c r="DNT479" i="135"/>
  <c r="DNW479" i="135" s="1"/>
  <c r="DNP479" i="135"/>
  <c r="DNS479" i="135" s="1"/>
  <c r="DNL479" i="135"/>
  <c r="DNO479" i="135" s="1"/>
  <c r="DNH479" i="135"/>
  <c r="DNK479" i="135" s="1"/>
  <c r="DND479" i="135"/>
  <c r="DNG479" i="135" s="1"/>
  <c r="DMZ479" i="135"/>
  <c r="DNC479" i="135" s="1"/>
  <c r="DMV479" i="135"/>
  <c r="DMY479" i="135" s="1"/>
  <c r="DMR479" i="135"/>
  <c r="DMU479" i="135" s="1"/>
  <c r="DMN479" i="135"/>
  <c r="DMQ479" i="135" s="1"/>
  <c r="DMJ479" i="135"/>
  <c r="DMM479" i="135" s="1"/>
  <c r="DMF479" i="135"/>
  <c r="DMI479" i="135" s="1"/>
  <c r="DMB479" i="135"/>
  <c r="DME479" i="135" s="1"/>
  <c r="DLX479" i="135"/>
  <c r="DMA479" i="135" s="1"/>
  <c r="DLT479" i="135"/>
  <c r="DLW479" i="135" s="1"/>
  <c r="DLP479" i="135"/>
  <c r="DLS479" i="135" s="1"/>
  <c r="DLL479" i="135"/>
  <c r="DLO479" i="135" s="1"/>
  <c r="DLH479" i="135"/>
  <c r="DLK479" i="135" s="1"/>
  <c r="DLD479" i="135"/>
  <c r="DLG479" i="135" s="1"/>
  <c r="DKZ479" i="135"/>
  <c r="DLC479" i="135" s="1"/>
  <c r="DKV479" i="135"/>
  <c r="DKY479" i="135" s="1"/>
  <c r="DKR479" i="135"/>
  <c r="DKU479" i="135" s="1"/>
  <c r="DKN479" i="135"/>
  <c r="DKQ479" i="135" s="1"/>
  <c r="DKJ479" i="135"/>
  <c r="DKM479" i="135" s="1"/>
  <c r="DKF479" i="135"/>
  <c r="DKI479" i="135" s="1"/>
  <c r="DKB479" i="135"/>
  <c r="DKE479" i="135" s="1"/>
  <c r="DJX479" i="135"/>
  <c r="DKA479" i="135" s="1"/>
  <c r="DJT479" i="135"/>
  <c r="DJW479" i="135" s="1"/>
  <c r="DJP479" i="135"/>
  <c r="DJS479" i="135" s="1"/>
  <c r="DJL479" i="135"/>
  <c r="DJO479" i="135" s="1"/>
  <c r="DJH479" i="135"/>
  <c r="DJK479" i="135" s="1"/>
  <c r="DJD479" i="135"/>
  <c r="DJG479" i="135" s="1"/>
  <c r="DIZ479" i="135"/>
  <c r="DJC479" i="135" s="1"/>
  <c r="DIV479" i="135"/>
  <c r="DIY479" i="135" s="1"/>
  <c r="DIR479" i="135"/>
  <c r="DIU479" i="135" s="1"/>
  <c r="DIN479" i="135"/>
  <c r="DIQ479" i="135" s="1"/>
  <c r="DIJ479" i="135"/>
  <c r="DIM479" i="135" s="1"/>
  <c r="DIF479" i="135"/>
  <c r="DII479" i="135" s="1"/>
  <c r="DIB479" i="135"/>
  <c r="DIE479" i="135" s="1"/>
  <c r="DHX479" i="135"/>
  <c r="DIA479" i="135" s="1"/>
  <c r="DHT479" i="135"/>
  <c r="DHW479" i="135" s="1"/>
  <c r="DHP479" i="135"/>
  <c r="DHS479" i="135" s="1"/>
  <c r="DHL479" i="135"/>
  <c r="DHO479" i="135" s="1"/>
  <c r="DHH479" i="135"/>
  <c r="DHK479" i="135" s="1"/>
  <c r="DHD479" i="135"/>
  <c r="DHG479" i="135" s="1"/>
  <c r="DGZ479" i="135"/>
  <c r="DHC479" i="135" s="1"/>
  <c r="DGV479" i="135"/>
  <c r="DGY479" i="135" s="1"/>
  <c r="DGR479" i="135"/>
  <c r="DGU479" i="135" s="1"/>
  <c r="DGN479" i="135"/>
  <c r="DGQ479" i="135" s="1"/>
  <c r="DGJ479" i="135"/>
  <c r="DGM479" i="135" s="1"/>
  <c r="DGF479" i="135"/>
  <c r="DGI479" i="135" s="1"/>
  <c r="DGB479" i="135"/>
  <c r="DGE479" i="135" s="1"/>
  <c r="DFX479" i="135"/>
  <c r="DGA479" i="135" s="1"/>
  <c r="DFT479" i="135"/>
  <c r="DFW479" i="135" s="1"/>
  <c r="DFP479" i="135"/>
  <c r="DFS479" i="135" s="1"/>
  <c r="DFL479" i="135"/>
  <c r="DFO479" i="135" s="1"/>
  <c r="DFH479" i="135"/>
  <c r="DFK479" i="135" s="1"/>
  <c r="DFD479" i="135"/>
  <c r="DFG479" i="135" s="1"/>
  <c r="DEZ479" i="135"/>
  <c r="DFC479" i="135" s="1"/>
  <c r="DEV479" i="135"/>
  <c r="DEY479" i="135" s="1"/>
  <c r="DER479" i="135"/>
  <c r="DEU479" i="135" s="1"/>
  <c r="DEN479" i="135"/>
  <c r="DEQ479" i="135" s="1"/>
  <c r="DEJ479" i="135"/>
  <c r="DEM479" i="135" s="1"/>
  <c r="DEF479" i="135"/>
  <c r="DEI479" i="135" s="1"/>
  <c r="DEB479" i="135"/>
  <c r="DEE479" i="135" s="1"/>
  <c r="DDX479" i="135"/>
  <c r="DEA479" i="135" s="1"/>
  <c r="DDT479" i="135"/>
  <c r="DDW479" i="135" s="1"/>
  <c r="DDP479" i="135"/>
  <c r="DDS479" i="135" s="1"/>
  <c r="DDL479" i="135"/>
  <c r="DDO479" i="135" s="1"/>
  <c r="DDH479" i="135"/>
  <c r="DDK479" i="135" s="1"/>
  <c r="DDD479" i="135"/>
  <c r="DDG479" i="135" s="1"/>
  <c r="DCZ479" i="135"/>
  <c r="DDC479" i="135" s="1"/>
  <c r="DCV479" i="135"/>
  <c r="DCY479" i="135" s="1"/>
  <c r="DCR479" i="135"/>
  <c r="DCU479" i="135" s="1"/>
  <c r="DCN479" i="135"/>
  <c r="DCQ479" i="135" s="1"/>
  <c r="DCJ479" i="135"/>
  <c r="DCM479" i="135" s="1"/>
  <c r="DCF479" i="135"/>
  <c r="DCI479" i="135" s="1"/>
  <c r="DCB479" i="135"/>
  <c r="DCE479" i="135" s="1"/>
  <c r="DBX479" i="135"/>
  <c r="DCA479" i="135" s="1"/>
  <c r="DBT479" i="135"/>
  <c r="DBW479" i="135" s="1"/>
  <c r="DBP479" i="135"/>
  <c r="DBS479" i="135" s="1"/>
  <c r="DBL479" i="135"/>
  <c r="DBO479" i="135" s="1"/>
  <c r="DBH479" i="135"/>
  <c r="DBK479" i="135" s="1"/>
  <c r="DBD479" i="135"/>
  <c r="DBG479" i="135" s="1"/>
  <c r="DAZ479" i="135"/>
  <c r="DBC479" i="135" s="1"/>
  <c r="DAV479" i="135"/>
  <c r="DAY479" i="135" s="1"/>
  <c r="DAR479" i="135"/>
  <c r="DAU479" i="135" s="1"/>
  <c r="DAN479" i="135"/>
  <c r="DAQ479" i="135" s="1"/>
  <c r="DAJ479" i="135"/>
  <c r="DAM479" i="135" s="1"/>
  <c r="DAF479" i="135"/>
  <c r="DAI479" i="135" s="1"/>
  <c r="DAB479" i="135"/>
  <c r="DAE479" i="135" s="1"/>
  <c r="CZX479" i="135"/>
  <c r="DAA479" i="135" s="1"/>
  <c r="CZT479" i="135"/>
  <c r="CZW479" i="135" s="1"/>
  <c r="CZP479" i="135"/>
  <c r="CZS479" i="135" s="1"/>
  <c r="CZL479" i="135"/>
  <c r="CZO479" i="135" s="1"/>
  <c r="CZH479" i="135"/>
  <c r="CZK479" i="135" s="1"/>
  <c r="CZD479" i="135"/>
  <c r="CZG479" i="135" s="1"/>
  <c r="CYZ479" i="135"/>
  <c r="CZC479" i="135" s="1"/>
  <c r="CYV479" i="135"/>
  <c r="CYY479" i="135" s="1"/>
  <c r="CYR479" i="135"/>
  <c r="CYU479" i="135" s="1"/>
  <c r="CYN479" i="135"/>
  <c r="CYQ479" i="135" s="1"/>
  <c r="CYJ479" i="135"/>
  <c r="CYM479" i="135" s="1"/>
  <c r="CYF479" i="135"/>
  <c r="CYI479" i="135" s="1"/>
  <c r="CYB479" i="135"/>
  <c r="CYE479" i="135" s="1"/>
  <c r="CXX479" i="135"/>
  <c r="CYA479" i="135" s="1"/>
  <c r="CXT479" i="135"/>
  <c r="CXW479" i="135" s="1"/>
  <c r="CXP479" i="135"/>
  <c r="CXS479" i="135" s="1"/>
  <c r="CXL479" i="135"/>
  <c r="CXO479" i="135" s="1"/>
  <c r="CXH479" i="135"/>
  <c r="CXK479" i="135" s="1"/>
  <c r="CXD479" i="135"/>
  <c r="CXG479" i="135" s="1"/>
  <c r="CWZ479" i="135"/>
  <c r="CXC479" i="135" s="1"/>
  <c r="CWV479" i="135"/>
  <c r="CWY479" i="135" s="1"/>
  <c r="CWR479" i="135"/>
  <c r="CWU479" i="135" s="1"/>
  <c r="CWN479" i="135"/>
  <c r="CWQ479" i="135" s="1"/>
  <c r="CWJ479" i="135"/>
  <c r="CWM479" i="135" s="1"/>
  <c r="CWF479" i="135"/>
  <c r="CWI479" i="135" s="1"/>
  <c r="CWB479" i="135"/>
  <c r="CWE479" i="135" s="1"/>
  <c r="CVX479" i="135"/>
  <c r="CWA479" i="135" s="1"/>
  <c r="CVT479" i="135"/>
  <c r="CVW479" i="135" s="1"/>
  <c r="CVP479" i="135"/>
  <c r="CVS479" i="135" s="1"/>
  <c r="CVL479" i="135"/>
  <c r="CVO479" i="135" s="1"/>
  <c r="CVH479" i="135"/>
  <c r="CVK479" i="135" s="1"/>
  <c r="CVD479" i="135"/>
  <c r="CVG479" i="135" s="1"/>
  <c r="CUZ479" i="135"/>
  <c r="CVC479" i="135" s="1"/>
  <c r="CUV479" i="135"/>
  <c r="CUY479" i="135" s="1"/>
  <c r="CUR479" i="135"/>
  <c r="CUU479" i="135" s="1"/>
  <c r="CUN479" i="135"/>
  <c r="CUQ479" i="135" s="1"/>
  <c r="CUJ479" i="135"/>
  <c r="CUM479" i="135" s="1"/>
  <c r="CUF479" i="135"/>
  <c r="CUI479" i="135" s="1"/>
  <c r="CUB479" i="135"/>
  <c r="CUE479" i="135" s="1"/>
  <c r="CTX479" i="135"/>
  <c r="CUA479" i="135" s="1"/>
  <c r="CTT479" i="135"/>
  <c r="CTW479" i="135" s="1"/>
  <c r="CTP479" i="135"/>
  <c r="CTS479" i="135" s="1"/>
  <c r="CTL479" i="135"/>
  <c r="CTO479" i="135" s="1"/>
  <c r="CTH479" i="135"/>
  <c r="CTK479" i="135" s="1"/>
  <c r="CTD479" i="135"/>
  <c r="CTG479" i="135" s="1"/>
  <c r="CSZ479" i="135"/>
  <c r="CTC479" i="135" s="1"/>
  <c r="CSV479" i="135"/>
  <c r="CSY479" i="135" s="1"/>
  <c r="CSR479" i="135"/>
  <c r="CSU479" i="135" s="1"/>
  <c r="CSN479" i="135"/>
  <c r="CSQ479" i="135" s="1"/>
  <c r="CSJ479" i="135"/>
  <c r="CSM479" i="135" s="1"/>
  <c r="CSF479" i="135"/>
  <c r="CSI479" i="135" s="1"/>
  <c r="CSB479" i="135"/>
  <c r="CSE479" i="135" s="1"/>
  <c r="CRX479" i="135"/>
  <c r="CSA479" i="135" s="1"/>
  <c r="CRT479" i="135"/>
  <c r="CRW479" i="135" s="1"/>
  <c r="CRP479" i="135"/>
  <c r="CRS479" i="135" s="1"/>
  <c r="CRL479" i="135"/>
  <c r="CRO479" i="135" s="1"/>
  <c r="CRH479" i="135"/>
  <c r="CRK479" i="135" s="1"/>
  <c r="CRD479" i="135"/>
  <c r="CRG479" i="135" s="1"/>
  <c r="CQZ479" i="135"/>
  <c r="CRC479" i="135" s="1"/>
  <c r="CQV479" i="135"/>
  <c r="CQY479" i="135" s="1"/>
  <c r="CQR479" i="135"/>
  <c r="CQU479" i="135" s="1"/>
  <c r="CQN479" i="135"/>
  <c r="CQQ479" i="135" s="1"/>
  <c r="CQJ479" i="135"/>
  <c r="CQM479" i="135" s="1"/>
  <c r="CQF479" i="135"/>
  <c r="CQI479" i="135" s="1"/>
  <c r="CQB479" i="135"/>
  <c r="CQE479" i="135" s="1"/>
  <c r="CPX479" i="135"/>
  <c r="CQA479" i="135" s="1"/>
  <c r="CPT479" i="135"/>
  <c r="CPW479" i="135" s="1"/>
  <c r="CPP479" i="135"/>
  <c r="CPS479" i="135" s="1"/>
  <c r="CPL479" i="135"/>
  <c r="CPO479" i="135" s="1"/>
  <c r="CPH479" i="135"/>
  <c r="CPK479" i="135" s="1"/>
  <c r="CPD479" i="135"/>
  <c r="CPG479" i="135" s="1"/>
  <c r="COZ479" i="135"/>
  <c r="CPC479" i="135" s="1"/>
  <c r="COV479" i="135"/>
  <c r="COY479" i="135" s="1"/>
  <c r="COR479" i="135"/>
  <c r="COU479" i="135" s="1"/>
  <c r="CON479" i="135"/>
  <c r="COQ479" i="135" s="1"/>
  <c r="COJ479" i="135"/>
  <c r="COM479" i="135" s="1"/>
  <c r="COF479" i="135"/>
  <c r="COI479" i="135" s="1"/>
  <c r="COB479" i="135"/>
  <c r="COE479" i="135" s="1"/>
  <c r="CNX479" i="135"/>
  <c r="COA479" i="135" s="1"/>
  <c r="CNT479" i="135"/>
  <c r="CNW479" i="135" s="1"/>
  <c r="CNP479" i="135"/>
  <c r="CNS479" i="135" s="1"/>
  <c r="CNL479" i="135"/>
  <c r="CNO479" i="135" s="1"/>
  <c r="CNH479" i="135"/>
  <c r="CNK479" i="135" s="1"/>
  <c r="CND479" i="135"/>
  <c r="CNG479" i="135" s="1"/>
  <c r="CMZ479" i="135"/>
  <c r="CNC479" i="135" s="1"/>
  <c r="CMV479" i="135"/>
  <c r="CMY479" i="135" s="1"/>
  <c r="CMR479" i="135"/>
  <c r="CMU479" i="135" s="1"/>
  <c r="CMN479" i="135"/>
  <c r="CMQ479" i="135" s="1"/>
  <c r="CMJ479" i="135"/>
  <c r="CMM479" i="135" s="1"/>
  <c r="CMF479" i="135"/>
  <c r="CMI479" i="135" s="1"/>
  <c r="CMB479" i="135"/>
  <c r="CME479" i="135" s="1"/>
  <c r="CLX479" i="135"/>
  <c r="CMA479" i="135" s="1"/>
  <c r="CLT479" i="135"/>
  <c r="CLW479" i="135" s="1"/>
  <c r="CLP479" i="135"/>
  <c r="CLS479" i="135" s="1"/>
  <c r="CLL479" i="135"/>
  <c r="CLO479" i="135" s="1"/>
  <c r="CLH479" i="135"/>
  <c r="CLK479" i="135" s="1"/>
  <c r="CLD479" i="135"/>
  <c r="CLG479" i="135" s="1"/>
  <c r="CKZ479" i="135"/>
  <c r="CLC479" i="135" s="1"/>
  <c r="CKV479" i="135"/>
  <c r="CKY479" i="135" s="1"/>
  <c r="CKR479" i="135"/>
  <c r="CKU479" i="135" s="1"/>
  <c r="CKN479" i="135"/>
  <c r="CKQ479" i="135" s="1"/>
  <c r="CKJ479" i="135"/>
  <c r="CKM479" i="135" s="1"/>
  <c r="CKF479" i="135"/>
  <c r="CKI479" i="135" s="1"/>
  <c r="CKB479" i="135"/>
  <c r="CKE479" i="135" s="1"/>
  <c r="CJX479" i="135"/>
  <c r="CKA479" i="135" s="1"/>
  <c r="CJT479" i="135"/>
  <c r="CJW479" i="135" s="1"/>
  <c r="CJP479" i="135"/>
  <c r="CJS479" i="135" s="1"/>
  <c r="CJL479" i="135"/>
  <c r="CJO479" i="135" s="1"/>
  <c r="CJH479" i="135"/>
  <c r="CJK479" i="135" s="1"/>
  <c r="CJD479" i="135"/>
  <c r="CJG479" i="135" s="1"/>
  <c r="CIZ479" i="135"/>
  <c r="CJC479" i="135" s="1"/>
  <c r="CIV479" i="135"/>
  <c r="CIY479" i="135" s="1"/>
  <c r="CIR479" i="135"/>
  <c r="CIU479" i="135" s="1"/>
  <c r="CIN479" i="135"/>
  <c r="CIQ479" i="135" s="1"/>
  <c r="CIJ479" i="135"/>
  <c r="CIM479" i="135" s="1"/>
  <c r="CIF479" i="135"/>
  <c r="CII479" i="135" s="1"/>
  <c r="CIB479" i="135"/>
  <c r="CIE479" i="135" s="1"/>
  <c r="CHX479" i="135"/>
  <c r="CIA479" i="135" s="1"/>
  <c r="CHT479" i="135"/>
  <c r="CHW479" i="135" s="1"/>
  <c r="CHP479" i="135"/>
  <c r="CHS479" i="135" s="1"/>
  <c r="CHL479" i="135"/>
  <c r="CHO479" i="135" s="1"/>
  <c r="CHH479" i="135"/>
  <c r="CHK479" i="135" s="1"/>
  <c r="CHD479" i="135"/>
  <c r="CHG479" i="135" s="1"/>
  <c r="CGZ479" i="135"/>
  <c r="CHC479" i="135" s="1"/>
  <c r="CGV479" i="135"/>
  <c r="CGY479" i="135" s="1"/>
  <c r="CGR479" i="135"/>
  <c r="CGU479" i="135" s="1"/>
  <c r="CGN479" i="135"/>
  <c r="CGQ479" i="135" s="1"/>
  <c r="CGJ479" i="135"/>
  <c r="CGM479" i="135" s="1"/>
  <c r="CGF479" i="135"/>
  <c r="CGI479" i="135" s="1"/>
  <c r="CGB479" i="135"/>
  <c r="CGE479" i="135" s="1"/>
  <c r="CFX479" i="135"/>
  <c r="CGA479" i="135" s="1"/>
  <c r="CFT479" i="135"/>
  <c r="CFW479" i="135" s="1"/>
  <c r="CFP479" i="135"/>
  <c r="CFS479" i="135" s="1"/>
  <c r="CFL479" i="135"/>
  <c r="CFO479" i="135" s="1"/>
  <c r="CFH479" i="135"/>
  <c r="CFK479" i="135" s="1"/>
  <c r="CFD479" i="135"/>
  <c r="CFG479" i="135" s="1"/>
  <c r="CEZ479" i="135"/>
  <c r="CFC479" i="135" s="1"/>
  <c r="CEV479" i="135"/>
  <c r="CEY479" i="135" s="1"/>
  <c r="CER479" i="135"/>
  <c r="CEU479" i="135" s="1"/>
  <c r="CEN479" i="135"/>
  <c r="CEQ479" i="135" s="1"/>
  <c r="CEJ479" i="135"/>
  <c r="CEM479" i="135" s="1"/>
  <c r="CEF479" i="135"/>
  <c r="CEI479" i="135" s="1"/>
  <c r="CEB479" i="135"/>
  <c r="CEE479" i="135" s="1"/>
  <c r="CDX479" i="135"/>
  <c r="CEA479" i="135" s="1"/>
  <c r="CDT479" i="135"/>
  <c r="CDW479" i="135" s="1"/>
  <c r="CDP479" i="135"/>
  <c r="CDS479" i="135" s="1"/>
  <c r="CDL479" i="135"/>
  <c r="CDO479" i="135" s="1"/>
  <c r="CDH479" i="135"/>
  <c r="CDK479" i="135" s="1"/>
  <c r="CDD479" i="135"/>
  <c r="CDG479" i="135" s="1"/>
  <c r="CCZ479" i="135"/>
  <c r="CDC479" i="135" s="1"/>
  <c r="CCV479" i="135"/>
  <c r="CCY479" i="135" s="1"/>
  <c r="CCR479" i="135"/>
  <c r="CCU479" i="135" s="1"/>
  <c r="CCN479" i="135"/>
  <c r="CCQ479" i="135" s="1"/>
  <c r="CCJ479" i="135"/>
  <c r="CCM479" i="135" s="1"/>
  <c r="CCF479" i="135"/>
  <c r="CCI479" i="135" s="1"/>
  <c r="CCB479" i="135"/>
  <c r="CCE479" i="135" s="1"/>
  <c r="CBX479" i="135"/>
  <c r="CCA479" i="135" s="1"/>
  <c r="CBT479" i="135"/>
  <c r="CBW479" i="135" s="1"/>
  <c r="CBP479" i="135"/>
  <c r="CBS479" i="135" s="1"/>
  <c r="CBL479" i="135"/>
  <c r="CBO479" i="135" s="1"/>
  <c r="CBH479" i="135"/>
  <c r="CBK479" i="135" s="1"/>
  <c r="CBD479" i="135"/>
  <c r="CBG479" i="135" s="1"/>
  <c r="CAZ479" i="135"/>
  <c r="CBC479" i="135" s="1"/>
  <c r="CAV479" i="135"/>
  <c r="CAY479" i="135" s="1"/>
  <c r="CAR479" i="135"/>
  <c r="CAU479" i="135" s="1"/>
  <c r="CAN479" i="135"/>
  <c r="CAQ479" i="135" s="1"/>
  <c r="CAJ479" i="135"/>
  <c r="CAM479" i="135" s="1"/>
  <c r="CAF479" i="135"/>
  <c r="CAI479" i="135" s="1"/>
  <c r="CAB479" i="135"/>
  <c r="CAE479" i="135" s="1"/>
  <c r="BZX479" i="135"/>
  <c r="CAA479" i="135" s="1"/>
  <c r="BZT479" i="135"/>
  <c r="BZW479" i="135" s="1"/>
  <c r="BZP479" i="135"/>
  <c r="BZS479" i="135" s="1"/>
  <c r="BZL479" i="135"/>
  <c r="BZO479" i="135" s="1"/>
  <c r="BZH479" i="135"/>
  <c r="BZK479" i="135" s="1"/>
  <c r="BZD479" i="135"/>
  <c r="BZG479" i="135" s="1"/>
  <c r="BYZ479" i="135"/>
  <c r="BZC479" i="135" s="1"/>
  <c r="BYV479" i="135"/>
  <c r="BYY479" i="135" s="1"/>
  <c r="BYR479" i="135"/>
  <c r="BYU479" i="135" s="1"/>
  <c r="BYN479" i="135"/>
  <c r="BYQ479" i="135" s="1"/>
  <c r="BYJ479" i="135"/>
  <c r="BYM479" i="135" s="1"/>
  <c r="BYF479" i="135"/>
  <c r="BYI479" i="135" s="1"/>
  <c r="BYB479" i="135"/>
  <c r="BYE479" i="135" s="1"/>
  <c r="BXX479" i="135"/>
  <c r="BYA479" i="135" s="1"/>
  <c r="BXT479" i="135"/>
  <c r="BXW479" i="135" s="1"/>
  <c r="BXP479" i="135"/>
  <c r="BXS479" i="135" s="1"/>
  <c r="BXL479" i="135"/>
  <c r="BXO479" i="135" s="1"/>
  <c r="BXH479" i="135"/>
  <c r="BXK479" i="135" s="1"/>
  <c r="BXD479" i="135"/>
  <c r="BXG479" i="135" s="1"/>
  <c r="BWZ479" i="135"/>
  <c r="BXC479" i="135" s="1"/>
  <c r="BWV479" i="135"/>
  <c r="BWY479" i="135" s="1"/>
  <c r="BWR479" i="135"/>
  <c r="BWU479" i="135" s="1"/>
  <c r="BWN479" i="135"/>
  <c r="BWQ479" i="135" s="1"/>
  <c r="BWJ479" i="135"/>
  <c r="BWM479" i="135" s="1"/>
  <c r="BWF479" i="135"/>
  <c r="BWI479" i="135" s="1"/>
  <c r="BWB479" i="135"/>
  <c r="BWE479" i="135" s="1"/>
  <c r="BVX479" i="135"/>
  <c r="BWA479" i="135" s="1"/>
  <c r="BVT479" i="135"/>
  <c r="BVW479" i="135" s="1"/>
  <c r="BVP479" i="135"/>
  <c r="BVS479" i="135" s="1"/>
  <c r="BVL479" i="135"/>
  <c r="BVO479" i="135" s="1"/>
  <c r="BVH479" i="135"/>
  <c r="BVK479" i="135" s="1"/>
  <c r="BVD479" i="135"/>
  <c r="BVG479" i="135" s="1"/>
  <c r="BUZ479" i="135"/>
  <c r="BVC479" i="135" s="1"/>
  <c r="BUV479" i="135"/>
  <c r="BUY479" i="135" s="1"/>
  <c r="BUR479" i="135"/>
  <c r="BUU479" i="135" s="1"/>
  <c r="BUN479" i="135"/>
  <c r="BUQ479" i="135" s="1"/>
  <c r="BUJ479" i="135"/>
  <c r="BUM479" i="135" s="1"/>
  <c r="BUF479" i="135"/>
  <c r="BUI479" i="135" s="1"/>
  <c r="BUB479" i="135"/>
  <c r="BUE479" i="135" s="1"/>
  <c r="BTX479" i="135"/>
  <c r="BUA479" i="135" s="1"/>
  <c r="BTT479" i="135"/>
  <c r="BTW479" i="135" s="1"/>
  <c r="BTP479" i="135"/>
  <c r="BTS479" i="135" s="1"/>
  <c r="BTL479" i="135"/>
  <c r="BTO479" i="135" s="1"/>
  <c r="BTH479" i="135"/>
  <c r="BTK479" i="135" s="1"/>
  <c r="BTD479" i="135"/>
  <c r="BTG479" i="135" s="1"/>
  <c r="BSZ479" i="135"/>
  <c r="BTC479" i="135" s="1"/>
  <c r="BSV479" i="135"/>
  <c r="BSY479" i="135" s="1"/>
  <c r="BSR479" i="135"/>
  <c r="BSU479" i="135" s="1"/>
  <c r="BSN479" i="135"/>
  <c r="BSQ479" i="135" s="1"/>
  <c r="BSJ479" i="135"/>
  <c r="BSM479" i="135" s="1"/>
  <c r="BSF479" i="135"/>
  <c r="BSI479" i="135" s="1"/>
  <c r="BSB479" i="135"/>
  <c r="BSE479" i="135" s="1"/>
  <c r="BRX479" i="135"/>
  <c r="BSA479" i="135" s="1"/>
  <c r="BRT479" i="135"/>
  <c r="BRW479" i="135" s="1"/>
  <c r="BRP479" i="135"/>
  <c r="BRS479" i="135" s="1"/>
  <c r="BRL479" i="135"/>
  <c r="BRO479" i="135" s="1"/>
  <c r="BRH479" i="135"/>
  <c r="BRK479" i="135" s="1"/>
  <c r="BRD479" i="135"/>
  <c r="BRG479" i="135" s="1"/>
  <c r="BQZ479" i="135"/>
  <c r="BRC479" i="135" s="1"/>
  <c r="BQV479" i="135"/>
  <c r="BQY479" i="135" s="1"/>
  <c r="BQR479" i="135"/>
  <c r="BQU479" i="135" s="1"/>
  <c r="BQN479" i="135"/>
  <c r="BQQ479" i="135" s="1"/>
  <c r="BQJ479" i="135"/>
  <c r="BQM479" i="135" s="1"/>
  <c r="BQF479" i="135"/>
  <c r="BQI479" i="135" s="1"/>
  <c r="BQB479" i="135"/>
  <c r="BQE479" i="135" s="1"/>
  <c r="BPX479" i="135"/>
  <c r="BQA479" i="135" s="1"/>
  <c r="BPT479" i="135"/>
  <c r="BPW479" i="135" s="1"/>
  <c r="BPP479" i="135"/>
  <c r="BPS479" i="135" s="1"/>
  <c r="BPL479" i="135"/>
  <c r="BPO479" i="135" s="1"/>
  <c r="BPH479" i="135"/>
  <c r="BPK479" i="135" s="1"/>
  <c r="BPD479" i="135"/>
  <c r="BPG479" i="135" s="1"/>
  <c r="BOZ479" i="135"/>
  <c r="BPC479" i="135" s="1"/>
  <c r="BOV479" i="135"/>
  <c r="BOY479" i="135" s="1"/>
  <c r="BOR479" i="135"/>
  <c r="BOU479" i="135" s="1"/>
  <c r="BON479" i="135"/>
  <c r="BOQ479" i="135" s="1"/>
  <c r="BOJ479" i="135"/>
  <c r="BOM479" i="135" s="1"/>
  <c r="BOF479" i="135"/>
  <c r="BOI479" i="135" s="1"/>
  <c r="BOB479" i="135"/>
  <c r="BOE479" i="135" s="1"/>
  <c r="BNX479" i="135"/>
  <c r="BOA479" i="135" s="1"/>
  <c r="BNT479" i="135"/>
  <c r="BNW479" i="135" s="1"/>
  <c r="BNP479" i="135"/>
  <c r="BNS479" i="135" s="1"/>
  <c r="BNL479" i="135"/>
  <c r="BNO479" i="135" s="1"/>
  <c r="BNH479" i="135"/>
  <c r="BNK479" i="135" s="1"/>
  <c r="BND479" i="135"/>
  <c r="BNG479" i="135" s="1"/>
  <c r="BMZ479" i="135"/>
  <c r="BNC479" i="135" s="1"/>
  <c r="BMV479" i="135"/>
  <c r="BMY479" i="135" s="1"/>
  <c r="BMR479" i="135"/>
  <c r="BMU479" i="135" s="1"/>
  <c r="BMN479" i="135"/>
  <c r="BMQ479" i="135" s="1"/>
  <c r="BMJ479" i="135"/>
  <c r="BMM479" i="135" s="1"/>
  <c r="BMF479" i="135"/>
  <c r="BMI479" i="135" s="1"/>
  <c r="BMB479" i="135"/>
  <c r="BME479" i="135" s="1"/>
  <c r="BLX479" i="135"/>
  <c r="BMA479" i="135" s="1"/>
  <c r="BLT479" i="135"/>
  <c r="BLW479" i="135" s="1"/>
  <c r="BLP479" i="135"/>
  <c r="BLS479" i="135" s="1"/>
  <c r="BLL479" i="135"/>
  <c r="BLO479" i="135" s="1"/>
  <c r="BLH479" i="135"/>
  <c r="BLK479" i="135" s="1"/>
  <c r="BLD479" i="135"/>
  <c r="BLG479" i="135" s="1"/>
  <c r="BKZ479" i="135"/>
  <c r="BLC479" i="135" s="1"/>
  <c r="BKV479" i="135"/>
  <c r="BKY479" i="135" s="1"/>
  <c r="BKR479" i="135"/>
  <c r="BKU479" i="135" s="1"/>
  <c r="BKN479" i="135"/>
  <c r="BKQ479" i="135" s="1"/>
  <c r="BKJ479" i="135"/>
  <c r="BKM479" i="135" s="1"/>
  <c r="BKF479" i="135"/>
  <c r="BKI479" i="135" s="1"/>
  <c r="BKB479" i="135"/>
  <c r="BKE479" i="135" s="1"/>
  <c r="BJX479" i="135"/>
  <c r="BKA479" i="135" s="1"/>
  <c r="BJT479" i="135"/>
  <c r="BJW479" i="135" s="1"/>
  <c r="BJP479" i="135"/>
  <c r="BJS479" i="135" s="1"/>
  <c r="BJL479" i="135"/>
  <c r="BJO479" i="135" s="1"/>
  <c r="BJH479" i="135"/>
  <c r="BJK479" i="135" s="1"/>
  <c r="BJD479" i="135"/>
  <c r="BJG479" i="135" s="1"/>
  <c r="BIZ479" i="135"/>
  <c r="BJC479" i="135" s="1"/>
  <c r="BIV479" i="135"/>
  <c r="BIY479" i="135" s="1"/>
  <c r="BIR479" i="135"/>
  <c r="BIU479" i="135" s="1"/>
  <c r="BIN479" i="135"/>
  <c r="BIQ479" i="135" s="1"/>
  <c r="BIJ479" i="135"/>
  <c r="BIM479" i="135" s="1"/>
  <c r="BIF479" i="135"/>
  <c r="BII479" i="135" s="1"/>
  <c r="BIB479" i="135"/>
  <c r="BIE479" i="135" s="1"/>
  <c r="BHX479" i="135"/>
  <c r="BIA479" i="135" s="1"/>
  <c r="BHT479" i="135"/>
  <c r="BHW479" i="135" s="1"/>
  <c r="BHP479" i="135"/>
  <c r="BHS479" i="135" s="1"/>
  <c r="BHL479" i="135"/>
  <c r="BHO479" i="135" s="1"/>
  <c r="BHH479" i="135"/>
  <c r="BHK479" i="135" s="1"/>
  <c r="BHD479" i="135"/>
  <c r="BHG479" i="135" s="1"/>
  <c r="BGZ479" i="135"/>
  <c r="BHC479" i="135" s="1"/>
  <c r="BGV479" i="135"/>
  <c r="BGY479" i="135" s="1"/>
  <c r="BGR479" i="135"/>
  <c r="BGU479" i="135" s="1"/>
  <c r="BGN479" i="135"/>
  <c r="BGQ479" i="135" s="1"/>
  <c r="BGJ479" i="135"/>
  <c r="BGM479" i="135" s="1"/>
  <c r="BGF479" i="135"/>
  <c r="BGI479" i="135" s="1"/>
  <c r="BGB479" i="135"/>
  <c r="BGE479" i="135" s="1"/>
  <c r="BFX479" i="135"/>
  <c r="BGA479" i="135" s="1"/>
  <c r="BFT479" i="135"/>
  <c r="BFW479" i="135" s="1"/>
  <c r="BFP479" i="135"/>
  <c r="BFS479" i="135" s="1"/>
  <c r="BFL479" i="135"/>
  <c r="BFO479" i="135" s="1"/>
  <c r="BFH479" i="135"/>
  <c r="BFK479" i="135" s="1"/>
  <c r="BFD479" i="135"/>
  <c r="BFG479" i="135" s="1"/>
  <c r="BEZ479" i="135"/>
  <c r="BFC479" i="135" s="1"/>
  <c r="BEV479" i="135"/>
  <c r="BEY479" i="135" s="1"/>
  <c r="BER479" i="135"/>
  <c r="BEU479" i="135" s="1"/>
  <c r="BEN479" i="135"/>
  <c r="BEQ479" i="135" s="1"/>
  <c r="BEJ479" i="135"/>
  <c r="BEM479" i="135" s="1"/>
  <c r="BEF479" i="135"/>
  <c r="BEI479" i="135" s="1"/>
  <c r="BEB479" i="135"/>
  <c r="BEE479" i="135" s="1"/>
  <c r="BDX479" i="135"/>
  <c r="BEA479" i="135" s="1"/>
  <c r="BDT479" i="135"/>
  <c r="BDW479" i="135" s="1"/>
  <c r="BDP479" i="135"/>
  <c r="BDS479" i="135" s="1"/>
  <c r="BDL479" i="135"/>
  <c r="BDO479" i="135" s="1"/>
  <c r="BDH479" i="135"/>
  <c r="BDK479" i="135" s="1"/>
  <c r="BDD479" i="135"/>
  <c r="BDG479" i="135" s="1"/>
  <c r="BCZ479" i="135"/>
  <c r="BDC479" i="135" s="1"/>
  <c r="BCV479" i="135"/>
  <c r="BCY479" i="135" s="1"/>
  <c r="BCR479" i="135"/>
  <c r="BCU479" i="135" s="1"/>
  <c r="BCN479" i="135"/>
  <c r="BCQ479" i="135" s="1"/>
  <c r="BCJ479" i="135"/>
  <c r="BCM479" i="135" s="1"/>
  <c r="BCF479" i="135"/>
  <c r="BCI479" i="135" s="1"/>
  <c r="BCB479" i="135"/>
  <c r="BCE479" i="135" s="1"/>
  <c r="BBX479" i="135"/>
  <c r="BCA479" i="135" s="1"/>
  <c r="BBT479" i="135"/>
  <c r="BBW479" i="135" s="1"/>
  <c r="BBP479" i="135"/>
  <c r="BBS479" i="135" s="1"/>
  <c r="BBL479" i="135"/>
  <c r="BBO479" i="135" s="1"/>
  <c r="BBH479" i="135"/>
  <c r="BBK479" i="135" s="1"/>
  <c r="BBD479" i="135"/>
  <c r="BBG479" i="135" s="1"/>
  <c r="BAZ479" i="135"/>
  <c r="BBC479" i="135" s="1"/>
  <c r="BAV479" i="135"/>
  <c r="BAY479" i="135" s="1"/>
  <c r="BAR479" i="135"/>
  <c r="BAU479" i="135" s="1"/>
  <c r="BAN479" i="135"/>
  <c r="BAQ479" i="135" s="1"/>
  <c r="BAJ479" i="135"/>
  <c r="BAM479" i="135" s="1"/>
  <c r="BAF479" i="135"/>
  <c r="BAI479" i="135" s="1"/>
  <c r="BAB479" i="135"/>
  <c r="BAE479" i="135" s="1"/>
  <c r="AZX479" i="135"/>
  <c r="BAA479" i="135" s="1"/>
  <c r="AZT479" i="135"/>
  <c r="AZW479" i="135" s="1"/>
  <c r="AZP479" i="135"/>
  <c r="AZS479" i="135" s="1"/>
  <c r="AZL479" i="135"/>
  <c r="AZO479" i="135" s="1"/>
  <c r="AZH479" i="135"/>
  <c r="AZK479" i="135" s="1"/>
  <c r="AZD479" i="135"/>
  <c r="AZG479" i="135" s="1"/>
  <c r="AYZ479" i="135"/>
  <c r="AZC479" i="135" s="1"/>
  <c r="AYV479" i="135"/>
  <c r="AYY479" i="135" s="1"/>
  <c r="AYR479" i="135"/>
  <c r="AYU479" i="135" s="1"/>
  <c r="AYN479" i="135"/>
  <c r="AYQ479" i="135" s="1"/>
  <c r="AYJ479" i="135"/>
  <c r="AYM479" i="135" s="1"/>
  <c r="AYF479" i="135"/>
  <c r="AYI479" i="135" s="1"/>
  <c r="AYB479" i="135"/>
  <c r="AYE479" i="135" s="1"/>
  <c r="AXX479" i="135"/>
  <c r="AYA479" i="135" s="1"/>
  <c r="AXT479" i="135"/>
  <c r="AXW479" i="135" s="1"/>
  <c r="AXP479" i="135"/>
  <c r="AXS479" i="135" s="1"/>
  <c r="AXL479" i="135"/>
  <c r="AXO479" i="135" s="1"/>
  <c r="AXH479" i="135"/>
  <c r="AXK479" i="135" s="1"/>
  <c r="AXD479" i="135"/>
  <c r="AXG479" i="135" s="1"/>
  <c r="AWZ479" i="135"/>
  <c r="AXC479" i="135" s="1"/>
  <c r="AWV479" i="135"/>
  <c r="AWY479" i="135" s="1"/>
  <c r="AWR479" i="135"/>
  <c r="AWU479" i="135" s="1"/>
  <c r="AWN479" i="135"/>
  <c r="AWQ479" i="135" s="1"/>
  <c r="AWJ479" i="135"/>
  <c r="AWM479" i="135" s="1"/>
  <c r="AWF479" i="135"/>
  <c r="AWI479" i="135" s="1"/>
  <c r="AWB479" i="135"/>
  <c r="AWE479" i="135" s="1"/>
  <c r="AVX479" i="135"/>
  <c r="AWA479" i="135" s="1"/>
  <c r="AVT479" i="135"/>
  <c r="AVW479" i="135" s="1"/>
  <c r="AVP479" i="135"/>
  <c r="AVS479" i="135" s="1"/>
  <c r="AVL479" i="135"/>
  <c r="AVO479" i="135" s="1"/>
  <c r="AVH479" i="135"/>
  <c r="AVK479" i="135" s="1"/>
  <c r="AVD479" i="135"/>
  <c r="AVG479" i="135" s="1"/>
  <c r="AUZ479" i="135"/>
  <c r="AVC479" i="135" s="1"/>
  <c r="AUV479" i="135"/>
  <c r="AUY479" i="135" s="1"/>
  <c r="AUR479" i="135"/>
  <c r="AUU479" i="135" s="1"/>
  <c r="AUN479" i="135"/>
  <c r="AUQ479" i="135" s="1"/>
  <c r="AUJ479" i="135"/>
  <c r="AUM479" i="135" s="1"/>
  <c r="AUF479" i="135"/>
  <c r="AUI479" i="135" s="1"/>
  <c r="AUB479" i="135"/>
  <c r="AUE479" i="135" s="1"/>
  <c r="ATX479" i="135"/>
  <c r="AUA479" i="135" s="1"/>
  <c r="ATT479" i="135"/>
  <c r="ATW479" i="135" s="1"/>
  <c r="ATP479" i="135"/>
  <c r="ATS479" i="135" s="1"/>
  <c r="ATL479" i="135"/>
  <c r="ATO479" i="135" s="1"/>
  <c r="ATH479" i="135"/>
  <c r="ATK479" i="135" s="1"/>
  <c r="ATD479" i="135"/>
  <c r="ATG479" i="135" s="1"/>
  <c r="ASZ479" i="135"/>
  <c r="ATC479" i="135" s="1"/>
  <c r="ASV479" i="135"/>
  <c r="ASY479" i="135" s="1"/>
  <c r="ASR479" i="135"/>
  <c r="ASU479" i="135" s="1"/>
  <c r="ASN479" i="135"/>
  <c r="ASQ479" i="135" s="1"/>
  <c r="ASJ479" i="135"/>
  <c r="ASM479" i="135" s="1"/>
  <c r="ASF479" i="135"/>
  <c r="ASI479" i="135" s="1"/>
  <c r="ASB479" i="135"/>
  <c r="ASE479" i="135" s="1"/>
  <c r="ARX479" i="135"/>
  <c r="ASA479" i="135" s="1"/>
  <c r="ART479" i="135"/>
  <c r="ARW479" i="135" s="1"/>
  <c r="ARP479" i="135"/>
  <c r="ARS479" i="135" s="1"/>
  <c r="ARL479" i="135"/>
  <c r="ARO479" i="135" s="1"/>
  <c r="ARH479" i="135"/>
  <c r="ARK479" i="135" s="1"/>
  <c r="ARD479" i="135"/>
  <c r="ARG479" i="135" s="1"/>
  <c r="AQZ479" i="135"/>
  <c r="ARC479" i="135" s="1"/>
  <c r="AQV479" i="135"/>
  <c r="AQY479" i="135" s="1"/>
  <c r="AQR479" i="135"/>
  <c r="AQU479" i="135" s="1"/>
  <c r="AQN479" i="135"/>
  <c r="AQQ479" i="135" s="1"/>
  <c r="AQJ479" i="135"/>
  <c r="AQM479" i="135" s="1"/>
  <c r="AQF479" i="135"/>
  <c r="AQI479" i="135" s="1"/>
  <c r="AQB479" i="135"/>
  <c r="AQE479" i="135" s="1"/>
  <c r="APX479" i="135"/>
  <c r="AQA479" i="135" s="1"/>
  <c r="APT479" i="135"/>
  <c r="APW479" i="135" s="1"/>
  <c r="APP479" i="135"/>
  <c r="APS479" i="135" s="1"/>
  <c r="APL479" i="135"/>
  <c r="APO479" i="135" s="1"/>
  <c r="APH479" i="135"/>
  <c r="APK479" i="135" s="1"/>
  <c r="APD479" i="135"/>
  <c r="APG479" i="135" s="1"/>
  <c r="AOZ479" i="135"/>
  <c r="APC479" i="135" s="1"/>
  <c r="AOV479" i="135"/>
  <c r="AOY479" i="135" s="1"/>
  <c r="AOR479" i="135"/>
  <c r="AOU479" i="135" s="1"/>
  <c r="AON479" i="135"/>
  <c r="AOQ479" i="135" s="1"/>
  <c r="AOJ479" i="135"/>
  <c r="AOM479" i="135" s="1"/>
  <c r="AOF479" i="135"/>
  <c r="AOI479" i="135" s="1"/>
  <c r="AOB479" i="135"/>
  <c r="AOE479" i="135" s="1"/>
  <c r="ANX479" i="135"/>
  <c r="AOA479" i="135" s="1"/>
  <c r="ANT479" i="135"/>
  <c r="ANW479" i="135" s="1"/>
  <c r="ANP479" i="135"/>
  <c r="ANS479" i="135" s="1"/>
  <c r="ANL479" i="135"/>
  <c r="ANO479" i="135" s="1"/>
  <c r="ANH479" i="135"/>
  <c r="ANK479" i="135" s="1"/>
  <c r="AND479" i="135"/>
  <c r="ANG479" i="135" s="1"/>
  <c r="AMZ479" i="135"/>
  <c r="ANC479" i="135" s="1"/>
  <c r="AMV479" i="135"/>
  <c r="AMY479" i="135" s="1"/>
  <c r="AMR479" i="135"/>
  <c r="AMU479" i="135" s="1"/>
  <c r="AMN479" i="135"/>
  <c r="AMQ479" i="135" s="1"/>
  <c r="AMJ479" i="135"/>
  <c r="AMM479" i="135" s="1"/>
  <c r="AMF479" i="135"/>
  <c r="AMI479" i="135" s="1"/>
  <c r="AMB479" i="135"/>
  <c r="AME479" i="135" s="1"/>
  <c r="ALX479" i="135"/>
  <c r="AMA479" i="135" s="1"/>
  <c r="ALT479" i="135"/>
  <c r="ALW479" i="135" s="1"/>
  <c r="ALP479" i="135"/>
  <c r="ALS479" i="135" s="1"/>
  <c r="ALL479" i="135"/>
  <c r="ALO479" i="135" s="1"/>
  <c r="ALH479" i="135"/>
  <c r="ALK479" i="135" s="1"/>
  <c r="ALD479" i="135"/>
  <c r="ALG479" i="135" s="1"/>
  <c r="AKZ479" i="135"/>
  <c r="ALC479" i="135" s="1"/>
  <c r="AKV479" i="135"/>
  <c r="AKY479" i="135" s="1"/>
  <c r="AKR479" i="135"/>
  <c r="AKU479" i="135" s="1"/>
  <c r="AKN479" i="135"/>
  <c r="AKQ479" i="135" s="1"/>
  <c r="AKJ479" i="135"/>
  <c r="AKM479" i="135" s="1"/>
  <c r="AKF479" i="135"/>
  <c r="AKI479" i="135" s="1"/>
  <c r="AKB479" i="135"/>
  <c r="AKE479" i="135" s="1"/>
  <c r="AJX479" i="135"/>
  <c r="AKA479" i="135" s="1"/>
  <c r="AJT479" i="135"/>
  <c r="AJW479" i="135" s="1"/>
  <c r="AJP479" i="135"/>
  <c r="AJS479" i="135" s="1"/>
  <c r="AJL479" i="135"/>
  <c r="AJO479" i="135" s="1"/>
  <c r="AJH479" i="135"/>
  <c r="AJK479" i="135" s="1"/>
  <c r="AJD479" i="135"/>
  <c r="AJG479" i="135" s="1"/>
  <c r="AIZ479" i="135"/>
  <c r="AJC479" i="135" s="1"/>
  <c r="AIV479" i="135"/>
  <c r="AIY479" i="135" s="1"/>
  <c r="AIR479" i="135"/>
  <c r="AIU479" i="135" s="1"/>
  <c r="AIN479" i="135"/>
  <c r="AIQ479" i="135" s="1"/>
  <c r="AIJ479" i="135"/>
  <c r="AIM479" i="135" s="1"/>
  <c r="AIF479" i="135"/>
  <c r="AII479" i="135" s="1"/>
  <c r="AIB479" i="135"/>
  <c r="AIE479" i="135" s="1"/>
  <c r="AHX479" i="135"/>
  <c r="AIA479" i="135" s="1"/>
  <c r="AHT479" i="135"/>
  <c r="AHW479" i="135" s="1"/>
  <c r="AHP479" i="135"/>
  <c r="AHS479" i="135" s="1"/>
  <c r="AHL479" i="135"/>
  <c r="AHO479" i="135" s="1"/>
  <c r="AHH479" i="135"/>
  <c r="AHK479" i="135" s="1"/>
  <c r="AHD479" i="135"/>
  <c r="AHG479" i="135" s="1"/>
  <c r="AGZ479" i="135"/>
  <c r="AHC479" i="135" s="1"/>
  <c r="AGV479" i="135"/>
  <c r="AGY479" i="135" s="1"/>
  <c r="AGR479" i="135"/>
  <c r="AGU479" i="135" s="1"/>
  <c r="AGN479" i="135"/>
  <c r="AGQ479" i="135" s="1"/>
  <c r="AGJ479" i="135"/>
  <c r="AGM479" i="135" s="1"/>
  <c r="AGF479" i="135"/>
  <c r="AGI479" i="135" s="1"/>
  <c r="AGB479" i="135"/>
  <c r="AGE479" i="135" s="1"/>
  <c r="AFX479" i="135"/>
  <c r="AGA479" i="135" s="1"/>
  <c r="AFT479" i="135"/>
  <c r="AFW479" i="135" s="1"/>
  <c r="AFP479" i="135"/>
  <c r="AFS479" i="135" s="1"/>
  <c r="AFL479" i="135"/>
  <c r="AFO479" i="135" s="1"/>
  <c r="AFH479" i="135"/>
  <c r="AFK479" i="135" s="1"/>
  <c r="AFD479" i="135"/>
  <c r="AFG479" i="135" s="1"/>
  <c r="AEZ479" i="135"/>
  <c r="AFC479" i="135" s="1"/>
  <c r="AEV479" i="135"/>
  <c r="AEY479" i="135" s="1"/>
  <c r="AER479" i="135"/>
  <c r="AEU479" i="135" s="1"/>
  <c r="AEN479" i="135"/>
  <c r="AEQ479" i="135" s="1"/>
  <c r="AEJ479" i="135"/>
  <c r="AEM479" i="135" s="1"/>
  <c r="AEF479" i="135"/>
  <c r="AEI479" i="135" s="1"/>
  <c r="AEB479" i="135"/>
  <c r="AEE479" i="135" s="1"/>
  <c r="ADX479" i="135"/>
  <c r="AEA479" i="135" s="1"/>
  <c r="ADT479" i="135"/>
  <c r="ADW479" i="135" s="1"/>
  <c r="ADP479" i="135"/>
  <c r="ADS479" i="135" s="1"/>
  <c r="ADL479" i="135"/>
  <c r="ADO479" i="135" s="1"/>
  <c r="ADH479" i="135"/>
  <c r="ADK479" i="135" s="1"/>
  <c r="ADD479" i="135"/>
  <c r="ADG479" i="135" s="1"/>
  <c r="ACZ479" i="135"/>
  <c r="ADC479" i="135" s="1"/>
  <c r="ACV479" i="135"/>
  <c r="ACY479" i="135" s="1"/>
  <c r="ACR479" i="135"/>
  <c r="ACU479" i="135" s="1"/>
  <c r="ACN479" i="135"/>
  <c r="ACQ479" i="135" s="1"/>
  <c r="ACJ479" i="135"/>
  <c r="ACM479" i="135" s="1"/>
  <c r="ACF479" i="135"/>
  <c r="ACI479" i="135" s="1"/>
  <c r="ACB479" i="135"/>
  <c r="ACE479" i="135" s="1"/>
  <c r="ABX479" i="135"/>
  <c r="ACA479" i="135" s="1"/>
  <c r="ABT479" i="135"/>
  <c r="ABW479" i="135" s="1"/>
  <c r="ABP479" i="135"/>
  <c r="ABS479" i="135" s="1"/>
  <c r="ABL479" i="135"/>
  <c r="ABO479" i="135" s="1"/>
  <c r="ABH479" i="135"/>
  <c r="ABK479" i="135" s="1"/>
  <c r="ABD479" i="135"/>
  <c r="ABG479" i="135" s="1"/>
  <c r="AAZ479" i="135"/>
  <c r="ABC479" i="135" s="1"/>
  <c r="AAV479" i="135"/>
  <c r="AAY479" i="135" s="1"/>
  <c r="AAR479" i="135"/>
  <c r="AAU479" i="135" s="1"/>
  <c r="AAN479" i="135"/>
  <c r="AAQ479" i="135" s="1"/>
  <c r="AAJ479" i="135"/>
  <c r="AAM479" i="135" s="1"/>
  <c r="AAF479" i="135"/>
  <c r="AAI479" i="135" s="1"/>
  <c r="AAB479" i="135"/>
  <c r="AAE479" i="135" s="1"/>
  <c r="ZX479" i="135"/>
  <c r="AAA479" i="135" s="1"/>
  <c r="ZT479" i="135"/>
  <c r="ZW479" i="135" s="1"/>
  <c r="ZP479" i="135"/>
  <c r="ZS479" i="135" s="1"/>
  <c r="ZL479" i="135"/>
  <c r="ZO479" i="135" s="1"/>
  <c r="ZH479" i="135"/>
  <c r="ZK479" i="135" s="1"/>
  <c r="ZD479" i="135"/>
  <c r="ZG479" i="135" s="1"/>
  <c r="YZ479" i="135"/>
  <c r="ZC479" i="135" s="1"/>
  <c r="YV479" i="135"/>
  <c r="YY479" i="135" s="1"/>
  <c r="YR479" i="135"/>
  <c r="YU479" i="135" s="1"/>
  <c r="YN479" i="135"/>
  <c r="YQ479" i="135" s="1"/>
  <c r="YJ479" i="135"/>
  <c r="YM479" i="135" s="1"/>
  <c r="YF479" i="135"/>
  <c r="YI479" i="135" s="1"/>
  <c r="YB479" i="135"/>
  <c r="YE479" i="135" s="1"/>
  <c r="XX479" i="135"/>
  <c r="YA479" i="135" s="1"/>
  <c r="XT479" i="135"/>
  <c r="XW479" i="135" s="1"/>
  <c r="XP479" i="135"/>
  <c r="XS479" i="135" s="1"/>
  <c r="XL479" i="135"/>
  <c r="XO479" i="135" s="1"/>
  <c r="XH479" i="135"/>
  <c r="XK479" i="135" s="1"/>
  <c r="XD479" i="135"/>
  <c r="XG479" i="135" s="1"/>
  <c r="WZ479" i="135"/>
  <c r="XC479" i="135" s="1"/>
  <c r="WV479" i="135"/>
  <c r="WY479" i="135" s="1"/>
  <c r="WR479" i="135"/>
  <c r="WU479" i="135" s="1"/>
  <c r="WN479" i="135"/>
  <c r="WQ479" i="135" s="1"/>
  <c r="WJ479" i="135"/>
  <c r="WM479" i="135" s="1"/>
  <c r="WF479" i="135"/>
  <c r="WI479" i="135" s="1"/>
  <c r="WB479" i="135"/>
  <c r="WE479" i="135" s="1"/>
  <c r="VX479" i="135"/>
  <c r="WA479" i="135" s="1"/>
  <c r="VT479" i="135"/>
  <c r="VW479" i="135" s="1"/>
  <c r="VP479" i="135"/>
  <c r="VS479" i="135" s="1"/>
  <c r="VL479" i="135"/>
  <c r="VO479" i="135" s="1"/>
  <c r="VH479" i="135"/>
  <c r="VK479" i="135" s="1"/>
  <c r="VD479" i="135"/>
  <c r="VG479" i="135" s="1"/>
  <c r="UZ479" i="135"/>
  <c r="VC479" i="135" s="1"/>
  <c r="UV479" i="135"/>
  <c r="UY479" i="135" s="1"/>
  <c r="UR479" i="135"/>
  <c r="UU479" i="135" s="1"/>
  <c r="UN479" i="135"/>
  <c r="UQ479" i="135" s="1"/>
  <c r="UJ479" i="135"/>
  <c r="UM479" i="135" s="1"/>
  <c r="UF479" i="135"/>
  <c r="UI479" i="135" s="1"/>
  <c r="UB479" i="135"/>
  <c r="UE479" i="135" s="1"/>
  <c r="TX479" i="135"/>
  <c r="UA479" i="135" s="1"/>
  <c r="TT479" i="135"/>
  <c r="TW479" i="135" s="1"/>
  <c r="TP479" i="135"/>
  <c r="TS479" i="135" s="1"/>
  <c r="TL479" i="135"/>
  <c r="TO479" i="135" s="1"/>
  <c r="TH479" i="135"/>
  <c r="TK479" i="135" s="1"/>
  <c r="TD479" i="135"/>
  <c r="TG479" i="135" s="1"/>
  <c r="SZ479" i="135"/>
  <c r="TC479" i="135" s="1"/>
  <c r="SV479" i="135"/>
  <c r="SY479" i="135" s="1"/>
  <c r="SR479" i="135"/>
  <c r="SU479" i="135" s="1"/>
  <c r="SN479" i="135"/>
  <c r="SQ479" i="135" s="1"/>
  <c r="SJ479" i="135"/>
  <c r="SM479" i="135" s="1"/>
  <c r="SF479" i="135"/>
  <c r="SI479" i="135" s="1"/>
  <c r="SB479" i="135"/>
  <c r="SE479" i="135" s="1"/>
  <c r="RX479" i="135"/>
  <c r="SA479" i="135" s="1"/>
  <c r="RT479" i="135"/>
  <c r="RW479" i="135" s="1"/>
  <c r="RP479" i="135"/>
  <c r="RS479" i="135" s="1"/>
  <c r="RL479" i="135"/>
  <c r="RO479" i="135" s="1"/>
  <c r="RH479" i="135"/>
  <c r="RK479" i="135" s="1"/>
  <c r="RD479" i="135"/>
  <c r="RG479" i="135" s="1"/>
  <c r="QZ479" i="135"/>
  <c r="RC479" i="135" s="1"/>
  <c r="QV479" i="135"/>
  <c r="QY479" i="135" s="1"/>
  <c r="QR479" i="135"/>
  <c r="QU479" i="135" s="1"/>
  <c r="QN479" i="135"/>
  <c r="QQ479" i="135" s="1"/>
  <c r="QJ479" i="135"/>
  <c r="QM479" i="135" s="1"/>
  <c r="QF479" i="135"/>
  <c r="QI479" i="135" s="1"/>
  <c r="QB479" i="135"/>
  <c r="QE479" i="135" s="1"/>
  <c r="PX479" i="135"/>
  <c r="QA479" i="135" s="1"/>
  <c r="PT479" i="135"/>
  <c r="PW479" i="135" s="1"/>
  <c r="PP479" i="135"/>
  <c r="PS479" i="135" s="1"/>
  <c r="PL479" i="135"/>
  <c r="PO479" i="135" s="1"/>
  <c r="PH479" i="135"/>
  <c r="PK479" i="135" s="1"/>
  <c r="PD479" i="135"/>
  <c r="PG479" i="135" s="1"/>
  <c r="OZ479" i="135"/>
  <c r="PC479" i="135" s="1"/>
  <c r="OV479" i="135"/>
  <c r="OY479" i="135" s="1"/>
  <c r="OR479" i="135"/>
  <c r="OU479" i="135" s="1"/>
  <c r="ON479" i="135"/>
  <c r="OQ479" i="135" s="1"/>
  <c r="OJ479" i="135"/>
  <c r="OM479" i="135" s="1"/>
  <c r="OF479" i="135"/>
  <c r="OI479" i="135" s="1"/>
  <c r="OB479" i="135"/>
  <c r="OE479" i="135" s="1"/>
  <c r="NX479" i="135"/>
  <c r="OA479" i="135" s="1"/>
  <c r="NT479" i="135"/>
  <c r="NW479" i="135" s="1"/>
  <c r="NP479" i="135"/>
  <c r="NS479" i="135" s="1"/>
  <c r="NL479" i="135"/>
  <c r="NO479" i="135" s="1"/>
  <c r="NH479" i="135"/>
  <c r="NK479" i="135" s="1"/>
  <c r="ND479" i="135"/>
  <c r="NG479" i="135" s="1"/>
  <c r="MZ479" i="135"/>
  <c r="NC479" i="135" s="1"/>
  <c r="MV479" i="135"/>
  <c r="MY479" i="135" s="1"/>
  <c r="MR479" i="135"/>
  <c r="MU479" i="135" s="1"/>
  <c r="MN479" i="135"/>
  <c r="MQ479" i="135" s="1"/>
  <c r="MJ479" i="135"/>
  <c r="MM479" i="135" s="1"/>
  <c r="MF479" i="135"/>
  <c r="MI479" i="135" s="1"/>
  <c r="MB479" i="135"/>
  <c r="ME479" i="135" s="1"/>
  <c r="LX479" i="135"/>
  <c r="MA479" i="135" s="1"/>
  <c r="LT479" i="135"/>
  <c r="LW479" i="135" s="1"/>
  <c r="LP479" i="135"/>
  <c r="LS479" i="135" s="1"/>
  <c r="LL479" i="135"/>
  <c r="LO479" i="135" s="1"/>
  <c r="LH479" i="135"/>
  <c r="LK479" i="135" s="1"/>
  <c r="LD479" i="135"/>
  <c r="LG479" i="135" s="1"/>
  <c r="KZ479" i="135"/>
  <c r="LC479" i="135" s="1"/>
  <c r="KV479" i="135"/>
  <c r="KY479" i="135" s="1"/>
  <c r="KR479" i="135"/>
  <c r="KU479" i="135" s="1"/>
  <c r="KN479" i="135"/>
  <c r="KQ479" i="135" s="1"/>
  <c r="KJ479" i="135"/>
  <c r="KM479" i="135" s="1"/>
  <c r="KF479" i="135"/>
  <c r="KI479" i="135" s="1"/>
  <c r="KB479" i="135"/>
  <c r="KE479" i="135" s="1"/>
  <c r="JX479" i="135"/>
  <c r="KA479" i="135" s="1"/>
  <c r="JT479" i="135"/>
  <c r="JW479" i="135" s="1"/>
  <c r="JP479" i="135"/>
  <c r="JS479" i="135" s="1"/>
  <c r="JL479" i="135"/>
  <c r="JO479" i="135" s="1"/>
  <c r="JH479" i="135"/>
  <c r="JK479" i="135" s="1"/>
  <c r="JD479" i="135"/>
  <c r="JG479" i="135" s="1"/>
  <c r="IZ479" i="135"/>
  <c r="JC479" i="135" s="1"/>
  <c r="IV479" i="135"/>
  <c r="IY479" i="135" s="1"/>
  <c r="IR479" i="135"/>
  <c r="IU479" i="135" s="1"/>
  <c r="IN479" i="135"/>
  <c r="IQ479" i="135" s="1"/>
  <c r="IJ479" i="135"/>
  <c r="IM479" i="135" s="1"/>
  <c r="IF479" i="135"/>
  <c r="II479" i="135" s="1"/>
  <c r="IB479" i="135"/>
  <c r="IE479" i="135" s="1"/>
  <c r="HX479" i="135"/>
  <c r="IA479" i="135" s="1"/>
  <c r="HT479" i="135"/>
  <c r="HW479" i="135" s="1"/>
  <c r="HP479" i="135"/>
  <c r="HS479" i="135" s="1"/>
  <c r="HL479" i="135"/>
  <c r="HO479" i="135" s="1"/>
  <c r="HH479" i="135"/>
  <c r="HK479" i="135" s="1"/>
  <c r="HD479" i="135"/>
  <c r="HG479" i="135" s="1"/>
  <c r="GZ479" i="135"/>
  <c r="HC479" i="135" s="1"/>
  <c r="GV479" i="135"/>
  <c r="GY479" i="135" s="1"/>
  <c r="GR479" i="135"/>
  <c r="GU479" i="135" s="1"/>
  <c r="GN479" i="135"/>
  <c r="GQ479" i="135" s="1"/>
  <c r="GJ479" i="135"/>
  <c r="GM479" i="135" s="1"/>
  <c r="GF479" i="135"/>
  <c r="GI479" i="135" s="1"/>
  <c r="GB479" i="135"/>
  <c r="GE479" i="135" s="1"/>
  <c r="FX479" i="135"/>
  <c r="GA479" i="135" s="1"/>
  <c r="FT479" i="135"/>
  <c r="FW479" i="135" s="1"/>
  <c r="FP479" i="135"/>
  <c r="FS479" i="135" s="1"/>
  <c r="FL479" i="135"/>
  <c r="FO479" i="135" s="1"/>
  <c r="FH479" i="135"/>
  <c r="FK479" i="135" s="1"/>
  <c r="FD479" i="135"/>
  <c r="FG479" i="135" s="1"/>
  <c r="EZ479" i="135"/>
  <c r="FC479" i="135" s="1"/>
  <c r="EV479" i="135"/>
  <c r="EY479" i="135" s="1"/>
  <c r="ER479" i="135"/>
  <c r="EU479" i="135" s="1"/>
  <c r="EN479" i="135"/>
  <c r="EQ479" i="135" s="1"/>
  <c r="EJ479" i="135"/>
  <c r="EM479" i="135" s="1"/>
  <c r="EF479" i="135"/>
  <c r="EI479" i="135" s="1"/>
  <c r="EB479" i="135"/>
  <c r="EE479" i="135" s="1"/>
  <c r="DX479" i="135"/>
  <c r="EA479" i="135" s="1"/>
  <c r="DT479" i="135"/>
  <c r="DW479" i="135" s="1"/>
  <c r="DP479" i="135"/>
  <c r="DS479" i="135" s="1"/>
  <c r="DL479" i="135"/>
  <c r="DO479" i="135" s="1"/>
  <c r="DH479" i="135"/>
  <c r="DK479" i="135" s="1"/>
  <c r="DD479" i="135"/>
  <c r="DG479" i="135" s="1"/>
  <c r="CZ479" i="135"/>
  <c r="DC479" i="135" s="1"/>
  <c r="CV479" i="135"/>
  <c r="CY479" i="135" s="1"/>
  <c r="CR479" i="135"/>
  <c r="CU479" i="135" s="1"/>
  <c r="CN479" i="135"/>
  <c r="CQ479" i="135" s="1"/>
  <c r="CJ479" i="135"/>
  <c r="CM479" i="135" s="1"/>
  <c r="CF479" i="135"/>
  <c r="CI479" i="135" s="1"/>
  <c r="CB479" i="135"/>
  <c r="CE479" i="135" s="1"/>
  <c r="BX479" i="135"/>
  <c r="CA479" i="135" s="1"/>
  <c r="BT479" i="135"/>
  <c r="BW479" i="135" s="1"/>
  <c r="BP479" i="135"/>
  <c r="BS479" i="135" s="1"/>
  <c r="BL479" i="135"/>
  <c r="BO479" i="135" s="1"/>
  <c r="BH479" i="135"/>
  <c r="BK479" i="135" s="1"/>
  <c r="BD479" i="135"/>
  <c r="BG479" i="135" s="1"/>
  <c r="AZ479" i="135"/>
  <c r="BC479" i="135" s="1"/>
  <c r="AV479" i="135"/>
  <c r="AY479" i="135" s="1"/>
  <c r="AR479" i="135"/>
  <c r="AU479" i="135" s="1"/>
  <c r="AN479" i="135"/>
  <c r="AQ479" i="135" s="1"/>
  <c r="AJ479" i="135"/>
  <c r="AM479" i="135" s="1"/>
  <c r="AF479" i="135"/>
  <c r="AI479" i="135" s="1"/>
  <c r="AB479" i="135"/>
  <c r="AE479" i="135" s="1"/>
  <c r="X479" i="135"/>
  <c r="AA479" i="135" s="1"/>
  <c r="T479" i="135"/>
  <c r="W479" i="135" s="1"/>
  <c r="P479" i="135"/>
  <c r="S479" i="135" s="1"/>
  <c r="I491" i="135"/>
  <c r="K486" i="135"/>
  <c r="K496" i="135" s="1"/>
  <c r="N375" i="135"/>
  <c r="N262" i="135"/>
  <c r="M262" i="135"/>
  <c r="L262" i="135"/>
  <c r="K262" i="135"/>
  <c r="H262" i="135"/>
  <c r="G262" i="135"/>
  <c r="F262" i="135"/>
  <c r="R265" i="135" s="1"/>
  <c r="N12" i="135"/>
  <c r="L12" i="135"/>
  <c r="K495" i="135" l="1"/>
  <c r="K497" i="135" s="1"/>
  <c r="G495" i="135"/>
  <c r="G497" i="135" s="1"/>
  <c r="M495" i="135"/>
  <c r="M486" i="135"/>
  <c r="M496" i="135" s="1"/>
  <c r="H495" i="135"/>
  <c r="H497" i="135" s="1"/>
  <c r="N495" i="135"/>
  <c r="N497" i="135" s="1"/>
  <c r="F495" i="135"/>
  <c r="F497" i="135" s="1"/>
  <c r="L495" i="135"/>
  <c r="L497" i="135" s="1"/>
  <c r="M497" i="135" l="1"/>
  <c r="R486" i="135" s="1"/>
  <c r="R484" i="135"/>
  <c r="C32" i="110"/>
  <c r="C31" i="110"/>
  <c r="C30" i="110"/>
  <c r="C29" i="110"/>
  <c r="C28" i="110"/>
  <c r="C27" i="110"/>
  <c r="C26" i="110"/>
  <c r="C25" i="110"/>
  <c r="C24" i="110"/>
  <c r="C23" i="110"/>
  <c r="C22" i="110"/>
  <c r="C21" i="110"/>
  <c r="U20" i="110"/>
  <c r="C20" i="110"/>
  <c r="C19" i="110"/>
  <c r="C18" i="110"/>
  <c r="D17" i="110"/>
  <c r="C16" i="110"/>
  <c r="L67" i="114"/>
  <c r="D16" i="110" l="1"/>
  <c r="K32" i="110"/>
  <c r="L32" i="110" s="1"/>
  <c r="G32" i="110"/>
  <c r="H32" i="110" s="1"/>
  <c r="I32" i="110"/>
  <c r="M32" i="110"/>
  <c r="N32" i="110"/>
  <c r="D18" i="110"/>
  <c r="P32" i="110" l="1"/>
  <c r="R32" i="110" s="1"/>
  <c r="S32" i="110" s="1"/>
  <c r="AP31" i="145" l="1"/>
  <c r="AH27" i="145"/>
  <c r="AG27" i="145"/>
  <c r="AF27" i="145"/>
  <c r="AE27" i="145"/>
  <c r="AD27" i="145"/>
  <c r="AC27" i="145"/>
  <c r="AB27" i="145"/>
  <c r="AA27" i="145"/>
  <c r="Z27" i="145"/>
  <c r="Y27" i="145"/>
  <c r="X27" i="145"/>
  <c r="W27" i="145"/>
  <c r="V27" i="145"/>
  <c r="U27" i="145"/>
  <c r="T27" i="145"/>
  <c r="S27" i="145"/>
  <c r="R27" i="145"/>
  <c r="Q27" i="145"/>
  <c r="P27" i="145"/>
  <c r="O27" i="145"/>
  <c r="N27" i="145"/>
  <c r="M27" i="145"/>
  <c r="L27" i="145"/>
  <c r="K27" i="145"/>
  <c r="J27" i="145"/>
  <c r="I27" i="145"/>
  <c r="H27" i="145"/>
  <c r="G27" i="145"/>
  <c r="F27" i="145"/>
  <c r="E27" i="145"/>
  <c r="D27" i="145"/>
  <c r="AJ26" i="145"/>
  <c r="AM26" i="145" s="1"/>
  <c r="C26" i="145"/>
  <c r="AK25" i="145"/>
  <c r="AI25" i="145"/>
  <c r="AJ25" i="145" s="1"/>
  <c r="AM25" i="145" s="1"/>
  <c r="C25" i="145"/>
  <c r="AK24" i="145"/>
  <c r="AI24" i="145"/>
  <c r="AJ24" i="145" s="1"/>
  <c r="AM24" i="145" s="1"/>
  <c r="C24" i="145"/>
  <c r="AK23" i="145"/>
  <c r="AI23" i="145"/>
  <c r="AJ23" i="145" s="1"/>
  <c r="AM23" i="145" s="1"/>
  <c r="C23" i="145"/>
  <c r="AK22" i="145"/>
  <c r="AJ22" i="145"/>
  <c r="AM22" i="145" s="1"/>
  <c r="AI22" i="145"/>
  <c r="C22" i="145"/>
  <c r="AK21" i="145"/>
  <c r="AJ21" i="145"/>
  <c r="AM21" i="145" s="1"/>
  <c r="AI21" i="145"/>
  <c r="C21" i="145"/>
  <c r="AK20" i="145"/>
  <c r="AJ20" i="145"/>
  <c r="AM20" i="145" s="1"/>
  <c r="AI20" i="145"/>
  <c r="C20" i="145"/>
  <c r="AK19" i="145"/>
  <c r="AJ19" i="145"/>
  <c r="AM19" i="145" s="1"/>
  <c r="AI19" i="145"/>
  <c r="C19" i="145"/>
  <c r="AT18" i="145"/>
  <c r="AK18" i="145"/>
  <c r="AI18" i="145"/>
  <c r="AJ18" i="145" s="1"/>
  <c r="AM18" i="145" s="1"/>
  <c r="C18" i="145"/>
  <c r="AK17" i="145"/>
  <c r="AI17" i="145"/>
  <c r="AT17" i="145" s="1"/>
  <c r="C17" i="145"/>
  <c r="AK16" i="145"/>
  <c r="AJ16" i="145"/>
  <c r="AM16" i="145" s="1"/>
  <c r="AI16" i="145"/>
  <c r="AT16" i="145" s="1"/>
  <c r="C16" i="145"/>
  <c r="AK15" i="145"/>
  <c r="AI15" i="145"/>
  <c r="AJ15" i="145" s="1"/>
  <c r="AM15" i="145" s="1"/>
  <c r="C15" i="145"/>
  <c r="AK14" i="145"/>
  <c r="AI14" i="145"/>
  <c r="AT14" i="145" s="1"/>
  <c r="C14" i="145"/>
  <c r="AX13" i="145"/>
  <c r="AK13" i="145"/>
  <c r="AI13" i="145"/>
  <c r="AT13" i="145" s="1"/>
  <c r="C13" i="145"/>
  <c r="AN12" i="145"/>
  <c r="AM12" i="145"/>
  <c r="AK12" i="145"/>
  <c r="AJ12" i="145"/>
  <c r="AI12" i="145"/>
  <c r="C12" i="145"/>
  <c r="J33" i="145" l="1"/>
  <c r="AI27" i="145"/>
  <c r="AJ14" i="145"/>
  <c r="AT12" i="145"/>
  <c r="AT15" i="145"/>
  <c r="AJ13" i="145"/>
  <c r="AM13" i="145" s="1"/>
  <c r="AX15" i="145"/>
  <c r="AJ17" i="145"/>
  <c r="AM17" i="145" s="1"/>
  <c r="J32" i="145"/>
  <c r="P33" i="145"/>
  <c r="J30" i="145"/>
  <c r="P32" i="145"/>
  <c r="P31" i="145"/>
  <c r="J31" i="145"/>
  <c r="D33" i="145"/>
  <c r="D34" i="145" s="1"/>
  <c r="AX16" i="145"/>
  <c r="P30" i="145"/>
  <c r="AM14" i="145"/>
  <c r="AJ27" i="145"/>
  <c r="P34" i="145" l="1"/>
  <c r="J34" i="145"/>
  <c r="AY16" i="145"/>
  <c r="AX17" i="145"/>
  <c r="AY17" i="145" s="1"/>
  <c r="C82" i="57" l="1"/>
  <c r="G86" i="3" l="1"/>
  <c r="H86" i="3" s="1"/>
  <c r="G30" i="110"/>
  <c r="H30" i="110" s="1"/>
  <c r="O86" i="3"/>
  <c r="P86" i="3"/>
  <c r="W82" i="57"/>
  <c r="N86" i="3" s="1"/>
  <c r="M86" i="3"/>
  <c r="N30" i="110" l="1"/>
  <c r="M30" i="110"/>
  <c r="L78" i="58" l="1"/>
  <c r="H14" i="59" l="1"/>
  <c r="B28" i="119" l="1"/>
  <c r="I19" i="134" l="1"/>
  <c r="I305" i="125" l="1"/>
  <c r="K3" i="125"/>
  <c r="D20" i="59" l="1"/>
  <c r="K17" i="142"/>
  <c r="J17" i="142"/>
  <c r="J22" i="142" s="1"/>
  <c r="J24" i="142" s="1"/>
  <c r="J29" i="142"/>
  <c r="J14" i="142" l="1"/>
  <c r="J19" i="142"/>
  <c r="P42" i="141"/>
  <c r="P36" i="141"/>
  <c r="M35" i="141"/>
  <c r="P32" i="141"/>
  <c r="D32" i="141"/>
  <c r="F27" i="141"/>
  <c r="F26" i="141"/>
  <c r="F25" i="141"/>
  <c r="F24" i="141"/>
  <c r="I23" i="141"/>
  <c r="F22" i="141"/>
  <c r="F21" i="141"/>
  <c r="F20" i="141"/>
  <c r="F19" i="141"/>
  <c r="F18" i="141"/>
  <c r="M17" i="141"/>
  <c r="F17" i="141"/>
  <c r="F16" i="141"/>
  <c r="F15" i="141"/>
  <c r="I14" i="141"/>
  <c r="I13" i="141" s="1"/>
  <c r="I12" i="141" s="1"/>
  <c r="I35" i="141" s="1"/>
  <c r="M27" i="141" s="1"/>
  <c r="N40" i="141" l="1"/>
  <c r="H12" i="141" l="1"/>
  <c r="H35" i="141" s="1"/>
  <c r="N36" i="141" s="1"/>
  <c r="I29" i="136" l="1"/>
  <c r="AJ26" i="138"/>
  <c r="E27" i="138"/>
  <c r="F27" i="138"/>
  <c r="G27" i="138"/>
  <c r="H27" i="138"/>
  <c r="I27" i="138"/>
  <c r="J27" i="138"/>
  <c r="K27" i="138"/>
  <c r="L27" i="138"/>
  <c r="M27" i="138"/>
  <c r="N27" i="138"/>
  <c r="O27" i="138"/>
  <c r="P27" i="138"/>
  <c r="Q27" i="138"/>
  <c r="R27" i="138"/>
  <c r="S27" i="138"/>
  <c r="T27" i="138"/>
  <c r="U27" i="138"/>
  <c r="V27" i="138"/>
  <c r="W27" i="138"/>
  <c r="X27" i="138"/>
  <c r="Y27" i="138"/>
  <c r="Z27" i="138"/>
  <c r="AA27" i="138"/>
  <c r="AB27" i="138"/>
  <c r="AC27" i="138"/>
  <c r="AD27" i="138"/>
  <c r="AE27" i="138"/>
  <c r="AF27" i="138"/>
  <c r="AG27" i="138"/>
  <c r="AH27" i="138"/>
  <c r="D27" i="138"/>
  <c r="AP31" i="138" l="1"/>
  <c r="AM26" i="138"/>
  <c r="C26" i="138"/>
  <c r="C29" i="136" s="1"/>
  <c r="AI25" i="138"/>
  <c r="C25" i="138"/>
  <c r="C28" i="136" s="1"/>
  <c r="AI24" i="138"/>
  <c r="C24" i="138"/>
  <c r="C27" i="136" s="1"/>
  <c r="AI23" i="138"/>
  <c r="C23" i="138"/>
  <c r="C26" i="136" s="1"/>
  <c r="AI22" i="138"/>
  <c r="C22" i="138"/>
  <c r="C25" i="136" s="1"/>
  <c r="AI21" i="138"/>
  <c r="C21" i="138"/>
  <c r="C24" i="136" s="1"/>
  <c r="AI20" i="138"/>
  <c r="C20" i="138"/>
  <c r="C23" i="136" s="1"/>
  <c r="AI19" i="138"/>
  <c r="C19" i="138"/>
  <c r="C22" i="136" s="1"/>
  <c r="AI18" i="138"/>
  <c r="C18" i="138"/>
  <c r="C21" i="136" s="1"/>
  <c r="AI17" i="138"/>
  <c r="C17" i="138"/>
  <c r="C20" i="136" s="1"/>
  <c r="AI16" i="138"/>
  <c r="C16" i="138"/>
  <c r="C19" i="136" s="1"/>
  <c r="AI15" i="138"/>
  <c r="C15" i="138"/>
  <c r="C18" i="136" s="1"/>
  <c r="AI14" i="138"/>
  <c r="C14" i="138"/>
  <c r="C17" i="136" s="1"/>
  <c r="AX13" i="138"/>
  <c r="AI13" i="138"/>
  <c r="C13" i="138"/>
  <c r="C16" i="136" s="1"/>
  <c r="AI12" i="138"/>
  <c r="C12" i="138"/>
  <c r="C15" i="136" s="1"/>
  <c r="AT12" i="138" l="1"/>
  <c r="AI27" i="138"/>
  <c r="AJ12" i="138"/>
  <c r="I15" i="136"/>
  <c r="J15" i="136" s="1"/>
  <c r="AT18" i="138"/>
  <c r="AJ18" i="138"/>
  <c r="AM18" i="138" s="1"/>
  <c r="I21" i="136"/>
  <c r="J21" i="136" s="1"/>
  <c r="AT16" i="138"/>
  <c r="I19" i="136"/>
  <c r="J19" i="136" s="1"/>
  <c r="AJ16" i="138"/>
  <c r="AM16" i="138" s="1"/>
  <c r="AT17" i="138"/>
  <c r="I20" i="136"/>
  <c r="J20" i="136" s="1"/>
  <c r="AJ17" i="138"/>
  <c r="AM17" i="138" s="1"/>
  <c r="I24" i="136"/>
  <c r="J24" i="136" s="1"/>
  <c r="AJ21" i="138"/>
  <c r="AM21" i="138" s="1"/>
  <c r="I28" i="136"/>
  <c r="J28" i="136" s="1"/>
  <c r="AJ25" i="138"/>
  <c r="AM25" i="138" s="1"/>
  <c r="AJ22" i="138"/>
  <c r="AM22" i="138" s="1"/>
  <c r="I25" i="136"/>
  <c r="J25" i="136" s="1"/>
  <c r="AT15" i="138"/>
  <c r="AJ15" i="138"/>
  <c r="AM15" i="138" s="1"/>
  <c r="I18" i="136"/>
  <c r="J18" i="136" s="1"/>
  <c r="AJ20" i="138"/>
  <c r="AM20" i="138" s="1"/>
  <c r="I23" i="136"/>
  <c r="J23" i="136" s="1"/>
  <c r="I27" i="136"/>
  <c r="J27" i="136" s="1"/>
  <c r="AJ24" i="138"/>
  <c r="AM24" i="138" s="1"/>
  <c r="AT13" i="138"/>
  <c r="I16" i="136"/>
  <c r="J16" i="136" s="1"/>
  <c r="AJ13" i="138"/>
  <c r="AM13" i="138" s="1"/>
  <c r="AT14" i="138"/>
  <c r="AJ14" i="138"/>
  <c r="AM14" i="138" s="1"/>
  <c r="I17" i="136"/>
  <c r="J17" i="136" s="1"/>
  <c r="G21" i="136"/>
  <c r="H21" i="136" s="1"/>
  <c r="M21" i="136"/>
  <c r="N21" i="136"/>
  <c r="AJ19" i="138"/>
  <c r="AM19" i="138" s="1"/>
  <c r="I22" i="136"/>
  <c r="J22" i="136" s="1"/>
  <c r="AJ23" i="138"/>
  <c r="AM23" i="138" s="1"/>
  <c r="I26" i="136"/>
  <c r="J26" i="136" s="1"/>
  <c r="AX15" i="138"/>
  <c r="Q21" i="136" l="1"/>
  <c r="AJ27" i="138"/>
  <c r="AX16" i="138"/>
  <c r="AX17" i="138" s="1"/>
  <c r="AY17" i="138" s="1"/>
  <c r="AM12" i="138"/>
  <c r="AN12" i="138"/>
  <c r="AY16" i="138" l="1"/>
  <c r="R66" i="57" l="1"/>
  <c r="G34" i="146" s="1"/>
  <c r="H34" i="146" s="1"/>
  <c r="R49" i="57"/>
  <c r="I30" i="136" l="1"/>
  <c r="J29" i="136"/>
  <c r="L29" i="136" s="1"/>
  <c r="J30" i="136" l="1"/>
  <c r="P30" i="136"/>
  <c r="O30" i="136"/>
  <c r="G26" i="136"/>
  <c r="H26" i="136" s="1"/>
  <c r="M26" i="136"/>
  <c r="N19" i="136"/>
  <c r="M18" i="136"/>
  <c r="G19" i="136" l="1"/>
  <c r="H19" i="136" s="1"/>
  <c r="G18" i="136"/>
  <c r="H18" i="136" s="1"/>
  <c r="M19" i="136"/>
  <c r="Q19" i="136" s="1"/>
  <c r="M20" i="136"/>
  <c r="M16" i="136"/>
  <c r="N18" i="136"/>
  <c r="Q18" i="136" s="1"/>
  <c r="N26" i="136"/>
  <c r="Q26" i="136" s="1"/>
  <c r="M15" i="136"/>
  <c r="D15" i="136"/>
  <c r="N15" i="136"/>
  <c r="N16" i="136"/>
  <c r="N20" i="136"/>
  <c r="M17" i="136"/>
  <c r="D16" i="136"/>
  <c r="D17" i="136"/>
  <c r="N17" i="136"/>
  <c r="G15" i="136"/>
  <c r="G16" i="136"/>
  <c r="H16" i="136" s="1"/>
  <c r="G17" i="136"/>
  <c r="H17" i="136" s="1"/>
  <c r="G20" i="136"/>
  <c r="H20" i="136" s="1"/>
  <c r="Q20" i="136" l="1"/>
  <c r="N30" i="136"/>
  <c r="Q16" i="136"/>
  <c r="G30" i="136"/>
  <c r="H15" i="136"/>
  <c r="H30" i="136" s="1"/>
  <c r="Q17" i="136"/>
  <c r="M30" i="136"/>
  <c r="Q15" i="136"/>
  <c r="Q30" i="136" s="1"/>
  <c r="F27" i="71" l="1"/>
  <c r="G12" i="57" l="1"/>
  <c r="N12" i="57" l="1"/>
  <c r="O12" i="57"/>
  <c r="P12" i="57"/>
  <c r="Q12" i="57"/>
  <c r="Q85" i="57" s="1"/>
  <c r="L77" i="58" l="1"/>
  <c r="B29" i="99" l="1"/>
  <c r="Y32" i="132" l="1"/>
  <c r="V28" i="132" l="1"/>
  <c r="U27" i="132"/>
  <c r="T27" i="132"/>
  <c r="M53" i="132"/>
  <c r="M38" i="132"/>
  <c r="M37" i="132"/>
  <c r="M31" i="132"/>
  <c r="D33" i="71" l="1"/>
  <c r="H35" i="71" l="1"/>
  <c r="K4" i="125"/>
  <c r="M34" i="134" l="1"/>
  <c r="H38" i="134"/>
  <c r="I38" i="134" s="1"/>
  <c r="H37" i="134"/>
  <c r="I37" i="134" s="1"/>
  <c r="H36" i="134"/>
  <c r="I36" i="134" s="1"/>
  <c r="C38" i="134"/>
  <c r="D38" i="134" s="1"/>
  <c r="C37" i="134"/>
  <c r="D37" i="134" s="1"/>
  <c r="C36" i="134"/>
  <c r="D36" i="134" s="1"/>
  <c r="H24" i="134"/>
  <c r="I24" i="134" s="1"/>
  <c r="H23" i="134"/>
  <c r="I23" i="134" s="1"/>
  <c r="H22" i="134"/>
  <c r="I22" i="134" s="1"/>
  <c r="C24" i="134"/>
  <c r="D24" i="134" s="1"/>
  <c r="C23" i="134"/>
  <c r="C22" i="134"/>
  <c r="D22" i="134" s="1"/>
  <c r="H11" i="134"/>
  <c r="I11" i="134" s="1"/>
  <c r="H10" i="134"/>
  <c r="I10" i="134" s="1"/>
  <c r="H9" i="134"/>
  <c r="I9" i="134" s="1"/>
  <c r="I33" i="134"/>
  <c r="I32" i="134"/>
  <c r="D33" i="134"/>
  <c r="D32" i="134"/>
  <c r="I20" i="134"/>
  <c r="I18" i="134" s="1"/>
  <c r="H18" i="134"/>
  <c r="D23" i="134"/>
  <c r="D20" i="134"/>
  <c r="D19" i="134"/>
  <c r="C18" i="134"/>
  <c r="I7" i="134"/>
  <c r="I6" i="134"/>
  <c r="H5" i="134"/>
  <c r="C5" i="134"/>
  <c r="D6" i="134"/>
  <c r="D7" i="134"/>
  <c r="C9" i="134"/>
  <c r="D9" i="134" s="1"/>
  <c r="C10" i="134"/>
  <c r="D10" i="134" s="1"/>
  <c r="C11" i="134"/>
  <c r="D11" i="134" s="1"/>
  <c r="I395" i="125"/>
  <c r="I392" i="125"/>
  <c r="H392" i="125"/>
  <c r="I391" i="125"/>
  <c r="H391" i="125"/>
  <c r="H390" i="125"/>
  <c r="I390" i="125" s="1"/>
  <c r="D395" i="125"/>
  <c r="D392" i="125"/>
  <c r="C392" i="125"/>
  <c r="D391" i="125"/>
  <c r="C391" i="125"/>
  <c r="C390" i="125"/>
  <c r="D390" i="125" s="1"/>
  <c r="I384" i="125"/>
  <c r="I381" i="125"/>
  <c r="H381" i="125"/>
  <c r="I380" i="125"/>
  <c r="H380" i="125"/>
  <c r="H379" i="125"/>
  <c r="I379" i="125" s="1"/>
  <c r="D384" i="125"/>
  <c r="D381" i="125"/>
  <c r="C381" i="125"/>
  <c r="D380" i="125"/>
  <c r="C380" i="125"/>
  <c r="C379" i="125"/>
  <c r="D379" i="125" s="1"/>
  <c r="I373" i="125"/>
  <c r="I370" i="125"/>
  <c r="H370" i="125"/>
  <c r="I369" i="125"/>
  <c r="H369" i="125"/>
  <c r="H368" i="125"/>
  <c r="I368" i="125" s="1"/>
  <c r="D373" i="125"/>
  <c r="D370" i="125"/>
  <c r="C370" i="125"/>
  <c r="D369" i="125"/>
  <c r="C369" i="125"/>
  <c r="C368" i="125"/>
  <c r="D368" i="125" s="1"/>
  <c r="I357" i="125"/>
  <c r="I354" i="125"/>
  <c r="H354" i="125"/>
  <c r="I353" i="125"/>
  <c r="H353" i="125"/>
  <c r="I352" i="125"/>
  <c r="H352" i="125"/>
  <c r="G351" i="125"/>
  <c r="F350" i="125"/>
  <c r="D357" i="125"/>
  <c r="D354" i="125"/>
  <c r="D353" i="125"/>
  <c r="P23" i="64"/>
  <c r="P22" i="64" s="1"/>
  <c r="D374" i="125" l="1"/>
  <c r="I385" i="125"/>
  <c r="I374" i="125"/>
  <c r="I396" i="125"/>
  <c r="Q23" i="64"/>
  <c r="Q22" i="64" s="1"/>
  <c r="D385" i="125"/>
  <c r="D396" i="125"/>
  <c r="I39" i="134"/>
  <c r="D18" i="134"/>
  <c r="D25" i="134"/>
  <c r="D5" i="134"/>
  <c r="I5" i="134"/>
  <c r="I12" i="134"/>
  <c r="H12" i="134" s="1"/>
  <c r="H13" i="134" s="1"/>
  <c r="I14" i="134" s="1"/>
  <c r="D39" i="134"/>
  <c r="C39" i="134" s="1"/>
  <c r="I25" i="134"/>
  <c r="D12" i="134"/>
  <c r="C12" i="134" s="1"/>
  <c r="I358" i="125"/>
  <c r="D358" i="125"/>
  <c r="I13" i="134" l="1"/>
  <c r="C13" i="134"/>
  <c r="D14" i="134" s="1"/>
  <c r="D26" i="134"/>
  <c r="C25" i="134"/>
  <c r="C26" i="134" s="1"/>
  <c r="D27" i="134" s="1"/>
  <c r="I26" i="134"/>
  <c r="H25" i="134"/>
  <c r="H26" i="134" s="1"/>
  <c r="I27" i="134" s="1"/>
  <c r="D13" i="134"/>
  <c r="I40" i="134"/>
  <c r="H39" i="134"/>
  <c r="M39" i="134"/>
  <c r="O39" i="134" s="1"/>
  <c r="L40" i="134" l="1"/>
  <c r="M40" i="134" s="1"/>
  <c r="O40" i="134" s="1"/>
  <c r="D293" i="125" l="1"/>
  <c r="I283" i="125"/>
  <c r="D283" i="125"/>
  <c r="I273" i="125"/>
  <c r="D273" i="125"/>
  <c r="K74" i="133" l="1"/>
  <c r="K72" i="133"/>
  <c r="C17" i="3" l="1"/>
  <c r="C13" i="57"/>
  <c r="Y13" i="57" s="1"/>
  <c r="C11" i="58"/>
  <c r="C18" i="3"/>
  <c r="C14" i="57"/>
  <c r="C12" i="58"/>
  <c r="C19" i="3"/>
  <c r="C15" i="57"/>
  <c r="C13" i="58"/>
  <c r="C20" i="3"/>
  <c r="G13" i="125" s="1"/>
  <c r="C16" i="57"/>
  <c r="W16" i="57" s="1"/>
  <c r="C14" i="58"/>
  <c r="C21" i="3"/>
  <c r="C17" i="57"/>
  <c r="V17" i="57" s="1"/>
  <c r="C15" i="58"/>
  <c r="C22" i="3"/>
  <c r="G23" i="125" s="1"/>
  <c r="C18" i="57"/>
  <c r="C16" i="58"/>
  <c r="C23" i="3"/>
  <c r="C19" i="57"/>
  <c r="C17" i="58"/>
  <c r="C24" i="3"/>
  <c r="G33" i="125" s="1"/>
  <c r="C20" i="57"/>
  <c r="W20" i="57" s="1"/>
  <c r="C18" i="58"/>
  <c r="C25" i="3"/>
  <c r="C21" i="57"/>
  <c r="W21" i="57" s="1"/>
  <c r="C19" i="58"/>
  <c r="C26" i="3"/>
  <c r="C22" i="57"/>
  <c r="C20" i="58"/>
  <c r="C27" i="3"/>
  <c r="B53" i="125" s="1"/>
  <c r="C23" i="57"/>
  <c r="C21" i="58"/>
  <c r="C28" i="3"/>
  <c r="C24" i="57"/>
  <c r="W24" i="57" s="1"/>
  <c r="C22" i="58"/>
  <c r="C29" i="3"/>
  <c r="C25" i="57"/>
  <c r="Y25" i="57" s="1"/>
  <c r="C23" i="58"/>
  <c r="C30" i="3"/>
  <c r="C26" i="57"/>
  <c r="C24" i="58"/>
  <c r="C31" i="3"/>
  <c r="C27" i="57"/>
  <c r="C25" i="58"/>
  <c r="C32" i="3"/>
  <c r="C28" i="57"/>
  <c r="X28" i="57" s="1"/>
  <c r="C26" i="58"/>
  <c r="C33" i="3"/>
  <c r="C29" i="57"/>
  <c r="X29" i="57" s="1"/>
  <c r="C27" i="58"/>
  <c r="C34" i="3"/>
  <c r="C30" i="57"/>
  <c r="C28" i="58"/>
  <c r="C35" i="3"/>
  <c r="C31" i="57"/>
  <c r="Y31" i="57" s="1"/>
  <c r="C29" i="58"/>
  <c r="C36" i="3"/>
  <c r="C32" i="57"/>
  <c r="Y32" i="57" s="1"/>
  <c r="C30" i="58"/>
  <c r="C37" i="3"/>
  <c r="C33" i="57"/>
  <c r="W33" i="57" s="1"/>
  <c r="C31" i="58"/>
  <c r="C38" i="3"/>
  <c r="D38" i="3" s="1"/>
  <c r="C34" i="57"/>
  <c r="C32" i="58"/>
  <c r="AA34" i="57" s="1"/>
  <c r="C39" i="3"/>
  <c r="B115" i="125" s="1"/>
  <c r="C35" i="57"/>
  <c r="Y35" i="57" s="1"/>
  <c r="C33" i="58"/>
  <c r="C40" i="3"/>
  <c r="C36" i="57"/>
  <c r="V36" i="57" s="1"/>
  <c r="C34" i="58"/>
  <c r="C41" i="3"/>
  <c r="C37" i="57"/>
  <c r="W37" i="57" s="1"/>
  <c r="C35" i="58"/>
  <c r="C42" i="3"/>
  <c r="C38" i="57"/>
  <c r="C36" i="58"/>
  <c r="C43" i="3"/>
  <c r="B137" i="125" s="1"/>
  <c r="C39" i="57"/>
  <c r="Y39" i="57" s="1"/>
  <c r="C37" i="58"/>
  <c r="C44" i="3"/>
  <c r="D44" i="3" s="1"/>
  <c r="C40" i="57"/>
  <c r="V40" i="57" s="1"/>
  <c r="C38" i="58"/>
  <c r="C45" i="3"/>
  <c r="C41" i="57"/>
  <c r="W41" i="57" s="1"/>
  <c r="C39" i="58"/>
  <c r="C46" i="3"/>
  <c r="G147" i="125" s="1"/>
  <c r="C42" i="57"/>
  <c r="C40" i="58"/>
  <c r="C47" i="3"/>
  <c r="C43" i="57"/>
  <c r="W43" i="57" s="1"/>
  <c r="C41" i="58"/>
  <c r="C48" i="3"/>
  <c r="C44" i="57"/>
  <c r="W44" i="57" s="1"/>
  <c r="C42" i="58"/>
  <c r="C49" i="3"/>
  <c r="C45" i="57"/>
  <c r="W45" i="57" s="1"/>
  <c r="C43" i="58"/>
  <c r="C50" i="3"/>
  <c r="C46" i="57"/>
  <c r="C44" i="58"/>
  <c r="C51" i="3"/>
  <c r="C47" i="57"/>
  <c r="X47" i="57" s="1"/>
  <c r="C45" i="58"/>
  <c r="C52" i="3"/>
  <c r="D52" i="3" s="1"/>
  <c r="C48" i="57"/>
  <c r="V48" i="57" s="1"/>
  <c r="C46" i="58"/>
  <c r="C53" i="3"/>
  <c r="C55" i="3"/>
  <c r="D55" i="3" s="1"/>
  <c r="C51" i="57"/>
  <c r="C48" i="58"/>
  <c r="C56" i="3"/>
  <c r="D56" i="3" s="1"/>
  <c r="C52" i="57"/>
  <c r="W52" i="57" s="1"/>
  <c r="N20" i="146" s="1"/>
  <c r="C49" i="58"/>
  <c r="C57" i="3"/>
  <c r="C53" i="57"/>
  <c r="C50" i="58"/>
  <c r="C58" i="3"/>
  <c r="D58" i="3" s="1"/>
  <c r="C54" i="57"/>
  <c r="W54" i="57" s="1"/>
  <c r="N22" i="146" s="1"/>
  <c r="C51" i="58"/>
  <c r="C59" i="3"/>
  <c r="C55" i="57"/>
  <c r="Y55" i="57" s="1"/>
  <c r="C52" i="58"/>
  <c r="C60" i="3"/>
  <c r="C56" i="57"/>
  <c r="W56" i="57" s="1"/>
  <c r="N24" i="146" s="1"/>
  <c r="C53" i="58"/>
  <c r="C61" i="3"/>
  <c r="B219" i="125" s="1"/>
  <c r="C57" i="57"/>
  <c r="C54" i="58"/>
  <c r="C62" i="3"/>
  <c r="C58" i="57"/>
  <c r="V58" i="57" s="1"/>
  <c r="C55" i="58"/>
  <c r="C63" i="3"/>
  <c r="C59" i="57"/>
  <c r="W59" i="57" s="1"/>
  <c r="N27" i="146" s="1"/>
  <c r="C56" i="58"/>
  <c r="C64" i="3"/>
  <c r="G229" i="125" s="1"/>
  <c r="C60" i="57"/>
  <c r="V60" i="57" s="1"/>
  <c r="C57" i="58"/>
  <c r="C65" i="3"/>
  <c r="D65" i="3" s="1"/>
  <c r="C61" i="57"/>
  <c r="C58" i="58"/>
  <c r="C66" i="3"/>
  <c r="C62" i="57"/>
  <c r="V62" i="57" s="1"/>
  <c r="C59" i="58"/>
  <c r="C67" i="3"/>
  <c r="C63" i="57"/>
  <c r="C60" i="58"/>
  <c r="C68" i="3"/>
  <c r="C64" i="57"/>
  <c r="C61" i="58"/>
  <c r="C69" i="3"/>
  <c r="C65" i="57"/>
  <c r="C62" i="58"/>
  <c r="C70" i="3"/>
  <c r="F15" i="71"/>
  <c r="F16" i="71"/>
  <c r="F17" i="71"/>
  <c r="F18" i="71"/>
  <c r="C68" i="57"/>
  <c r="C64" i="58"/>
  <c r="C73" i="3"/>
  <c r="C69" i="57"/>
  <c r="C65" i="58"/>
  <c r="L16" i="136"/>
  <c r="C74" i="3"/>
  <c r="G74" i="3" s="1"/>
  <c r="C70" i="57"/>
  <c r="G18" i="110" s="1"/>
  <c r="H18" i="110" s="1"/>
  <c r="C66" i="58"/>
  <c r="L17" i="136"/>
  <c r="C75" i="3"/>
  <c r="G75" i="3" s="1"/>
  <c r="C71" i="57"/>
  <c r="G19" i="110" s="1"/>
  <c r="H19" i="110" s="1"/>
  <c r="C67" i="58"/>
  <c r="L18" i="136"/>
  <c r="C76" i="3"/>
  <c r="G76" i="3" s="1"/>
  <c r="C72" i="57"/>
  <c r="C68" i="58"/>
  <c r="L19" i="136"/>
  <c r="C77" i="3"/>
  <c r="G77" i="3" s="1"/>
  <c r="C73" i="57"/>
  <c r="C69" i="58"/>
  <c r="L20" i="136"/>
  <c r="C78" i="3"/>
  <c r="C74" i="57"/>
  <c r="G22" i="110" s="1"/>
  <c r="H22" i="110" s="1"/>
  <c r="C70" i="58"/>
  <c r="L21" i="136"/>
  <c r="C79" i="3"/>
  <c r="G79" i="3" s="1"/>
  <c r="C75" i="57"/>
  <c r="C71" i="58"/>
  <c r="L22" i="136"/>
  <c r="C80" i="3"/>
  <c r="G80" i="3" s="1"/>
  <c r="C76" i="57"/>
  <c r="C72" i="58"/>
  <c r="L23" i="136"/>
  <c r="C81" i="3"/>
  <c r="C77" i="57"/>
  <c r="C73" i="58"/>
  <c r="L24" i="136"/>
  <c r="C82" i="3"/>
  <c r="G82" i="3" s="1"/>
  <c r="C78" i="57"/>
  <c r="C74" i="58"/>
  <c r="L25" i="136"/>
  <c r="D325" i="125" s="1"/>
  <c r="C79" i="57"/>
  <c r="C75" i="58"/>
  <c r="L26" i="136"/>
  <c r="I325" i="125" s="1"/>
  <c r="C80" i="57"/>
  <c r="C76" i="58"/>
  <c r="L27" i="136"/>
  <c r="D335" i="125" s="1"/>
  <c r="C81" i="57"/>
  <c r="C77" i="58"/>
  <c r="L28" i="136"/>
  <c r="C78" i="58"/>
  <c r="AA82" i="57" s="1"/>
  <c r="K86" i="3" s="1"/>
  <c r="G339" i="125"/>
  <c r="C79" i="58"/>
  <c r="F19" i="71"/>
  <c r="F20" i="71"/>
  <c r="F21" i="71"/>
  <c r="F22" i="71"/>
  <c r="V26" i="57"/>
  <c r="V29" i="57"/>
  <c r="V30" i="57"/>
  <c r="V34" i="57"/>
  <c r="V46" i="57"/>
  <c r="F24" i="71"/>
  <c r="W14" i="57"/>
  <c r="W18" i="57"/>
  <c r="W22" i="57"/>
  <c r="W26" i="57"/>
  <c r="W30" i="57"/>
  <c r="W34" i="57"/>
  <c r="W38" i="57"/>
  <c r="W42" i="57"/>
  <c r="W46" i="57"/>
  <c r="F25" i="71"/>
  <c r="X14" i="57"/>
  <c r="X17" i="57"/>
  <c r="X18" i="57"/>
  <c r="X22" i="57"/>
  <c r="X26" i="57"/>
  <c r="X30" i="57"/>
  <c r="X34" i="57"/>
  <c r="X38" i="57"/>
  <c r="X42" i="57"/>
  <c r="F26" i="71"/>
  <c r="Y14" i="57"/>
  <c r="Y18" i="57"/>
  <c r="Y22" i="57"/>
  <c r="Y26" i="57"/>
  <c r="Y30" i="57"/>
  <c r="Y33" i="57"/>
  <c r="P37" i="3" s="1"/>
  <c r="Y34" i="57"/>
  <c r="Y38" i="57"/>
  <c r="Y41" i="57"/>
  <c r="P45" i="3" s="1"/>
  <c r="Y42" i="57"/>
  <c r="D71" i="133"/>
  <c r="E71" i="133" s="1"/>
  <c r="F71" i="133" s="1"/>
  <c r="H14" i="97"/>
  <c r="K14" i="97" s="1"/>
  <c r="G14" i="116"/>
  <c r="H14" i="116" s="1"/>
  <c r="J13" i="57" s="1"/>
  <c r="G14" i="120"/>
  <c r="I14" i="120"/>
  <c r="G14" i="124"/>
  <c r="H14" i="124" s="1"/>
  <c r="G14" i="122"/>
  <c r="H14" i="122" s="1"/>
  <c r="H15" i="97"/>
  <c r="I14" i="57" s="1"/>
  <c r="G15" i="116"/>
  <c r="H15" i="116" s="1"/>
  <c r="J14" i="57" s="1"/>
  <c r="G15" i="120"/>
  <c r="I15" i="120"/>
  <c r="G15" i="124"/>
  <c r="H15" i="124" s="1"/>
  <c r="G15" i="122"/>
  <c r="H15" i="122" s="1"/>
  <c r="M14" i="57" s="1"/>
  <c r="H16" i="97"/>
  <c r="I15" i="57" s="1"/>
  <c r="G16" i="116"/>
  <c r="H16" i="116" s="1"/>
  <c r="G16" i="120"/>
  <c r="J16" i="120" s="1"/>
  <c r="I16" i="120"/>
  <c r="G16" i="124"/>
  <c r="H16" i="124" s="1"/>
  <c r="K16" i="124" s="1"/>
  <c r="G16" i="122"/>
  <c r="H16" i="122" s="1"/>
  <c r="H17" i="97"/>
  <c r="I16" i="57" s="1"/>
  <c r="G17" i="116"/>
  <c r="H17" i="116" s="1"/>
  <c r="J16" i="57"/>
  <c r="G17" i="120"/>
  <c r="I17" i="120"/>
  <c r="G17" i="124"/>
  <c r="H17" i="124" s="1"/>
  <c r="L16" i="57" s="1"/>
  <c r="G17" i="122"/>
  <c r="H17" i="122" s="1"/>
  <c r="M16" i="57" s="1"/>
  <c r="H18" i="97"/>
  <c r="I17" i="57" s="1"/>
  <c r="G18" i="116"/>
  <c r="H18" i="116" s="1"/>
  <c r="J17" i="57" s="1"/>
  <c r="G18" i="120"/>
  <c r="I18" i="120"/>
  <c r="G18" i="124"/>
  <c r="H18" i="124" s="1"/>
  <c r="G18" i="122"/>
  <c r="H18" i="122" s="1"/>
  <c r="M17" i="57" s="1"/>
  <c r="H19" i="97"/>
  <c r="I18" i="57" s="1"/>
  <c r="G19" i="116"/>
  <c r="H19" i="116" s="1"/>
  <c r="G19" i="120"/>
  <c r="J19" i="120" s="1"/>
  <c r="K18" i="57" s="1"/>
  <c r="I19" i="120"/>
  <c r="G19" i="124"/>
  <c r="H19" i="124" s="1"/>
  <c r="L18" i="57" s="1"/>
  <c r="G19" i="122"/>
  <c r="H19" i="122" s="1"/>
  <c r="H20" i="97"/>
  <c r="I19" i="57" s="1"/>
  <c r="G20" i="116"/>
  <c r="H20" i="116" s="1"/>
  <c r="J19" i="57" s="1"/>
  <c r="G20" i="120"/>
  <c r="J20" i="120" s="1"/>
  <c r="I20" i="120"/>
  <c r="G20" i="124"/>
  <c r="H20" i="124" s="1"/>
  <c r="G20" i="122"/>
  <c r="H20" i="122" s="1"/>
  <c r="H21" i="97"/>
  <c r="I20" i="57" s="1"/>
  <c r="G21" i="116"/>
  <c r="H21" i="116" s="1"/>
  <c r="J20" i="57" s="1"/>
  <c r="G21" i="120"/>
  <c r="I21" i="120"/>
  <c r="G21" i="124"/>
  <c r="H21" i="124" s="1"/>
  <c r="G21" i="122"/>
  <c r="H21" i="122" s="1"/>
  <c r="M20" i="57" s="1"/>
  <c r="H22" i="97"/>
  <c r="I21" i="57" s="1"/>
  <c r="G22" i="116"/>
  <c r="H22" i="116" s="1"/>
  <c r="J21" i="57" s="1"/>
  <c r="G22" i="120"/>
  <c r="J22" i="120" s="1"/>
  <c r="I22" i="120"/>
  <c r="G22" i="124"/>
  <c r="H22" i="124" s="1"/>
  <c r="L21" i="57" s="1"/>
  <c r="G22" i="122"/>
  <c r="H22" i="122" s="1"/>
  <c r="H23" i="97"/>
  <c r="I22" i="57" s="1"/>
  <c r="G23" i="116"/>
  <c r="H23" i="116" s="1"/>
  <c r="J22" i="57" s="1"/>
  <c r="G23" i="120"/>
  <c r="I23" i="120"/>
  <c r="G23" i="124"/>
  <c r="H23" i="124" s="1"/>
  <c r="L22" i="57" s="1"/>
  <c r="G23" i="122"/>
  <c r="H23" i="122" s="1"/>
  <c r="M22" i="57" s="1"/>
  <c r="H24" i="97"/>
  <c r="I23" i="57" s="1"/>
  <c r="G24" i="116"/>
  <c r="H24" i="116"/>
  <c r="J23" i="57" s="1"/>
  <c r="G24" i="120"/>
  <c r="I24" i="120"/>
  <c r="J24" i="120" s="1"/>
  <c r="K23" i="57" s="1"/>
  <c r="G24" i="124"/>
  <c r="H24" i="124" s="1"/>
  <c r="L23" i="57" s="1"/>
  <c r="G24" i="122"/>
  <c r="H24" i="122" s="1"/>
  <c r="H25" i="97"/>
  <c r="G25" i="116"/>
  <c r="H25" i="116" s="1"/>
  <c r="G25" i="120"/>
  <c r="I25" i="120"/>
  <c r="G25" i="124"/>
  <c r="H25" i="124" s="1"/>
  <c r="G25" i="122"/>
  <c r="H25" i="122" s="1"/>
  <c r="M24" i="57"/>
  <c r="H26" i="97"/>
  <c r="I25" i="57" s="1"/>
  <c r="G26" i="116"/>
  <c r="H26" i="116" s="1"/>
  <c r="J25" i="57" s="1"/>
  <c r="G26" i="120"/>
  <c r="I26" i="120"/>
  <c r="G26" i="124"/>
  <c r="H26" i="124" s="1"/>
  <c r="L25" i="57" s="1"/>
  <c r="G26" i="122"/>
  <c r="H26" i="122" s="1"/>
  <c r="M25" i="57" s="1"/>
  <c r="H27" i="97"/>
  <c r="I26" i="57" s="1"/>
  <c r="G27" i="116"/>
  <c r="H27" i="116" s="1"/>
  <c r="J26" i="57" s="1"/>
  <c r="G27" i="120"/>
  <c r="I27" i="120"/>
  <c r="G27" i="124"/>
  <c r="H27" i="124" s="1"/>
  <c r="G27" i="122"/>
  <c r="H27" i="122" s="1"/>
  <c r="M26" i="57" s="1"/>
  <c r="H28" i="97"/>
  <c r="I27" i="57" s="1"/>
  <c r="G28" i="116"/>
  <c r="H28" i="116" s="1"/>
  <c r="J27" i="57" s="1"/>
  <c r="G28" i="120"/>
  <c r="I28" i="120"/>
  <c r="G28" i="124"/>
  <c r="H28" i="124"/>
  <c r="L27" i="57" s="1"/>
  <c r="G28" i="122"/>
  <c r="H28" i="122"/>
  <c r="M27" i="57" s="1"/>
  <c r="H29" i="97"/>
  <c r="I28" i="57" s="1"/>
  <c r="G29" i="116"/>
  <c r="H29" i="116" s="1"/>
  <c r="J28" i="57" s="1"/>
  <c r="G29" i="120"/>
  <c r="I29" i="120"/>
  <c r="G29" i="124"/>
  <c r="H29" i="124"/>
  <c r="L28" i="57" s="1"/>
  <c r="G29" i="122"/>
  <c r="H29" i="122" s="1"/>
  <c r="K29" i="122" s="1"/>
  <c r="H30" i="97"/>
  <c r="I29" i="57" s="1"/>
  <c r="G30" i="116"/>
  <c r="H30" i="116" s="1"/>
  <c r="J29" i="57" s="1"/>
  <c r="G30" i="120"/>
  <c r="I30" i="120"/>
  <c r="G30" i="124"/>
  <c r="H30" i="124" s="1"/>
  <c r="L29" i="57" s="1"/>
  <c r="G30" i="122"/>
  <c r="H30" i="122" s="1"/>
  <c r="M29" i="57"/>
  <c r="H31" i="97"/>
  <c r="I30" i="57"/>
  <c r="G31" i="116"/>
  <c r="H31" i="116"/>
  <c r="J30" i="57" s="1"/>
  <c r="G31" i="120"/>
  <c r="I31" i="120"/>
  <c r="J31" i="120" s="1"/>
  <c r="K30" i="57" s="1"/>
  <c r="G31" i="124"/>
  <c r="H31" i="124" s="1"/>
  <c r="L30" i="57" s="1"/>
  <c r="G31" i="122"/>
  <c r="H31" i="122" s="1"/>
  <c r="H32" i="97"/>
  <c r="I31" i="57" s="1"/>
  <c r="G32" i="116"/>
  <c r="H32" i="116" s="1"/>
  <c r="G32" i="120"/>
  <c r="I32" i="120"/>
  <c r="G32" i="124"/>
  <c r="H32" i="124" s="1"/>
  <c r="G32" i="122"/>
  <c r="H32" i="122" s="1"/>
  <c r="M31" i="57"/>
  <c r="H33" i="97"/>
  <c r="I32" i="57" s="1"/>
  <c r="G33" i="116"/>
  <c r="H33" i="116" s="1"/>
  <c r="J32" i="57" s="1"/>
  <c r="G33" i="120"/>
  <c r="I33" i="120"/>
  <c r="G33" i="124"/>
  <c r="H33" i="124" s="1"/>
  <c r="L32" i="57" s="1"/>
  <c r="G33" i="122"/>
  <c r="H33" i="122" s="1"/>
  <c r="M32" i="57" s="1"/>
  <c r="H34" i="97"/>
  <c r="I33" i="57" s="1"/>
  <c r="G34" i="116"/>
  <c r="H34" i="116" s="1"/>
  <c r="J33" i="57" s="1"/>
  <c r="G34" i="120"/>
  <c r="I34" i="120"/>
  <c r="G34" i="124"/>
  <c r="H34" i="124" s="1"/>
  <c r="G34" i="122"/>
  <c r="H34" i="122" s="1"/>
  <c r="H35" i="97"/>
  <c r="I34" i="57" s="1"/>
  <c r="G35" i="116"/>
  <c r="H35" i="116" s="1"/>
  <c r="J34" i="57" s="1"/>
  <c r="G35" i="120"/>
  <c r="I35" i="120"/>
  <c r="G35" i="124"/>
  <c r="H35" i="124" s="1"/>
  <c r="L34" i="57" s="1"/>
  <c r="G35" i="122"/>
  <c r="H35" i="122" s="1"/>
  <c r="H36" i="97"/>
  <c r="I35" i="57" s="1"/>
  <c r="G36" i="116"/>
  <c r="H36" i="116" s="1"/>
  <c r="J35" i="57" s="1"/>
  <c r="G36" i="120"/>
  <c r="I36" i="120"/>
  <c r="J36" i="120" s="1"/>
  <c r="K35" i="57" s="1"/>
  <c r="G36" i="124"/>
  <c r="H36" i="124" s="1"/>
  <c r="L35" i="57" s="1"/>
  <c r="G36" i="122"/>
  <c r="H36" i="122" s="1"/>
  <c r="M35" i="57" s="1"/>
  <c r="H37" i="97"/>
  <c r="I36" i="57" s="1"/>
  <c r="G37" i="116"/>
  <c r="H37" i="116" s="1"/>
  <c r="G37" i="120"/>
  <c r="I37" i="120"/>
  <c r="G37" i="124"/>
  <c r="H37" i="124" s="1"/>
  <c r="L36" i="57"/>
  <c r="G37" i="122"/>
  <c r="H37" i="122"/>
  <c r="M36" i="57" s="1"/>
  <c r="H38" i="97"/>
  <c r="I37" i="57" s="1"/>
  <c r="G38" i="116"/>
  <c r="H38" i="116" s="1"/>
  <c r="J37" i="57" s="1"/>
  <c r="G38" i="120"/>
  <c r="I38" i="120"/>
  <c r="G38" i="124"/>
  <c r="H38" i="124" s="1"/>
  <c r="L37" i="57" s="1"/>
  <c r="G38" i="122"/>
  <c r="H38" i="122" s="1"/>
  <c r="M37" i="57" s="1"/>
  <c r="H39" i="97"/>
  <c r="I38" i="57" s="1"/>
  <c r="G39" i="116"/>
  <c r="H39" i="116" s="1"/>
  <c r="J38" i="57" s="1"/>
  <c r="G39" i="120"/>
  <c r="I39" i="120"/>
  <c r="G39" i="124"/>
  <c r="H39" i="124" s="1"/>
  <c r="L38" i="57" s="1"/>
  <c r="G39" i="122"/>
  <c r="H39" i="122" s="1"/>
  <c r="M38" i="57" s="1"/>
  <c r="H40" i="97"/>
  <c r="I39" i="57" s="1"/>
  <c r="G40" i="116"/>
  <c r="H40" i="116" s="1"/>
  <c r="J39" i="57" s="1"/>
  <c r="G40" i="120"/>
  <c r="I40" i="120"/>
  <c r="G40" i="124"/>
  <c r="H40" i="124"/>
  <c r="L39" i="57" s="1"/>
  <c r="G40" i="122"/>
  <c r="H40" i="122" s="1"/>
  <c r="M39" i="57" s="1"/>
  <c r="H41" i="97"/>
  <c r="I40" i="57" s="1"/>
  <c r="G41" i="116"/>
  <c r="H41" i="116" s="1"/>
  <c r="J40" i="57" s="1"/>
  <c r="G41" i="120"/>
  <c r="I41" i="120"/>
  <c r="G41" i="124"/>
  <c r="H41" i="124" s="1"/>
  <c r="G41" i="122"/>
  <c r="H41" i="122" s="1"/>
  <c r="M40" i="57" s="1"/>
  <c r="H42" i="97"/>
  <c r="I41" i="57" s="1"/>
  <c r="G42" i="116"/>
  <c r="H42" i="116"/>
  <c r="J41" i="57" s="1"/>
  <c r="G42" i="120"/>
  <c r="I42" i="120"/>
  <c r="J42" i="120" s="1"/>
  <c r="G42" i="124"/>
  <c r="H42" i="124" s="1"/>
  <c r="L41" i="57" s="1"/>
  <c r="G42" i="122"/>
  <c r="H42" i="122" s="1"/>
  <c r="H43" i="97"/>
  <c r="I42" i="57" s="1"/>
  <c r="G43" i="116"/>
  <c r="H43" i="116" s="1"/>
  <c r="J42" i="57" s="1"/>
  <c r="G43" i="120"/>
  <c r="I43" i="120"/>
  <c r="G43" i="124"/>
  <c r="H43" i="124" s="1"/>
  <c r="G43" i="122"/>
  <c r="H43" i="122" s="1"/>
  <c r="M42" i="57" s="1"/>
  <c r="H44" i="97"/>
  <c r="I43" i="57" s="1"/>
  <c r="G44" i="116"/>
  <c r="H44" i="116" s="1"/>
  <c r="J43" i="57" s="1"/>
  <c r="G44" i="120"/>
  <c r="J44" i="120" s="1"/>
  <c r="K43" i="57" s="1"/>
  <c r="I44" i="120"/>
  <c r="G44" i="124"/>
  <c r="H44" i="124" s="1"/>
  <c r="L43" i="57" s="1"/>
  <c r="G44" i="122"/>
  <c r="H44" i="122"/>
  <c r="M43" i="57" s="1"/>
  <c r="H45" i="97"/>
  <c r="I44" i="57" s="1"/>
  <c r="G45" i="116"/>
  <c r="H45" i="116" s="1"/>
  <c r="J44" i="57" s="1"/>
  <c r="G45" i="120"/>
  <c r="I45" i="120"/>
  <c r="G45" i="124"/>
  <c r="H45" i="124"/>
  <c r="L44" i="57" s="1"/>
  <c r="G45" i="122"/>
  <c r="H45" i="122" s="1"/>
  <c r="M44" i="57"/>
  <c r="H46" i="97"/>
  <c r="I45" i="57" s="1"/>
  <c r="G46" i="116"/>
  <c r="H46" i="116" s="1"/>
  <c r="J45" i="57" s="1"/>
  <c r="G46" i="120"/>
  <c r="I46" i="120"/>
  <c r="G46" i="124"/>
  <c r="H46" i="124" s="1"/>
  <c r="L45" i="57"/>
  <c r="G46" i="122"/>
  <c r="H46" i="122"/>
  <c r="M45" i="57" s="1"/>
  <c r="H47" i="97"/>
  <c r="I46" i="57" s="1"/>
  <c r="G47" i="116"/>
  <c r="H47" i="116" s="1"/>
  <c r="J46" i="57" s="1"/>
  <c r="G47" i="120"/>
  <c r="I47" i="120"/>
  <c r="J47" i="120" s="1"/>
  <c r="K46" i="57" s="1"/>
  <c r="G47" i="124"/>
  <c r="H47" i="124" s="1"/>
  <c r="G47" i="122"/>
  <c r="H47" i="122" s="1"/>
  <c r="M46" i="57" s="1"/>
  <c r="H48" i="97"/>
  <c r="I47" i="57" s="1"/>
  <c r="G48" i="116"/>
  <c r="H48" i="116" s="1"/>
  <c r="G48" i="120"/>
  <c r="I48" i="120"/>
  <c r="G48" i="124"/>
  <c r="H48" i="124" s="1"/>
  <c r="L47" i="57" s="1"/>
  <c r="G48" i="122"/>
  <c r="H48" i="122" s="1"/>
  <c r="H49" i="97"/>
  <c r="I48" i="57" s="1"/>
  <c r="G49" i="116"/>
  <c r="H49" i="116" s="1"/>
  <c r="J48" i="57" s="1"/>
  <c r="G49" i="120"/>
  <c r="I49" i="120"/>
  <c r="G49" i="124"/>
  <c r="H49" i="124" s="1"/>
  <c r="G49" i="122"/>
  <c r="H49" i="122" s="1"/>
  <c r="M48" i="57" s="1"/>
  <c r="H14" i="98"/>
  <c r="I51" i="57" s="1"/>
  <c r="G14" i="121"/>
  <c r="H14" i="121" s="1"/>
  <c r="G14" i="123"/>
  <c r="H14" i="123" s="1"/>
  <c r="H15" i="98"/>
  <c r="I52" i="57" s="1"/>
  <c r="G15" i="121"/>
  <c r="H15" i="121" s="1"/>
  <c r="G15" i="123"/>
  <c r="H15" i="123" s="1"/>
  <c r="H16" i="98"/>
  <c r="I53" i="57" s="1"/>
  <c r="G16" i="121"/>
  <c r="H16" i="121" s="1"/>
  <c r="K53" i="57" s="1"/>
  <c r="G16" i="123"/>
  <c r="H16" i="123" s="1"/>
  <c r="H17" i="98"/>
  <c r="I54" i="57" s="1"/>
  <c r="G17" i="121"/>
  <c r="H17" i="121" s="1"/>
  <c r="G17" i="123"/>
  <c r="H17" i="123" s="1"/>
  <c r="H18" i="98"/>
  <c r="I55" i="57" s="1"/>
  <c r="G18" i="121"/>
  <c r="H18" i="121" s="1"/>
  <c r="G18" i="123"/>
  <c r="H18" i="123" s="1"/>
  <c r="H19" i="98"/>
  <c r="I56" i="57" s="1"/>
  <c r="G19" i="121"/>
  <c r="H19" i="121" s="1"/>
  <c r="G19" i="123"/>
  <c r="H19" i="123" s="1"/>
  <c r="H20" i="98"/>
  <c r="I57" i="57" s="1"/>
  <c r="G20" i="121"/>
  <c r="H20" i="121" s="1"/>
  <c r="G20" i="123"/>
  <c r="H20" i="123" s="1"/>
  <c r="H21" i="98"/>
  <c r="I58" i="57" s="1"/>
  <c r="G21" i="121"/>
  <c r="H21" i="121" s="1"/>
  <c r="K58" i="57" s="1"/>
  <c r="G21" i="123"/>
  <c r="H21" i="123" s="1"/>
  <c r="H22" i="98"/>
  <c r="I59" i="57" s="1"/>
  <c r="G22" i="121"/>
  <c r="H22" i="121" s="1"/>
  <c r="K59" i="57" s="1"/>
  <c r="G22" i="123"/>
  <c r="H22" i="123" s="1"/>
  <c r="H23" i="98"/>
  <c r="I60" i="57" s="1"/>
  <c r="G23" i="121"/>
  <c r="H23" i="121" s="1"/>
  <c r="G23" i="123"/>
  <c r="H23" i="123" s="1"/>
  <c r="H24" i="98"/>
  <c r="I61" i="57" s="1"/>
  <c r="G24" i="121"/>
  <c r="H24" i="121" s="1"/>
  <c r="G24" i="123"/>
  <c r="H24" i="123" s="1"/>
  <c r="H25" i="98"/>
  <c r="I62" i="57" s="1"/>
  <c r="G25" i="121"/>
  <c r="H25" i="121" s="1"/>
  <c r="G25" i="123"/>
  <c r="H25" i="123" s="1"/>
  <c r="H26" i="98"/>
  <c r="I63" i="57" s="1"/>
  <c r="G26" i="121"/>
  <c r="H26" i="121" s="1"/>
  <c r="G26" i="123"/>
  <c r="H26" i="123" s="1"/>
  <c r="H27" i="98"/>
  <c r="I64" i="57" s="1"/>
  <c r="G27" i="121"/>
  <c r="H27" i="121" s="1"/>
  <c r="G27" i="123"/>
  <c r="H27" i="123" s="1"/>
  <c r="H28" i="98"/>
  <c r="I65" i="57" s="1"/>
  <c r="G28" i="121"/>
  <c r="H28" i="121" s="1"/>
  <c r="G28" i="123"/>
  <c r="H28" i="123" s="1"/>
  <c r="H14" i="99"/>
  <c r="I68" i="57" s="1"/>
  <c r="G14" i="119"/>
  <c r="H14" i="119" s="1"/>
  <c r="G14" i="130"/>
  <c r="H14" i="130" s="1"/>
  <c r="H15" i="99"/>
  <c r="I69" i="57" s="1"/>
  <c r="G15" i="119"/>
  <c r="H15" i="119" s="1"/>
  <c r="G15" i="130"/>
  <c r="H15" i="130" s="1"/>
  <c r="H16" i="99"/>
  <c r="I70" i="57" s="1"/>
  <c r="G16" i="119"/>
  <c r="H16" i="119" s="1"/>
  <c r="G16" i="130"/>
  <c r="H16" i="130" s="1"/>
  <c r="M70" i="57" s="1"/>
  <c r="H17" i="99"/>
  <c r="I71" i="57" s="1"/>
  <c r="G17" i="119"/>
  <c r="H17" i="119" s="1"/>
  <c r="J71" i="57" s="1"/>
  <c r="G17" i="130"/>
  <c r="H17" i="130" s="1"/>
  <c r="M71" i="57" s="1"/>
  <c r="H18" i="99"/>
  <c r="I72" i="57" s="1"/>
  <c r="G18" i="119"/>
  <c r="H18" i="119" s="1"/>
  <c r="G18" i="130"/>
  <c r="H18" i="130" s="1"/>
  <c r="J18" i="130" s="1"/>
  <c r="H19" i="99"/>
  <c r="I73" i="57" s="1"/>
  <c r="G19" i="119"/>
  <c r="H19" i="119" s="1"/>
  <c r="G19" i="130"/>
  <c r="H19" i="130" s="1"/>
  <c r="H20" i="99"/>
  <c r="I74" i="57" s="1"/>
  <c r="G20" i="119"/>
  <c r="H20" i="119" s="1"/>
  <c r="G20" i="130"/>
  <c r="H20" i="130" s="1"/>
  <c r="M74" i="57" s="1"/>
  <c r="H21" i="99"/>
  <c r="I75" i="57" s="1"/>
  <c r="G21" i="119"/>
  <c r="H21" i="119" s="1"/>
  <c r="J75" i="57" s="1"/>
  <c r="G21" i="130"/>
  <c r="H21" i="130" s="1"/>
  <c r="J21" i="130" s="1"/>
  <c r="H22" i="99"/>
  <c r="I76" i="57" s="1"/>
  <c r="G22" i="119"/>
  <c r="H22" i="119" s="1"/>
  <c r="G22" i="130"/>
  <c r="H22" i="130" s="1"/>
  <c r="M76" i="57" s="1"/>
  <c r="H23" i="99"/>
  <c r="I77" i="57" s="1"/>
  <c r="G23" i="119"/>
  <c r="H23" i="119" s="1"/>
  <c r="G23" i="130"/>
  <c r="H23" i="130" s="1"/>
  <c r="H24" i="99"/>
  <c r="I78" i="57" s="1"/>
  <c r="G24" i="119"/>
  <c r="H24" i="119" s="1"/>
  <c r="G24" i="130"/>
  <c r="H24" i="130" s="1"/>
  <c r="M78" i="57" s="1"/>
  <c r="H25" i="99"/>
  <c r="I79" i="57" s="1"/>
  <c r="G25" i="119"/>
  <c r="H25" i="119" s="1"/>
  <c r="J79" i="57" s="1"/>
  <c r="G25" i="130"/>
  <c r="H25" i="130" s="1"/>
  <c r="M79" i="57" s="1"/>
  <c r="H26" i="99"/>
  <c r="I80" i="57" s="1"/>
  <c r="G26" i="119"/>
  <c r="H26" i="119" s="1"/>
  <c r="G26" i="130"/>
  <c r="H26" i="130" s="1"/>
  <c r="H27" i="99"/>
  <c r="I81" i="57" s="1"/>
  <c r="G27" i="119"/>
  <c r="H27" i="119" s="1"/>
  <c r="G27" i="130"/>
  <c r="H27" i="130" s="1"/>
  <c r="J27" i="130" s="1"/>
  <c r="H28" i="99"/>
  <c r="I82" i="57" s="1"/>
  <c r="G28" i="119"/>
  <c r="H28" i="119" s="1"/>
  <c r="K28" i="119" s="1"/>
  <c r="G28" i="130"/>
  <c r="H28" i="130" s="1"/>
  <c r="M82" i="57" s="1"/>
  <c r="H29" i="99"/>
  <c r="I83" i="57" s="1"/>
  <c r="G29" i="119"/>
  <c r="H29" i="119" s="1"/>
  <c r="G29" i="130"/>
  <c r="H29" i="130" s="1"/>
  <c r="M83" i="57" s="1"/>
  <c r="G30" i="130"/>
  <c r="H30" i="130" s="1"/>
  <c r="M84" i="57" s="1"/>
  <c r="J32" i="110" s="1"/>
  <c r="G16" i="86"/>
  <c r="D31" i="141" s="1"/>
  <c r="E11" i="105"/>
  <c r="E10" i="3"/>
  <c r="C17" i="91"/>
  <c r="I9" i="125"/>
  <c r="I74" i="114"/>
  <c r="I75" i="114"/>
  <c r="I76" i="114"/>
  <c r="I77" i="114"/>
  <c r="I78" i="114"/>
  <c r="I79" i="114"/>
  <c r="I80" i="114"/>
  <c r="I81" i="114"/>
  <c r="I82" i="114"/>
  <c r="I73" i="114"/>
  <c r="I69" i="114"/>
  <c r="I70" i="114"/>
  <c r="I71" i="114"/>
  <c r="I72" i="114"/>
  <c r="I68" i="114"/>
  <c r="D18" i="133"/>
  <c r="D55" i="133"/>
  <c r="E55" i="133" s="1"/>
  <c r="F55" i="133" s="1"/>
  <c r="D74" i="133"/>
  <c r="E74" i="133" s="1"/>
  <c r="F74" i="133" s="1"/>
  <c r="D78" i="133"/>
  <c r="E78" i="133" s="1"/>
  <c r="F78" i="133" s="1"/>
  <c r="B65" i="133"/>
  <c r="H65" i="133" s="1"/>
  <c r="B66" i="133"/>
  <c r="H66" i="133" s="1"/>
  <c r="B67" i="133"/>
  <c r="H67" i="133" s="1"/>
  <c r="B68" i="133"/>
  <c r="H68" i="133" s="1"/>
  <c r="B69" i="133"/>
  <c r="H69" i="133" s="1"/>
  <c r="B70" i="133"/>
  <c r="H70" i="133" s="1"/>
  <c r="B71" i="133"/>
  <c r="H71" i="133" s="1"/>
  <c r="B72" i="133"/>
  <c r="H72" i="133" s="1"/>
  <c r="B73" i="133"/>
  <c r="H73" i="133" s="1"/>
  <c r="B74" i="133"/>
  <c r="H74" i="133" s="1"/>
  <c r="B75" i="133"/>
  <c r="H75" i="133" s="1"/>
  <c r="B76" i="133"/>
  <c r="H76" i="133" s="1"/>
  <c r="B77" i="133"/>
  <c r="H77" i="133" s="1"/>
  <c r="B78" i="133"/>
  <c r="B64" i="133"/>
  <c r="H64" i="133" s="1"/>
  <c r="B49" i="133"/>
  <c r="H49" i="133" s="1"/>
  <c r="B50" i="133"/>
  <c r="H50" i="133" s="1"/>
  <c r="B51" i="133"/>
  <c r="H51" i="133" s="1"/>
  <c r="B52" i="133"/>
  <c r="H52" i="133" s="1"/>
  <c r="B53" i="133"/>
  <c r="H53" i="133" s="1"/>
  <c r="B54" i="133"/>
  <c r="H54" i="133" s="1"/>
  <c r="B55" i="133"/>
  <c r="H55" i="133" s="1"/>
  <c r="B56" i="133"/>
  <c r="H56" i="133" s="1"/>
  <c r="B57" i="133"/>
  <c r="H57" i="133" s="1"/>
  <c r="B58" i="133"/>
  <c r="H58" i="133" s="1"/>
  <c r="B59" i="133"/>
  <c r="H59" i="133" s="1"/>
  <c r="B60" i="133"/>
  <c r="H60" i="133" s="1"/>
  <c r="B61" i="133"/>
  <c r="H61" i="133" s="1"/>
  <c r="B62" i="133"/>
  <c r="H62" i="133" s="1"/>
  <c r="B48" i="133"/>
  <c r="H48" i="133" s="1"/>
  <c r="B12" i="133"/>
  <c r="H12" i="133" s="1"/>
  <c r="B13" i="133"/>
  <c r="H13" i="133" s="1"/>
  <c r="B14" i="133"/>
  <c r="H14" i="133" s="1"/>
  <c r="B15" i="133"/>
  <c r="H15" i="133" s="1"/>
  <c r="B16" i="133"/>
  <c r="H16" i="133" s="1"/>
  <c r="B17" i="133"/>
  <c r="H17" i="133" s="1"/>
  <c r="B18" i="133"/>
  <c r="H18" i="133" s="1"/>
  <c r="B19" i="133"/>
  <c r="H19" i="133" s="1"/>
  <c r="B20" i="133"/>
  <c r="H20" i="133" s="1"/>
  <c r="B21" i="133"/>
  <c r="H21" i="133" s="1"/>
  <c r="B22" i="133"/>
  <c r="H22" i="133" s="1"/>
  <c r="B23" i="133"/>
  <c r="H23" i="133" s="1"/>
  <c r="B24" i="133"/>
  <c r="H24" i="133" s="1"/>
  <c r="B25" i="133"/>
  <c r="H25" i="133" s="1"/>
  <c r="B26" i="133"/>
  <c r="H26" i="133" s="1"/>
  <c r="B27" i="133"/>
  <c r="H27" i="133" s="1"/>
  <c r="B28" i="133"/>
  <c r="H28" i="133" s="1"/>
  <c r="B29" i="133"/>
  <c r="H29" i="133" s="1"/>
  <c r="B30" i="133"/>
  <c r="H30" i="133" s="1"/>
  <c r="B31" i="133"/>
  <c r="H31" i="133" s="1"/>
  <c r="B32" i="133"/>
  <c r="H32" i="133" s="1"/>
  <c r="B33" i="133"/>
  <c r="H33" i="133" s="1"/>
  <c r="B34" i="133"/>
  <c r="H34" i="133" s="1"/>
  <c r="B35" i="133"/>
  <c r="H35" i="133" s="1"/>
  <c r="B36" i="133"/>
  <c r="H36" i="133" s="1"/>
  <c r="B37" i="133"/>
  <c r="H37" i="133" s="1"/>
  <c r="B38" i="133"/>
  <c r="H38" i="133" s="1"/>
  <c r="B39" i="133"/>
  <c r="H39" i="133" s="1"/>
  <c r="B40" i="133"/>
  <c r="H40" i="133" s="1"/>
  <c r="B41" i="133"/>
  <c r="H41" i="133" s="1"/>
  <c r="B42" i="133"/>
  <c r="H42" i="133" s="1"/>
  <c r="B43" i="133"/>
  <c r="H43" i="133" s="1"/>
  <c r="B44" i="133"/>
  <c r="H44" i="133" s="1"/>
  <c r="B45" i="133"/>
  <c r="H45" i="133" s="1"/>
  <c r="B46" i="133"/>
  <c r="H46" i="133" s="1"/>
  <c r="B11" i="133"/>
  <c r="H11" i="133" s="1"/>
  <c r="N9" i="133"/>
  <c r="D29" i="131"/>
  <c r="O29" i="131" s="1"/>
  <c r="D26" i="131"/>
  <c r="O26" i="131" s="1"/>
  <c r="O59" i="132"/>
  <c r="O58" i="132"/>
  <c r="O57" i="132" s="1"/>
  <c r="V56" i="132"/>
  <c r="M56" i="132"/>
  <c r="D56" i="132"/>
  <c r="H55" i="132"/>
  <c r="F55" i="132"/>
  <c r="M55" i="132" s="1"/>
  <c r="X27" i="132" s="1"/>
  <c r="V54" i="132"/>
  <c r="M54" i="132"/>
  <c r="O54" i="132" s="1"/>
  <c r="V53" i="132"/>
  <c r="V52" i="132"/>
  <c r="O51" i="132"/>
  <c r="V50" i="132"/>
  <c r="F50" i="132"/>
  <c r="V49" i="132"/>
  <c r="L49" i="132"/>
  <c r="J49" i="132"/>
  <c r="H49" i="132"/>
  <c r="F49" i="132"/>
  <c r="V48" i="132"/>
  <c r="L48" i="132"/>
  <c r="J48" i="132"/>
  <c r="H48" i="132"/>
  <c r="F48" i="132"/>
  <c r="V47" i="132"/>
  <c r="M43" i="132"/>
  <c r="U25" i="132" s="1"/>
  <c r="U28" i="132" s="1"/>
  <c r="O43" i="132"/>
  <c r="O42" i="132"/>
  <c r="S41" i="132"/>
  <c r="S40" i="132"/>
  <c r="F39" i="132"/>
  <c r="M39" i="132" s="1"/>
  <c r="O39" i="132" s="1"/>
  <c r="H39" i="132"/>
  <c r="S38" i="132"/>
  <c r="O38" i="132"/>
  <c r="O37" i="132"/>
  <c r="O36" i="132"/>
  <c r="F34" i="132"/>
  <c r="M34" i="132" s="1"/>
  <c r="O34" i="132" s="1"/>
  <c r="O31" i="132"/>
  <c r="O30" i="132"/>
  <c r="D29" i="132"/>
  <c r="O29" i="132" s="1"/>
  <c r="J27" i="132"/>
  <c r="H27" i="132"/>
  <c r="F27" i="132"/>
  <c r="M26" i="132"/>
  <c r="M25" i="132"/>
  <c r="T25" i="132" s="1"/>
  <c r="O24" i="132"/>
  <c r="O20" i="132"/>
  <c r="O19" i="132"/>
  <c r="O18" i="132"/>
  <c r="O17" i="132"/>
  <c r="O16" i="132"/>
  <c r="O35" i="131"/>
  <c r="O34" i="131"/>
  <c r="O33" i="131" s="1"/>
  <c r="S16" i="131" s="1"/>
  <c r="M32" i="131"/>
  <c r="D32" i="131"/>
  <c r="O30" i="131"/>
  <c r="O27" i="131"/>
  <c r="D25" i="131"/>
  <c r="O25" i="131" s="1"/>
  <c r="O23" i="131"/>
  <c r="O53" i="132"/>
  <c r="U13" i="131"/>
  <c r="U14" i="131" s="1"/>
  <c r="AE11" i="113"/>
  <c r="AD11" i="113"/>
  <c r="AG12" i="105"/>
  <c r="AG13" i="105"/>
  <c r="F30" i="99"/>
  <c r="B14" i="130"/>
  <c r="B15" i="130"/>
  <c r="B16" i="130"/>
  <c r="B17" i="130"/>
  <c r="B18" i="130"/>
  <c r="B19" i="130"/>
  <c r="B20" i="130"/>
  <c r="B21" i="130"/>
  <c r="B22" i="130"/>
  <c r="B23" i="130"/>
  <c r="B24" i="130"/>
  <c r="B25" i="130"/>
  <c r="B26" i="130"/>
  <c r="B27" i="130"/>
  <c r="B28" i="130"/>
  <c r="B29" i="130"/>
  <c r="J20" i="130"/>
  <c r="J28" i="130"/>
  <c r="F31" i="130"/>
  <c r="X12" i="113"/>
  <c r="M12" i="113"/>
  <c r="N12" i="113"/>
  <c r="P12" i="113"/>
  <c r="U12" i="113"/>
  <c r="Z12" i="113"/>
  <c r="AA12" i="113"/>
  <c r="AC12" i="113"/>
  <c r="Y13" i="113"/>
  <c r="J13" i="113"/>
  <c r="H11" i="113"/>
  <c r="I11" i="113"/>
  <c r="H34" i="71"/>
  <c r="G34" i="71"/>
  <c r="G33" i="71" s="1"/>
  <c r="G13" i="77"/>
  <c r="G14" i="77" s="1"/>
  <c r="AD12" i="105"/>
  <c r="AD11" i="105"/>
  <c r="L75" i="58"/>
  <c r="C12" i="105"/>
  <c r="D12" i="105"/>
  <c r="E12" i="105"/>
  <c r="G12" i="105"/>
  <c r="I12" i="105"/>
  <c r="K12" i="105"/>
  <c r="L12" i="105"/>
  <c r="M12" i="105"/>
  <c r="O12" i="105"/>
  <c r="Q12" i="105"/>
  <c r="S12" i="105"/>
  <c r="T12" i="105"/>
  <c r="U12" i="105"/>
  <c r="W12" i="105"/>
  <c r="X12" i="105"/>
  <c r="Y12" i="105"/>
  <c r="Z12" i="105"/>
  <c r="O54" i="129"/>
  <c r="O53" i="129" s="1"/>
  <c r="M52" i="129"/>
  <c r="D52" i="129"/>
  <c r="O51" i="129"/>
  <c r="D50" i="129"/>
  <c r="O50" i="129"/>
  <c r="D49" i="129"/>
  <c r="O49" i="129"/>
  <c r="AB14" i="129" s="1"/>
  <c r="AB15" i="129" s="1"/>
  <c r="M48" i="129"/>
  <c r="D48" i="129"/>
  <c r="O48" i="129" s="1"/>
  <c r="M45" i="129"/>
  <c r="O45" i="129" s="1"/>
  <c r="T14" i="129" s="1"/>
  <c r="T15" i="129" s="1"/>
  <c r="O44" i="129"/>
  <c r="M42" i="129"/>
  <c r="V13" i="129" s="1"/>
  <c r="M40" i="129"/>
  <c r="O40" i="129" s="1"/>
  <c r="D40" i="129"/>
  <c r="M39" i="129"/>
  <c r="S13" i="129" s="1"/>
  <c r="D39" i="129"/>
  <c r="M38" i="129"/>
  <c r="O38" i="129" s="1"/>
  <c r="O25" i="129"/>
  <c r="M37" i="129"/>
  <c r="D37" i="129"/>
  <c r="D36" i="129"/>
  <c r="O36" i="129" s="1"/>
  <c r="D35" i="129"/>
  <c r="O35" i="129" s="1"/>
  <c r="D34" i="129"/>
  <c r="O34" i="129" s="1"/>
  <c r="AD14" i="129" s="1"/>
  <c r="AD15" i="129" s="1"/>
  <c r="M33" i="129"/>
  <c r="M23" i="129"/>
  <c r="O23" i="129" s="1"/>
  <c r="D33" i="129"/>
  <c r="M30" i="129"/>
  <c r="O30" i="129" s="1"/>
  <c r="M29" i="129"/>
  <c r="O29" i="129" s="1"/>
  <c r="M26" i="129"/>
  <c r="D26" i="129"/>
  <c r="D24" i="129"/>
  <c r="O24" i="129" s="1"/>
  <c r="D23" i="129"/>
  <c r="AA15" i="129"/>
  <c r="AD13" i="129"/>
  <c r="AB13" i="129"/>
  <c r="Z13" i="129"/>
  <c r="X13" i="129"/>
  <c r="G15" i="128"/>
  <c r="G16" i="128"/>
  <c r="H16" i="128" s="1"/>
  <c r="J16" i="128" s="1"/>
  <c r="G17" i="128"/>
  <c r="H17" i="128" s="1"/>
  <c r="G18" i="128"/>
  <c r="H18" i="128" s="1"/>
  <c r="J18" i="128" s="1"/>
  <c r="G19" i="128"/>
  <c r="G20" i="128"/>
  <c r="G21" i="128"/>
  <c r="H21" i="128" s="1"/>
  <c r="G22" i="128"/>
  <c r="H22" i="128" s="1"/>
  <c r="J22" i="128" s="1"/>
  <c r="G23" i="128"/>
  <c r="G24" i="128"/>
  <c r="H24" i="128" s="1"/>
  <c r="J24" i="128" s="1"/>
  <c r="G25" i="128"/>
  <c r="H25" i="128" s="1"/>
  <c r="G26" i="128"/>
  <c r="H26" i="128" s="1"/>
  <c r="J26" i="128" s="1"/>
  <c r="G27" i="128"/>
  <c r="G28" i="128"/>
  <c r="H28" i="128" s="1"/>
  <c r="J28" i="128" s="1"/>
  <c r="G29" i="128"/>
  <c r="G30" i="128"/>
  <c r="H30" i="128" s="1"/>
  <c r="J30" i="128" s="1"/>
  <c r="G14" i="128"/>
  <c r="H14" i="128" s="1"/>
  <c r="G29" i="123"/>
  <c r="H29" i="123" s="1"/>
  <c r="J29" i="123" s="1"/>
  <c r="G50" i="122"/>
  <c r="H50" i="122" s="1"/>
  <c r="K50" i="122" s="1"/>
  <c r="B15" i="128"/>
  <c r="B16" i="128"/>
  <c r="B17" i="128"/>
  <c r="B18" i="128"/>
  <c r="B19" i="128"/>
  <c r="B20" i="128"/>
  <c r="B21" i="128"/>
  <c r="B22" i="128"/>
  <c r="B23" i="128"/>
  <c r="B24" i="128"/>
  <c r="B25" i="128"/>
  <c r="B26" i="128"/>
  <c r="B27" i="128"/>
  <c r="B28" i="128"/>
  <c r="B29" i="128"/>
  <c r="B14" i="128"/>
  <c r="F31" i="128"/>
  <c r="H27" i="128"/>
  <c r="J27" i="128" s="1"/>
  <c r="J25" i="128"/>
  <c r="H23" i="128"/>
  <c r="J23" i="128"/>
  <c r="J21" i="128"/>
  <c r="H20" i="128"/>
  <c r="J20" i="128" s="1"/>
  <c r="H19" i="128"/>
  <c r="J19" i="128"/>
  <c r="J17" i="128"/>
  <c r="H15" i="128"/>
  <c r="J15" i="128" s="1"/>
  <c r="G29" i="121"/>
  <c r="H29" i="121" s="1"/>
  <c r="J29" i="121" s="1"/>
  <c r="G50" i="120"/>
  <c r="I50" i="120"/>
  <c r="D13" i="105"/>
  <c r="F13" i="105"/>
  <c r="G13" i="105"/>
  <c r="H13" i="105"/>
  <c r="I13" i="105"/>
  <c r="J13" i="105"/>
  <c r="K13" i="105"/>
  <c r="L13" i="105"/>
  <c r="M13" i="105"/>
  <c r="N13" i="105"/>
  <c r="O13" i="105"/>
  <c r="Q13" i="105"/>
  <c r="R13" i="105"/>
  <c r="S13" i="105"/>
  <c r="T13" i="105"/>
  <c r="U13" i="105"/>
  <c r="V13" i="105"/>
  <c r="W13" i="105"/>
  <c r="X13" i="105"/>
  <c r="X11" i="105"/>
  <c r="Y13" i="105"/>
  <c r="Z13" i="105"/>
  <c r="AA13" i="105"/>
  <c r="AA12" i="105"/>
  <c r="AB11" i="105"/>
  <c r="AE13" i="105"/>
  <c r="AE11" i="105"/>
  <c r="AE12" i="105"/>
  <c r="E13" i="113"/>
  <c r="F13" i="113"/>
  <c r="I13" i="113"/>
  <c r="K13" i="113"/>
  <c r="N13" i="113"/>
  <c r="O13" i="113"/>
  <c r="R13" i="113"/>
  <c r="S13" i="113"/>
  <c r="T13" i="113"/>
  <c r="U13" i="113"/>
  <c r="V13" i="113"/>
  <c r="Z13" i="113"/>
  <c r="AA13" i="113"/>
  <c r="AB13" i="113"/>
  <c r="AF12" i="113"/>
  <c r="AG13" i="113"/>
  <c r="D11" i="113"/>
  <c r="E11" i="113"/>
  <c r="G11" i="113"/>
  <c r="K11" i="113"/>
  <c r="L11" i="113"/>
  <c r="O11" i="113"/>
  <c r="P11" i="113"/>
  <c r="Q11" i="113"/>
  <c r="R11" i="113"/>
  <c r="S11" i="113"/>
  <c r="U11" i="113"/>
  <c r="W11" i="113"/>
  <c r="Z11" i="113"/>
  <c r="AB11" i="113"/>
  <c r="AC11" i="113"/>
  <c r="AG11" i="113"/>
  <c r="E12" i="113"/>
  <c r="H12" i="113"/>
  <c r="I12" i="113"/>
  <c r="I345" i="125"/>
  <c r="D345" i="125"/>
  <c r="D265" i="125"/>
  <c r="I255" i="125"/>
  <c r="D255" i="125"/>
  <c r="I245" i="125"/>
  <c r="D245" i="125"/>
  <c r="I235" i="125"/>
  <c r="D235" i="125"/>
  <c r="I225" i="125"/>
  <c r="D225" i="125"/>
  <c r="I215" i="125"/>
  <c r="D215" i="125"/>
  <c r="I205" i="125"/>
  <c r="D205" i="125"/>
  <c r="I195" i="125"/>
  <c r="D195" i="125"/>
  <c r="O47" i="127"/>
  <c r="O46" i="127" s="1"/>
  <c r="M45" i="127"/>
  <c r="D45" i="127"/>
  <c r="M44" i="127"/>
  <c r="O44" i="127" s="1"/>
  <c r="M42" i="127"/>
  <c r="Q42" i="127" s="1"/>
  <c r="M39" i="127"/>
  <c r="Q39" i="127" s="1"/>
  <c r="O38" i="127"/>
  <c r="D37" i="127"/>
  <c r="O37" i="127" s="1"/>
  <c r="Q32" i="127"/>
  <c r="M31" i="127"/>
  <c r="O30" i="127"/>
  <c r="M29" i="127"/>
  <c r="D29" i="127"/>
  <c r="O29" i="127" s="1"/>
  <c r="D28" i="127"/>
  <c r="O28" i="127" s="1"/>
  <c r="O27" i="127"/>
  <c r="M24" i="127"/>
  <c r="Q24" i="127" s="1"/>
  <c r="O23" i="127"/>
  <c r="W20" i="127"/>
  <c r="V20" i="127"/>
  <c r="U20" i="127"/>
  <c r="O20" i="127"/>
  <c r="O19" i="127"/>
  <c r="O18" i="127"/>
  <c r="O16" i="127"/>
  <c r="O17" i="127"/>
  <c r="D84" i="114"/>
  <c r="D75" i="114"/>
  <c r="D76" i="114"/>
  <c r="D77" i="114"/>
  <c r="D78" i="114"/>
  <c r="D79" i="114"/>
  <c r="D80" i="114"/>
  <c r="D81" i="114"/>
  <c r="D82" i="114"/>
  <c r="D83" i="114"/>
  <c r="F67" i="57"/>
  <c r="H67" i="57"/>
  <c r="K67" i="57"/>
  <c r="L67" i="57"/>
  <c r="N67" i="57"/>
  <c r="O67" i="57"/>
  <c r="P67" i="57"/>
  <c r="T67" i="57"/>
  <c r="F50" i="57"/>
  <c r="G50" i="57"/>
  <c r="H50" i="57"/>
  <c r="J50" i="57"/>
  <c r="L50" i="57"/>
  <c r="N50" i="57"/>
  <c r="O50" i="57"/>
  <c r="P50" i="57"/>
  <c r="P85" i="57" s="1"/>
  <c r="T50" i="57"/>
  <c r="F12" i="57"/>
  <c r="H12" i="57"/>
  <c r="T12" i="57"/>
  <c r="Z12" i="57"/>
  <c r="B339" i="125"/>
  <c r="O42" i="127"/>
  <c r="S20" i="127"/>
  <c r="T24" i="127" s="1"/>
  <c r="I183" i="125"/>
  <c r="D183" i="125"/>
  <c r="I173" i="125"/>
  <c r="D173" i="125"/>
  <c r="I163" i="125"/>
  <c r="D163" i="125"/>
  <c r="I153" i="125"/>
  <c r="D153" i="125"/>
  <c r="I143" i="125"/>
  <c r="D143" i="125"/>
  <c r="I133" i="125"/>
  <c r="D133" i="125"/>
  <c r="I121" i="125"/>
  <c r="D121" i="125"/>
  <c r="I111" i="125"/>
  <c r="D111" i="125"/>
  <c r="I81" i="125"/>
  <c r="I71" i="125"/>
  <c r="D71" i="125"/>
  <c r="I59" i="125"/>
  <c r="D59" i="125"/>
  <c r="I49" i="125"/>
  <c r="D49" i="125"/>
  <c r="I39" i="125"/>
  <c r="D39" i="125"/>
  <c r="I29" i="125"/>
  <c r="I19" i="125"/>
  <c r="D9" i="125"/>
  <c r="F2" i="125"/>
  <c r="A12" i="125" s="1"/>
  <c r="F12" i="125" s="1"/>
  <c r="J50" i="124"/>
  <c r="F50" i="124"/>
  <c r="B49" i="124"/>
  <c r="B48" i="124"/>
  <c r="B47" i="124"/>
  <c r="B46" i="124"/>
  <c r="B45" i="124"/>
  <c r="B44" i="124"/>
  <c r="B43" i="124"/>
  <c r="B42" i="124"/>
  <c r="B41" i="124"/>
  <c r="B40" i="124"/>
  <c r="B39" i="124"/>
  <c r="B38" i="124"/>
  <c r="B37" i="124"/>
  <c r="B36" i="124"/>
  <c r="B35" i="124"/>
  <c r="B34" i="124"/>
  <c r="B33" i="124"/>
  <c r="B32" i="124"/>
  <c r="B31" i="124"/>
  <c r="B30" i="124"/>
  <c r="B29" i="124"/>
  <c r="B28" i="124"/>
  <c r="B27" i="124"/>
  <c r="B26" i="124"/>
  <c r="B25" i="124"/>
  <c r="B24" i="124"/>
  <c r="B23" i="124"/>
  <c r="B22" i="124"/>
  <c r="B21" i="124"/>
  <c r="B20" i="124"/>
  <c r="B19" i="124"/>
  <c r="B18" i="124"/>
  <c r="B17" i="124"/>
  <c r="B16" i="124"/>
  <c r="B15" i="124"/>
  <c r="B14" i="124"/>
  <c r="H51" i="120"/>
  <c r="F30" i="123"/>
  <c r="B28" i="123"/>
  <c r="B27" i="123"/>
  <c r="B26" i="123"/>
  <c r="B25" i="123"/>
  <c r="B24" i="123"/>
  <c r="B23" i="123"/>
  <c r="B22" i="123"/>
  <c r="B21" i="123"/>
  <c r="B20" i="123"/>
  <c r="B19" i="123"/>
  <c r="B18" i="123"/>
  <c r="B17" i="123"/>
  <c r="B16" i="123"/>
  <c r="B15" i="123"/>
  <c r="B14" i="123"/>
  <c r="J51" i="122"/>
  <c r="F51" i="122"/>
  <c r="B49" i="122"/>
  <c r="B48" i="122"/>
  <c r="B47" i="122"/>
  <c r="B46" i="122"/>
  <c r="B45" i="122"/>
  <c r="B44" i="122"/>
  <c r="B43" i="122"/>
  <c r="B42" i="122"/>
  <c r="B41" i="122"/>
  <c r="B40" i="122"/>
  <c r="B39" i="122"/>
  <c r="B38" i="122"/>
  <c r="B37" i="122"/>
  <c r="B36" i="122"/>
  <c r="B35" i="122"/>
  <c r="B34" i="122"/>
  <c r="B33" i="122"/>
  <c r="B32" i="122"/>
  <c r="B31" i="122"/>
  <c r="B30" i="122"/>
  <c r="B29" i="122"/>
  <c r="B28" i="122"/>
  <c r="B27" i="122"/>
  <c r="B26" i="122"/>
  <c r="B25" i="122"/>
  <c r="B24" i="122"/>
  <c r="B23" i="122"/>
  <c r="B22" i="122"/>
  <c r="B21" i="122"/>
  <c r="B20" i="122"/>
  <c r="B19" i="122"/>
  <c r="B18" i="122"/>
  <c r="B17" i="122"/>
  <c r="B16" i="122"/>
  <c r="B15" i="122"/>
  <c r="B14" i="122"/>
  <c r="F30" i="121"/>
  <c r="B28" i="121"/>
  <c r="B27" i="121"/>
  <c r="B26" i="121"/>
  <c r="B25" i="121"/>
  <c r="B24" i="121"/>
  <c r="B23" i="121"/>
  <c r="B22" i="121"/>
  <c r="B21" i="121"/>
  <c r="B20" i="121"/>
  <c r="B19" i="121"/>
  <c r="B18" i="121"/>
  <c r="B17" i="121"/>
  <c r="B16" i="121"/>
  <c r="B15" i="121"/>
  <c r="B14" i="121"/>
  <c r="L51" i="120"/>
  <c r="F51" i="120"/>
  <c r="B49" i="120"/>
  <c r="B48" i="120"/>
  <c r="B47" i="120"/>
  <c r="B46" i="120"/>
  <c r="B45" i="120"/>
  <c r="B44" i="120"/>
  <c r="B43" i="120"/>
  <c r="B42" i="120"/>
  <c r="B41" i="120"/>
  <c r="B40" i="120"/>
  <c r="B39" i="120"/>
  <c r="B38" i="120"/>
  <c r="B37" i="120"/>
  <c r="B36" i="120"/>
  <c r="B35" i="120"/>
  <c r="B34" i="120"/>
  <c r="B33" i="120"/>
  <c r="B32" i="120"/>
  <c r="B31" i="120"/>
  <c r="B30" i="120"/>
  <c r="B29" i="120"/>
  <c r="B28" i="120"/>
  <c r="B27" i="120"/>
  <c r="B26" i="120"/>
  <c r="B25" i="120"/>
  <c r="B24" i="120"/>
  <c r="B23" i="120"/>
  <c r="B22" i="120"/>
  <c r="B21" i="120"/>
  <c r="B20" i="120"/>
  <c r="B19" i="120"/>
  <c r="B18" i="120"/>
  <c r="B17" i="120"/>
  <c r="B16" i="120"/>
  <c r="B15" i="120"/>
  <c r="B14" i="120"/>
  <c r="M47" i="120"/>
  <c r="M31" i="120"/>
  <c r="M44" i="120"/>
  <c r="J16" i="121"/>
  <c r="K17" i="122"/>
  <c r="K25" i="122"/>
  <c r="K28" i="122"/>
  <c r="K33" i="122"/>
  <c r="K49" i="122"/>
  <c r="K18" i="122"/>
  <c r="K47" i="122"/>
  <c r="K43" i="122"/>
  <c r="K27" i="122"/>
  <c r="K23" i="122"/>
  <c r="K15" i="122"/>
  <c r="K21" i="122"/>
  <c r="K26" i="122"/>
  <c r="K30" i="122"/>
  <c r="K32" i="122"/>
  <c r="K37" i="122"/>
  <c r="K38" i="122"/>
  <c r="K40" i="122"/>
  <c r="K45" i="122"/>
  <c r="K46" i="122"/>
  <c r="K35" i="124"/>
  <c r="K37" i="124"/>
  <c r="K44" i="124"/>
  <c r="K46" i="124"/>
  <c r="K42" i="124"/>
  <c r="K30" i="124"/>
  <c r="K26" i="124"/>
  <c r="K22" i="124"/>
  <c r="K23" i="124"/>
  <c r="K31" i="124"/>
  <c r="K33" i="124"/>
  <c r="K29" i="124"/>
  <c r="K17" i="124"/>
  <c r="K36" i="124"/>
  <c r="K45" i="124"/>
  <c r="K19" i="124"/>
  <c r="K24" i="124"/>
  <c r="K39" i="124"/>
  <c r="L71" i="58"/>
  <c r="L72" i="58"/>
  <c r="L73" i="58"/>
  <c r="L74" i="58"/>
  <c r="L76" i="58"/>
  <c r="E67" i="57"/>
  <c r="B15" i="119"/>
  <c r="B16" i="119"/>
  <c r="B17" i="119"/>
  <c r="B18" i="119"/>
  <c r="B19" i="119"/>
  <c r="B20" i="119"/>
  <c r="B21" i="119"/>
  <c r="B22" i="119"/>
  <c r="B23" i="119"/>
  <c r="B24" i="119"/>
  <c r="B25" i="119"/>
  <c r="B26" i="119"/>
  <c r="B27" i="119"/>
  <c r="B14" i="119"/>
  <c r="J30" i="119"/>
  <c r="F30" i="119"/>
  <c r="K25" i="119"/>
  <c r="K21" i="119"/>
  <c r="C16" i="108"/>
  <c r="D16" i="108" s="1"/>
  <c r="C17" i="108"/>
  <c r="C18" i="108"/>
  <c r="C19" i="108"/>
  <c r="C20" i="108"/>
  <c r="C21" i="108"/>
  <c r="C22" i="108"/>
  <c r="C23" i="108"/>
  <c r="C24" i="108"/>
  <c r="C25" i="108"/>
  <c r="C26" i="108"/>
  <c r="C27" i="108"/>
  <c r="C28" i="108"/>
  <c r="C29" i="108"/>
  <c r="D29" i="108" s="1"/>
  <c r="C30" i="108"/>
  <c r="C31" i="108"/>
  <c r="C32" i="108"/>
  <c r="C33" i="108"/>
  <c r="D33" i="108" s="1"/>
  <c r="C34" i="108"/>
  <c r="C35" i="108"/>
  <c r="C36" i="108"/>
  <c r="C37" i="108"/>
  <c r="C38" i="108"/>
  <c r="D38" i="108" s="1"/>
  <c r="C39" i="108"/>
  <c r="C40" i="108"/>
  <c r="C41" i="108"/>
  <c r="D41" i="108" s="1"/>
  <c r="C42" i="108"/>
  <c r="C43" i="108"/>
  <c r="C44" i="108"/>
  <c r="C45" i="108"/>
  <c r="D45" i="108" s="1"/>
  <c r="C46" i="108"/>
  <c r="C47" i="108"/>
  <c r="C48" i="108"/>
  <c r="C49" i="108"/>
  <c r="C15" i="108"/>
  <c r="C14" i="108"/>
  <c r="D14" i="108" s="1"/>
  <c r="K29" i="116"/>
  <c r="K47" i="116"/>
  <c r="J15" i="98"/>
  <c r="J22" i="98"/>
  <c r="K14" i="99"/>
  <c r="K16" i="99"/>
  <c r="K20" i="99"/>
  <c r="S40" i="58"/>
  <c r="S44" i="58"/>
  <c r="C63" i="5"/>
  <c r="C68" i="5"/>
  <c r="C22" i="89"/>
  <c r="L12" i="73"/>
  <c r="L13" i="73" s="1"/>
  <c r="D51" i="118"/>
  <c r="O48" i="118"/>
  <c r="O47" i="118"/>
  <c r="O46" i="118" s="1"/>
  <c r="M45" i="118"/>
  <c r="D45" i="118"/>
  <c r="M44" i="118"/>
  <c r="D44" i="118"/>
  <c r="M41" i="118"/>
  <c r="O41" i="118" s="1"/>
  <c r="M40" i="118"/>
  <c r="O40" i="118" s="1"/>
  <c r="D40" i="118"/>
  <c r="O39" i="118"/>
  <c r="D38" i="118"/>
  <c r="O38" i="118" s="1"/>
  <c r="M36" i="118"/>
  <c r="O36" i="118" s="1"/>
  <c r="V30" i="118" s="1"/>
  <c r="V31" i="118" s="1"/>
  <c r="M35" i="118"/>
  <c r="S35" i="118" s="1"/>
  <c r="M32" i="118"/>
  <c r="O32" i="118" s="1"/>
  <c r="D32" i="118"/>
  <c r="O31" i="118"/>
  <c r="D30" i="118"/>
  <c r="O30" i="118" s="1"/>
  <c r="V29" i="118"/>
  <c r="X29" i="118" s="1"/>
  <c r="T29" i="118"/>
  <c r="S29" i="118"/>
  <c r="M28" i="118"/>
  <c r="D28" i="118"/>
  <c r="M26" i="118"/>
  <c r="D26" i="118"/>
  <c r="F25" i="118"/>
  <c r="M24" i="118"/>
  <c r="U29" i="118" s="1"/>
  <c r="D24" i="118"/>
  <c r="O23" i="118"/>
  <c r="S30" i="118" s="1"/>
  <c r="S31" i="118" s="1"/>
  <c r="D22" i="118"/>
  <c r="O22" i="118" s="1"/>
  <c r="O15" i="118"/>
  <c r="O61" i="117"/>
  <c r="O60" i="117" s="1"/>
  <c r="M58" i="117"/>
  <c r="O58" i="117" s="1"/>
  <c r="O57" i="117" s="1"/>
  <c r="M55" i="117"/>
  <c r="R55" i="117"/>
  <c r="M54" i="117"/>
  <c r="D54" i="117"/>
  <c r="O53" i="117"/>
  <c r="D52" i="117"/>
  <c r="O52" i="117" s="1"/>
  <c r="D51" i="117"/>
  <c r="O51" i="117" s="1"/>
  <c r="M50" i="117"/>
  <c r="O50" i="117"/>
  <c r="M42" i="117"/>
  <c r="R45" i="117" s="1"/>
  <c r="O42" i="117"/>
  <c r="M39" i="117"/>
  <c r="O39" i="117" s="1"/>
  <c r="M37" i="117"/>
  <c r="M41" i="117" s="1"/>
  <c r="O41" i="117" s="1"/>
  <c r="D37" i="117"/>
  <c r="M36" i="117"/>
  <c r="D36" i="117"/>
  <c r="O35" i="117"/>
  <c r="D34" i="117"/>
  <c r="O34" i="117"/>
  <c r="D33" i="117"/>
  <c r="O33" i="117" s="1"/>
  <c r="O32" i="117"/>
  <c r="D31" i="117"/>
  <c r="O31" i="117" s="1"/>
  <c r="M28" i="117"/>
  <c r="O28" i="117" s="1"/>
  <c r="M25" i="117"/>
  <c r="D25" i="117"/>
  <c r="O24" i="117"/>
  <c r="D23" i="117"/>
  <c r="O23" i="117" s="1"/>
  <c r="AA22" i="117"/>
  <c r="Z22" i="117"/>
  <c r="Y22" i="117"/>
  <c r="X22" i="117"/>
  <c r="D22" i="117"/>
  <c r="O22" i="117" s="1"/>
  <c r="O19" i="117"/>
  <c r="O18" i="117"/>
  <c r="O16" i="117"/>
  <c r="O17" i="117"/>
  <c r="O55" i="117"/>
  <c r="AD13" i="113"/>
  <c r="L13" i="113"/>
  <c r="H13" i="113"/>
  <c r="D13" i="113"/>
  <c r="C13" i="113"/>
  <c r="AE12" i="113"/>
  <c r="AB12" i="113"/>
  <c r="S12" i="113"/>
  <c r="R12" i="113"/>
  <c r="L12" i="113"/>
  <c r="K12" i="113"/>
  <c r="J12" i="113"/>
  <c r="D12" i="113"/>
  <c r="C12" i="113"/>
  <c r="AA11" i="113"/>
  <c r="V11" i="113"/>
  <c r="N11" i="113"/>
  <c r="C11" i="113"/>
  <c r="E50" i="57"/>
  <c r="E12" i="57"/>
  <c r="Z50" i="57"/>
  <c r="L46" i="58"/>
  <c r="P37" i="58"/>
  <c r="P36" i="58"/>
  <c r="P35" i="58"/>
  <c r="J50" i="116"/>
  <c r="F50" i="116"/>
  <c r="K49" i="116"/>
  <c r="B49" i="116"/>
  <c r="B48" i="116"/>
  <c r="B47" i="116"/>
  <c r="K46" i="116"/>
  <c r="B46" i="116"/>
  <c r="B45" i="116"/>
  <c r="B44" i="116"/>
  <c r="K43" i="116"/>
  <c r="B43" i="116"/>
  <c r="B42" i="116"/>
  <c r="K41" i="116"/>
  <c r="B41" i="116"/>
  <c r="K40" i="116"/>
  <c r="B40" i="116"/>
  <c r="B39" i="116"/>
  <c r="K38" i="116"/>
  <c r="B38" i="116"/>
  <c r="B37" i="116"/>
  <c r="B36" i="116"/>
  <c r="K35" i="116"/>
  <c r="B35" i="116"/>
  <c r="B34" i="116"/>
  <c r="B33" i="116"/>
  <c r="B32" i="116"/>
  <c r="B31" i="116"/>
  <c r="B30" i="116"/>
  <c r="B29" i="116"/>
  <c r="B28" i="116"/>
  <c r="B27" i="116"/>
  <c r="K26" i="116"/>
  <c r="B26" i="116"/>
  <c r="B25" i="116"/>
  <c r="K24" i="116"/>
  <c r="B24" i="116"/>
  <c r="B23" i="116"/>
  <c r="B22" i="116"/>
  <c r="B21" i="116"/>
  <c r="K20" i="116"/>
  <c r="B20" i="116"/>
  <c r="B19" i="116"/>
  <c r="K18" i="116"/>
  <c r="B18" i="116"/>
  <c r="B17" i="116"/>
  <c r="B16" i="116"/>
  <c r="B15" i="116"/>
  <c r="K14" i="116"/>
  <c r="B14" i="116"/>
  <c r="P14" i="100"/>
  <c r="R14" i="100" s="1"/>
  <c r="U14" i="100" s="1"/>
  <c r="P15" i="100"/>
  <c r="P16" i="100"/>
  <c r="U16" i="100" s="1"/>
  <c r="P13" i="100"/>
  <c r="R13" i="100" s="1"/>
  <c r="U13" i="100" s="1"/>
  <c r="K86" i="114" s="1"/>
  <c r="G66" i="114"/>
  <c r="G49" i="114"/>
  <c r="C14" i="100"/>
  <c r="D87" i="114" s="1"/>
  <c r="C15" i="100"/>
  <c r="D88" i="114" s="1"/>
  <c r="D89" i="114"/>
  <c r="C13" i="100"/>
  <c r="D86" i="114" s="1"/>
  <c r="D66" i="114"/>
  <c r="D73" i="114"/>
  <c r="D74" i="114"/>
  <c r="D69" i="114"/>
  <c r="D70" i="114"/>
  <c r="D71" i="114"/>
  <c r="D72" i="114"/>
  <c r="D68" i="114"/>
  <c r="D52" i="114"/>
  <c r="D53" i="114"/>
  <c r="D54" i="114"/>
  <c r="D55" i="114"/>
  <c r="D56" i="114"/>
  <c r="D57" i="114"/>
  <c r="D58" i="114"/>
  <c r="D59" i="114"/>
  <c r="D60" i="114"/>
  <c r="D61" i="114"/>
  <c r="D62" i="114"/>
  <c r="D63" i="114"/>
  <c r="D64" i="114"/>
  <c r="D65" i="114"/>
  <c r="D51" i="114"/>
  <c r="D14" i="114"/>
  <c r="D15" i="114"/>
  <c r="D16" i="114"/>
  <c r="D17" i="114"/>
  <c r="D18" i="114"/>
  <c r="D19" i="114"/>
  <c r="D20" i="114"/>
  <c r="D21" i="114"/>
  <c r="D22" i="114"/>
  <c r="D23" i="114"/>
  <c r="D24" i="114"/>
  <c r="D25" i="114"/>
  <c r="D26" i="114"/>
  <c r="D27" i="114"/>
  <c r="D28" i="114"/>
  <c r="D29" i="114"/>
  <c r="D30" i="114"/>
  <c r="D31" i="114"/>
  <c r="D32" i="114"/>
  <c r="D33" i="114"/>
  <c r="D34" i="114"/>
  <c r="D35" i="114"/>
  <c r="D36" i="114"/>
  <c r="D37" i="114"/>
  <c r="D38" i="114"/>
  <c r="D39" i="114"/>
  <c r="D40" i="114"/>
  <c r="D41" i="114"/>
  <c r="D42" i="114"/>
  <c r="D43" i="114"/>
  <c r="D44" i="114"/>
  <c r="D45" i="114"/>
  <c r="D46" i="114"/>
  <c r="D47" i="114"/>
  <c r="D48" i="114"/>
  <c r="D13" i="114"/>
  <c r="L100" i="114"/>
  <c r="M67" i="114"/>
  <c r="L12" i="114"/>
  <c r="L50" i="114"/>
  <c r="M50" i="114"/>
  <c r="C49" i="114"/>
  <c r="C48" i="114"/>
  <c r="C47" i="114"/>
  <c r="C46" i="114"/>
  <c r="C45" i="114"/>
  <c r="C44" i="114"/>
  <c r="C43" i="114"/>
  <c r="C42" i="114"/>
  <c r="C41" i="114"/>
  <c r="C40" i="114"/>
  <c r="C39" i="114"/>
  <c r="C38" i="114"/>
  <c r="C37" i="114"/>
  <c r="C36" i="114"/>
  <c r="C35" i="114"/>
  <c r="C34" i="114"/>
  <c r="C33" i="114"/>
  <c r="C32" i="114"/>
  <c r="C31" i="114"/>
  <c r="C30" i="114"/>
  <c r="C29" i="114"/>
  <c r="C28" i="114"/>
  <c r="C27" i="114"/>
  <c r="C26" i="114"/>
  <c r="C25" i="114"/>
  <c r="C24" i="114"/>
  <c r="C23" i="114"/>
  <c r="C22" i="114"/>
  <c r="C21" i="114"/>
  <c r="C20" i="114"/>
  <c r="C19" i="114"/>
  <c r="C18" i="114"/>
  <c r="C17" i="114"/>
  <c r="C16" i="114"/>
  <c r="C15" i="114"/>
  <c r="M12" i="114"/>
  <c r="C66" i="5"/>
  <c r="M66" i="5" s="1"/>
  <c r="F12" i="105"/>
  <c r="H12" i="105"/>
  <c r="J12" i="105"/>
  <c r="N12" i="105"/>
  <c r="P12" i="105"/>
  <c r="R12" i="105"/>
  <c r="V12" i="105"/>
  <c r="AB12" i="105"/>
  <c r="AC12" i="105"/>
  <c r="AF12" i="105"/>
  <c r="AC13" i="113"/>
  <c r="AF13" i="113"/>
  <c r="Y12" i="113"/>
  <c r="AD12" i="113"/>
  <c r="AI12" i="94"/>
  <c r="G13" i="100" s="1"/>
  <c r="H13" i="100" s="1"/>
  <c r="AI13" i="94"/>
  <c r="G14" i="100" s="1"/>
  <c r="H14" i="100" s="1"/>
  <c r="AI14" i="94"/>
  <c r="AI15" i="94"/>
  <c r="G16" i="100" s="1"/>
  <c r="H16" i="100" s="1"/>
  <c r="AK12" i="94"/>
  <c r="D15" i="112"/>
  <c r="W6" i="112"/>
  <c r="X6" i="112"/>
  <c r="Y6" i="112" s="1"/>
  <c r="G25" i="86"/>
  <c r="H25" i="86"/>
  <c r="L25" i="86" s="1"/>
  <c r="P25" i="86" s="1"/>
  <c r="S25" i="86" s="1"/>
  <c r="V25" i="86" s="1"/>
  <c r="N25" i="86"/>
  <c r="O25" i="86"/>
  <c r="H26" i="86"/>
  <c r="L26" i="86" s="1"/>
  <c r="P26" i="86" s="1"/>
  <c r="S26" i="86" s="1"/>
  <c r="V26" i="86" s="1"/>
  <c r="H29" i="86"/>
  <c r="L29" i="86"/>
  <c r="P29" i="86" s="1"/>
  <c r="S29" i="86" s="1"/>
  <c r="I18" i="86"/>
  <c r="I21" i="86"/>
  <c r="I23" i="86"/>
  <c r="J18" i="86"/>
  <c r="J21" i="86"/>
  <c r="J23" i="86"/>
  <c r="K18" i="86"/>
  <c r="K21" i="86"/>
  <c r="K23" i="86"/>
  <c r="M18" i="86"/>
  <c r="M21" i="86"/>
  <c r="M23" i="86"/>
  <c r="Q18" i="86"/>
  <c r="Q21" i="86"/>
  <c r="Q23" i="86"/>
  <c r="R18" i="86"/>
  <c r="R21" i="86"/>
  <c r="R23" i="86"/>
  <c r="T18" i="86"/>
  <c r="T21" i="86"/>
  <c r="T23" i="86"/>
  <c r="U18" i="86"/>
  <c r="U21" i="86"/>
  <c r="U23" i="86"/>
  <c r="Y27" i="86"/>
  <c r="P14" i="106"/>
  <c r="Q14" i="106"/>
  <c r="J14" i="106"/>
  <c r="K14" i="106"/>
  <c r="L14" i="106"/>
  <c r="N14" i="106"/>
  <c r="G14" i="106"/>
  <c r="C19" i="89"/>
  <c r="J20" i="98"/>
  <c r="Z11" i="106"/>
  <c r="C23" i="91"/>
  <c r="C26" i="5"/>
  <c r="C28" i="5"/>
  <c r="C45" i="91"/>
  <c r="C45" i="5"/>
  <c r="C59" i="5"/>
  <c r="C64" i="5"/>
  <c r="C22" i="91"/>
  <c r="C25" i="5"/>
  <c r="C27" i="5"/>
  <c r="C33" i="91"/>
  <c r="C33" i="5"/>
  <c r="G33" i="5" s="1"/>
  <c r="K33" i="5" s="1"/>
  <c r="C34" i="5"/>
  <c r="C35" i="5"/>
  <c r="C41" i="5"/>
  <c r="C43" i="5"/>
  <c r="C76" i="5"/>
  <c r="L76" i="5" s="1"/>
  <c r="C77" i="5"/>
  <c r="L77" i="5" s="1"/>
  <c r="C80" i="5"/>
  <c r="L80" i="5" s="1"/>
  <c r="C81" i="5"/>
  <c r="L81" i="5" s="1"/>
  <c r="C74" i="5"/>
  <c r="AA27" i="106"/>
  <c r="W27" i="106"/>
  <c r="W29" i="106" s="1"/>
  <c r="Z23" i="106"/>
  <c r="Z22" i="106"/>
  <c r="Z21" i="106"/>
  <c r="AA16" i="106"/>
  <c r="AA15" i="106"/>
  <c r="AA14" i="106"/>
  <c r="M13" i="106"/>
  <c r="I13" i="106"/>
  <c r="I14" i="106" s="1"/>
  <c r="H13" i="106"/>
  <c r="H14" i="106" s="1"/>
  <c r="U13" i="89"/>
  <c r="C16" i="90"/>
  <c r="C17" i="90"/>
  <c r="C18" i="90"/>
  <c r="C19" i="90"/>
  <c r="C20" i="90"/>
  <c r="C21" i="90"/>
  <c r="C22" i="90"/>
  <c r="C23" i="90"/>
  <c r="C24" i="90"/>
  <c r="C25" i="90"/>
  <c r="C26" i="90"/>
  <c r="C27" i="90"/>
  <c r="C28" i="90"/>
  <c r="C29" i="90"/>
  <c r="C15" i="90"/>
  <c r="Z19" i="106"/>
  <c r="O14" i="106"/>
  <c r="S13" i="106"/>
  <c r="S14" i="106" s="1"/>
  <c r="D11" i="105"/>
  <c r="E13" i="105"/>
  <c r="F11" i="105"/>
  <c r="G11" i="105"/>
  <c r="H11" i="105"/>
  <c r="I11" i="105"/>
  <c r="J11" i="105"/>
  <c r="K11" i="105"/>
  <c r="L11" i="105"/>
  <c r="M11" i="105"/>
  <c r="N11" i="105"/>
  <c r="O11" i="105"/>
  <c r="P11" i="105"/>
  <c r="Q11" i="105"/>
  <c r="R11" i="105"/>
  <c r="S11" i="105"/>
  <c r="T11" i="105"/>
  <c r="U11" i="105"/>
  <c r="V11" i="105"/>
  <c r="AC11" i="105"/>
  <c r="AF11" i="105"/>
  <c r="AG11" i="105"/>
  <c r="C13" i="105"/>
  <c r="C37" i="91"/>
  <c r="C21" i="89"/>
  <c r="H11" i="59"/>
  <c r="H12" i="59"/>
  <c r="H13" i="59"/>
  <c r="H15" i="59"/>
  <c r="H16" i="59"/>
  <c r="H17" i="59"/>
  <c r="H18" i="59"/>
  <c r="H19" i="59"/>
  <c r="E9" i="88"/>
  <c r="E10" i="88"/>
  <c r="E11" i="88"/>
  <c r="E12" i="88"/>
  <c r="E13" i="88"/>
  <c r="C16" i="91"/>
  <c r="C18" i="91"/>
  <c r="C19" i="91"/>
  <c r="C20" i="91"/>
  <c r="C21" i="91"/>
  <c r="C24" i="91"/>
  <c r="C25" i="91"/>
  <c r="C26" i="91"/>
  <c r="C27" i="91"/>
  <c r="C28" i="91"/>
  <c r="C29" i="91"/>
  <c r="C30" i="91"/>
  <c r="C31" i="91"/>
  <c r="C32" i="91"/>
  <c r="C34" i="91"/>
  <c r="C35" i="91"/>
  <c r="C36" i="91"/>
  <c r="C38" i="91"/>
  <c r="C39" i="91"/>
  <c r="C40" i="91"/>
  <c r="C41" i="91"/>
  <c r="C42" i="91"/>
  <c r="C43" i="91"/>
  <c r="C44" i="91"/>
  <c r="C46" i="91"/>
  <c r="C47" i="91"/>
  <c r="C48" i="91"/>
  <c r="C49" i="91"/>
  <c r="C50" i="91"/>
  <c r="C51" i="91"/>
  <c r="C52" i="91"/>
  <c r="C16" i="89"/>
  <c r="C17" i="89"/>
  <c r="C18" i="89"/>
  <c r="C20" i="89"/>
  <c r="C69" i="5"/>
  <c r="C70" i="5"/>
  <c r="C71" i="5"/>
  <c r="C72" i="5"/>
  <c r="C73" i="5"/>
  <c r="C75" i="5"/>
  <c r="L75" i="5" s="1"/>
  <c r="C78" i="5"/>
  <c r="L78" i="5" s="1"/>
  <c r="C79" i="5"/>
  <c r="L79" i="5" s="1"/>
  <c r="C82" i="5"/>
  <c r="L82" i="5" s="1"/>
  <c r="N53" i="91"/>
  <c r="C13" i="5"/>
  <c r="C14" i="5"/>
  <c r="C15" i="5"/>
  <c r="C16" i="5"/>
  <c r="C17" i="5"/>
  <c r="C18" i="5"/>
  <c r="C19" i="5"/>
  <c r="C20" i="5"/>
  <c r="C21" i="5"/>
  <c r="C22" i="5"/>
  <c r="C23" i="5"/>
  <c r="C24" i="5"/>
  <c r="C29" i="5"/>
  <c r="C30" i="5"/>
  <c r="C31" i="5"/>
  <c r="C32" i="5"/>
  <c r="C36" i="5"/>
  <c r="C37" i="5"/>
  <c r="C38" i="5"/>
  <c r="C39" i="5"/>
  <c r="C40" i="5"/>
  <c r="C42" i="5"/>
  <c r="C44" i="5"/>
  <c r="C46" i="5"/>
  <c r="C47" i="5"/>
  <c r="C48" i="5"/>
  <c r="C49" i="5"/>
  <c r="O12" i="5"/>
  <c r="Q12" i="5"/>
  <c r="R12" i="5"/>
  <c r="M24" i="89"/>
  <c r="C22" i="105"/>
  <c r="D22" i="105"/>
  <c r="E22" i="105"/>
  <c r="F22" i="105"/>
  <c r="G22" i="105"/>
  <c r="H22" i="105"/>
  <c r="I22" i="105"/>
  <c r="J22" i="105"/>
  <c r="K22" i="105"/>
  <c r="L22" i="105"/>
  <c r="M22" i="105"/>
  <c r="N22" i="105"/>
  <c r="O22" i="105"/>
  <c r="P22" i="105"/>
  <c r="Q22" i="105"/>
  <c r="R22" i="105"/>
  <c r="S22" i="105"/>
  <c r="T22" i="105"/>
  <c r="U22" i="105"/>
  <c r="V22" i="105"/>
  <c r="W22" i="105"/>
  <c r="X22" i="105"/>
  <c r="Y22" i="105"/>
  <c r="Z22" i="105"/>
  <c r="AA22" i="105"/>
  <c r="AB22" i="105"/>
  <c r="AC22" i="105"/>
  <c r="AD22" i="105"/>
  <c r="AE22" i="105"/>
  <c r="AG22" i="105"/>
  <c r="AH21" i="105"/>
  <c r="AH20" i="105"/>
  <c r="AH19" i="105"/>
  <c r="P62" i="58"/>
  <c r="G20" i="59"/>
  <c r="AC39" i="100"/>
  <c r="AB35" i="100"/>
  <c r="AB34" i="100"/>
  <c r="AB33" i="100"/>
  <c r="AC28" i="100"/>
  <c r="AC27" i="100"/>
  <c r="AA13" i="100"/>
  <c r="AB11" i="100"/>
  <c r="B19" i="98"/>
  <c r="B20" i="98"/>
  <c r="B15" i="99"/>
  <c r="B16" i="99"/>
  <c r="B17" i="99"/>
  <c r="B18" i="99"/>
  <c r="B19" i="99"/>
  <c r="B20" i="99"/>
  <c r="B21" i="99"/>
  <c r="B22" i="99"/>
  <c r="B23" i="99"/>
  <c r="B24" i="99"/>
  <c r="B25" i="99"/>
  <c r="B26" i="99"/>
  <c r="B27" i="99"/>
  <c r="B28" i="99"/>
  <c r="B14" i="99"/>
  <c r="J30" i="99"/>
  <c r="B15" i="98"/>
  <c r="B16" i="98"/>
  <c r="B17" i="98"/>
  <c r="B18" i="98"/>
  <c r="B21" i="98"/>
  <c r="B22" i="98"/>
  <c r="B23" i="98"/>
  <c r="B24" i="98"/>
  <c r="B25" i="98"/>
  <c r="B26" i="98"/>
  <c r="B27" i="98"/>
  <c r="B28" i="98"/>
  <c r="B14" i="98"/>
  <c r="F29" i="98"/>
  <c r="F50" i="97"/>
  <c r="K37" i="97"/>
  <c r="K45" i="97"/>
  <c r="B15" i="97"/>
  <c r="B17" i="104" s="1"/>
  <c r="B16" i="97"/>
  <c r="B22" i="101" s="1"/>
  <c r="B17" i="97"/>
  <c r="B27" i="104" s="1"/>
  <c r="B18" i="97"/>
  <c r="B32" i="104" s="1"/>
  <c r="B19" i="97"/>
  <c r="B37" i="104" s="1"/>
  <c r="B20" i="97"/>
  <c r="B42" i="101" s="1"/>
  <c r="B21" i="97"/>
  <c r="B47" i="104" s="1"/>
  <c r="B22" i="97"/>
  <c r="B52" i="104" s="1"/>
  <c r="B23" i="97"/>
  <c r="B57" i="101" s="1"/>
  <c r="B24" i="97"/>
  <c r="B62" i="104" s="1"/>
  <c r="B25" i="97"/>
  <c r="B67" i="104" s="1"/>
  <c r="B26" i="97"/>
  <c r="B72" i="104" s="1"/>
  <c r="B27" i="97"/>
  <c r="B77" i="101" s="1"/>
  <c r="B28" i="97"/>
  <c r="B82" i="104" s="1"/>
  <c r="B29" i="97"/>
  <c r="B87" i="104" s="1"/>
  <c r="B30" i="97"/>
  <c r="B92" i="104" s="1"/>
  <c r="B31" i="97"/>
  <c r="B97" i="104" s="1"/>
  <c r="B32" i="97"/>
  <c r="B102" i="104" s="1"/>
  <c r="B33" i="97"/>
  <c r="B107" i="101" s="1"/>
  <c r="B34" i="97"/>
  <c r="B112" i="104" s="1"/>
  <c r="B35" i="97"/>
  <c r="B117" i="104" s="1"/>
  <c r="B36" i="97"/>
  <c r="B122" i="101" s="1"/>
  <c r="B37" i="97"/>
  <c r="B127" i="104" s="1"/>
  <c r="B38" i="97"/>
  <c r="B132" i="104" s="1"/>
  <c r="B39" i="97"/>
  <c r="B137" i="101" s="1"/>
  <c r="B40" i="97"/>
  <c r="B142" i="104" s="1"/>
  <c r="B41" i="97"/>
  <c r="B147" i="101" s="1"/>
  <c r="B42" i="97"/>
  <c r="B152" i="101" s="1"/>
  <c r="B43" i="97"/>
  <c r="B157" i="101" s="1"/>
  <c r="B44" i="97"/>
  <c r="B162" i="104" s="1"/>
  <c r="B45" i="97"/>
  <c r="B167" i="104" s="1"/>
  <c r="B46" i="97"/>
  <c r="B172" i="104" s="1"/>
  <c r="B47" i="97"/>
  <c r="B177" i="104" s="1"/>
  <c r="B48" i="97"/>
  <c r="B182" i="101" s="1"/>
  <c r="B49" i="97"/>
  <c r="B187" i="101" s="1"/>
  <c r="B14" i="97"/>
  <c r="B12" i="101" s="1"/>
  <c r="J50" i="97"/>
  <c r="P46" i="58"/>
  <c r="G13" i="113"/>
  <c r="M13" i="113"/>
  <c r="Q13" i="113"/>
  <c r="G12" i="113"/>
  <c r="O12" i="113"/>
  <c r="W12" i="113"/>
  <c r="H85" i="5"/>
  <c r="P45" i="58"/>
  <c r="L45" i="58"/>
  <c r="P44" i="58"/>
  <c r="L44" i="58"/>
  <c r="P43" i="58"/>
  <c r="L43" i="58"/>
  <c r="S43" i="58"/>
  <c r="C90" i="5"/>
  <c r="C86" i="5"/>
  <c r="C87" i="5"/>
  <c r="C88" i="5"/>
  <c r="C85" i="5"/>
  <c r="AK15" i="94"/>
  <c r="AK14" i="94"/>
  <c r="C52" i="5"/>
  <c r="C53" i="5"/>
  <c r="C54" i="5"/>
  <c r="C55" i="5"/>
  <c r="C56" i="5"/>
  <c r="C57" i="5"/>
  <c r="C58" i="5"/>
  <c r="C60" i="5"/>
  <c r="C61" i="5"/>
  <c r="C62" i="5"/>
  <c r="C65" i="5"/>
  <c r="C51" i="5"/>
  <c r="P42" i="58"/>
  <c r="P38" i="58"/>
  <c r="P20" i="58"/>
  <c r="P33" i="58"/>
  <c r="P31" i="58"/>
  <c r="P27" i="58"/>
  <c r="P26" i="58"/>
  <c r="P23" i="58"/>
  <c r="P22" i="58"/>
  <c r="P18" i="58"/>
  <c r="N30" i="90"/>
  <c r="P61" i="58"/>
  <c r="P60" i="58"/>
  <c r="P59" i="58"/>
  <c r="P58" i="58"/>
  <c r="P57" i="58"/>
  <c r="P56" i="58"/>
  <c r="P55" i="58"/>
  <c r="P54" i="58"/>
  <c r="P53" i="58"/>
  <c r="P52" i="58"/>
  <c r="P51" i="58"/>
  <c r="P50" i="58"/>
  <c r="P49" i="58"/>
  <c r="P48" i="58"/>
  <c r="L18" i="58"/>
  <c r="L22" i="58"/>
  <c r="L23" i="58"/>
  <c r="L16" i="58"/>
  <c r="L17" i="58"/>
  <c r="L19" i="58"/>
  <c r="L20" i="58"/>
  <c r="L21" i="58"/>
  <c r="L24" i="58"/>
  <c r="L25" i="58"/>
  <c r="L26" i="58"/>
  <c r="L27" i="58"/>
  <c r="L28" i="58"/>
  <c r="L29" i="58"/>
  <c r="L30" i="58"/>
  <c r="L31" i="58"/>
  <c r="L32" i="58"/>
  <c r="L33" i="58"/>
  <c r="L34" i="58"/>
  <c r="L35" i="58"/>
  <c r="L36" i="58"/>
  <c r="L37" i="58"/>
  <c r="L38" i="58"/>
  <c r="L39" i="58"/>
  <c r="L40" i="58"/>
  <c r="L41" i="58"/>
  <c r="L42" i="58"/>
  <c r="L48" i="58"/>
  <c r="L49" i="58"/>
  <c r="L50" i="58"/>
  <c r="L51" i="58"/>
  <c r="L52" i="58"/>
  <c r="L53" i="58"/>
  <c r="L54" i="58"/>
  <c r="L55" i="58"/>
  <c r="L56" i="58"/>
  <c r="L57" i="58"/>
  <c r="L58" i="58"/>
  <c r="L59" i="58"/>
  <c r="L60" i="58"/>
  <c r="L61" i="58"/>
  <c r="L62" i="58"/>
  <c r="L64" i="58"/>
  <c r="L65" i="58"/>
  <c r="L66" i="58"/>
  <c r="L67" i="58"/>
  <c r="L68" i="58"/>
  <c r="L69" i="58"/>
  <c r="L70" i="58"/>
  <c r="F16" i="87"/>
  <c r="M16" i="87"/>
  <c r="T16" i="87"/>
  <c r="AA16" i="87"/>
  <c r="AH16" i="87"/>
  <c r="E10" i="90"/>
  <c r="E11" i="90"/>
  <c r="E9" i="90"/>
  <c r="J30" i="90"/>
  <c r="W56" i="91"/>
  <c r="V56" i="91"/>
  <c r="X56" i="91" s="1"/>
  <c r="X55" i="91"/>
  <c r="X54" i="91"/>
  <c r="T54" i="91"/>
  <c r="I53" i="91"/>
  <c r="AF16" i="87"/>
  <c r="AB16" i="87"/>
  <c r="W16" i="87"/>
  <c r="R16" i="87"/>
  <c r="N16" i="87"/>
  <c r="I16" i="87"/>
  <c r="AE16" i="87"/>
  <c r="Z16" i="87"/>
  <c r="V16" i="87"/>
  <c r="Q16" i="87"/>
  <c r="L16" i="87"/>
  <c r="H16" i="87"/>
  <c r="AD16" i="87"/>
  <c r="Y16" i="87"/>
  <c r="U16" i="87"/>
  <c r="P16" i="87"/>
  <c r="K16" i="87"/>
  <c r="G16" i="87"/>
  <c r="AG16" i="87"/>
  <c r="AC16" i="87"/>
  <c r="X16" i="87"/>
  <c r="S16" i="87"/>
  <c r="O16" i="87"/>
  <c r="J16" i="87"/>
  <c r="E16" i="87"/>
  <c r="E14" i="78"/>
  <c r="H14" i="78"/>
  <c r="J14" i="78"/>
  <c r="I25" i="86"/>
  <c r="J25" i="86"/>
  <c r="K25" i="86"/>
  <c r="M25" i="86"/>
  <c r="Q25" i="86"/>
  <c r="R25" i="86"/>
  <c r="T25" i="86"/>
  <c r="U25" i="86"/>
  <c r="Q15" i="89"/>
  <c r="W18" i="90"/>
  <c r="S18" i="90"/>
  <c r="S20" i="90" s="1"/>
  <c r="X26" i="91"/>
  <c r="T26" i="91"/>
  <c r="T28" i="91" s="1"/>
  <c r="W22" i="91"/>
  <c r="W21" i="91"/>
  <c r="W20" i="91"/>
  <c r="W16" i="91"/>
  <c r="V16" i="91"/>
  <c r="X15" i="91"/>
  <c r="G89" i="5"/>
  <c r="D16" i="87"/>
  <c r="D8" i="87"/>
  <c r="AI15" i="87"/>
  <c r="AI13" i="87"/>
  <c r="AI12" i="87"/>
  <c r="AI14" i="87"/>
  <c r="AI11" i="87"/>
  <c r="C14" i="88"/>
  <c r="F11" i="86"/>
  <c r="D10" i="86"/>
  <c r="D9" i="86"/>
  <c r="F16" i="64"/>
  <c r="F18" i="63"/>
  <c r="F15" i="63"/>
  <c r="C16" i="63"/>
  <c r="E19" i="64"/>
  <c r="F19" i="64"/>
  <c r="G19" i="64"/>
  <c r="H19" i="64"/>
  <c r="I19" i="64"/>
  <c r="L19" i="64"/>
  <c r="J15" i="64"/>
  <c r="K15" i="64"/>
  <c r="L15" i="64"/>
  <c r="M15" i="64"/>
  <c r="N15" i="64"/>
  <c r="R15" i="64"/>
  <c r="S15" i="64"/>
  <c r="J16" i="63"/>
  <c r="D15" i="64"/>
  <c r="K16" i="63"/>
  <c r="U20" i="64"/>
  <c r="U19" i="64" s="1"/>
  <c r="V20" i="64"/>
  <c r="V19" i="64" s="1"/>
  <c r="W20" i="64"/>
  <c r="W19" i="64" s="1"/>
  <c r="G13" i="85"/>
  <c r="I13" i="85"/>
  <c r="J13" i="85"/>
  <c r="J12" i="85" s="1"/>
  <c r="K13" i="85"/>
  <c r="L13" i="85"/>
  <c r="L12" i="85" s="1"/>
  <c r="V17" i="64"/>
  <c r="W17" i="64"/>
  <c r="P17" i="64"/>
  <c r="E18" i="63"/>
  <c r="E15" i="63" s="1"/>
  <c r="V18" i="64"/>
  <c r="W18" i="64"/>
  <c r="P18" i="64"/>
  <c r="Q18" i="64" s="1"/>
  <c r="U18" i="64" s="1"/>
  <c r="H86" i="5"/>
  <c r="H87" i="5"/>
  <c r="N90" i="5"/>
  <c r="N91" i="5" s="1"/>
  <c r="H13" i="83"/>
  <c r="G28" i="86"/>
  <c r="H28" i="86" s="1"/>
  <c r="I28" i="86"/>
  <c r="J28" i="86"/>
  <c r="K28" i="86"/>
  <c r="M28" i="86"/>
  <c r="N28" i="86"/>
  <c r="O28" i="86"/>
  <c r="Q28" i="86"/>
  <c r="R28" i="86"/>
  <c r="T28" i="86"/>
  <c r="U28" i="86"/>
  <c r="F28" i="86"/>
  <c r="F21" i="86"/>
  <c r="F17" i="86"/>
  <c r="W17" i="86"/>
  <c r="Z28" i="86"/>
  <c r="W28" i="86"/>
  <c r="Y23" i="86"/>
  <c r="H17" i="64"/>
  <c r="H18" i="64"/>
  <c r="I17" i="64"/>
  <c r="I18" i="64"/>
  <c r="I12" i="85"/>
  <c r="K12" i="85"/>
  <c r="H12" i="85"/>
  <c r="F13" i="85"/>
  <c r="E12" i="85" s="1"/>
  <c r="D12" i="85"/>
  <c r="J17" i="63"/>
  <c r="F19" i="63"/>
  <c r="F61" i="84"/>
  <c r="F57" i="84"/>
  <c r="F51" i="84"/>
  <c r="F22" i="84"/>
  <c r="F17" i="84"/>
  <c r="M20" i="64"/>
  <c r="M19" i="64" s="1"/>
  <c r="B12" i="83"/>
  <c r="B11" i="83"/>
  <c r="B10" i="83"/>
  <c r="D19" i="64"/>
  <c r="R19" i="64"/>
  <c r="S19" i="64"/>
  <c r="T19" i="64"/>
  <c r="J90" i="5"/>
  <c r="L15" i="63"/>
  <c r="M15" i="63"/>
  <c r="P15" i="63"/>
  <c r="J17" i="79"/>
  <c r="J16" i="79" s="1"/>
  <c r="I16" i="79"/>
  <c r="H16" i="79"/>
  <c r="AC16" i="57"/>
  <c r="E19" i="63"/>
  <c r="AE19" i="64"/>
  <c r="F14" i="77"/>
  <c r="AD7" i="57"/>
  <c r="O67" i="5"/>
  <c r="Q67" i="5"/>
  <c r="R67" i="5"/>
  <c r="V91" i="5"/>
  <c r="P41" i="58"/>
  <c r="P40" i="58"/>
  <c r="P39" i="58"/>
  <c r="H8" i="2"/>
  <c r="M19" i="63"/>
  <c r="P32" i="58"/>
  <c r="P34" i="58"/>
  <c r="R50" i="5"/>
  <c r="Q50" i="5"/>
  <c r="O50" i="5"/>
  <c r="P19" i="63"/>
  <c r="D8" i="63"/>
  <c r="K30" i="63" s="1"/>
  <c r="K91" i="5"/>
  <c r="R89" i="5"/>
  <c r="R91" i="5"/>
  <c r="D9" i="63"/>
  <c r="F38" i="2"/>
  <c r="F39" i="2" s="1"/>
  <c r="AB9" i="58"/>
  <c r="V21" i="73"/>
  <c r="V20" i="73"/>
  <c r="V19" i="73"/>
  <c r="V17" i="73"/>
  <c r="T17" i="73"/>
  <c r="Q16" i="59"/>
  <c r="AB105" i="5"/>
  <c r="X88" i="5"/>
  <c r="Z85" i="5"/>
  <c r="X105" i="5"/>
  <c r="X107" i="5" s="1"/>
  <c r="AA101" i="5"/>
  <c r="AA100" i="5"/>
  <c r="AA99" i="5"/>
  <c r="AB92" i="5"/>
  <c r="AB93" i="5"/>
  <c r="AB94" i="5"/>
  <c r="AB91" i="5"/>
  <c r="Z95" i="5"/>
  <c r="AA95" i="5"/>
  <c r="AB95" i="5" s="1"/>
  <c r="AA10" i="5"/>
  <c r="E32" i="76"/>
  <c r="I32" i="76" s="1"/>
  <c r="C32" i="76"/>
  <c r="G8" i="2"/>
  <c r="E10" i="68"/>
  <c r="H10" i="68" s="1"/>
  <c r="I10" i="68" s="1"/>
  <c r="J3" i="2"/>
  <c r="J4" i="2"/>
  <c r="J5" i="2"/>
  <c r="J6" i="2"/>
  <c r="J7" i="2"/>
  <c r="J2" i="2"/>
  <c r="H7" i="2"/>
  <c r="G7" i="2"/>
  <c r="H3" i="2"/>
  <c r="H4" i="2"/>
  <c r="H5" i="2"/>
  <c r="H6" i="2"/>
  <c r="H2" i="2"/>
  <c r="G6" i="2"/>
  <c r="G5" i="2"/>
  <c r="G4" i="2"/>
  <c r="G3" i="2"/>
  <c r="G2" i="2"/>
  <c r="K12" i="1"/>
  <c r="K15" i="1" s="1"/>
  <c r="K13" i="1"/>
  <c r="I13" i="1"/>
  <c r="J13" i="1" s="1"/>
  <c r="E12" i="72"/>
  <c r="E13" i="72"/>
  <c r="E14" i="72"/>
  <c r="E15" i="72"/>
  <c r="E16" i="72"/>
  <c r="E17" i="72"/>
  <c r="E11" i="72"/>
  <c r="D18" i="72"/>
  <c r="P25" i="58"/>
  <c r="O89" i="5"/>
  <c r="O91" i="5"/>
  <c r="Q89" i="5"/>
  <c r="Q91" i="5"/>
  <c r="AG18" i="4"/>
  <c r="AH28" i="4"/>
  <c r="AH10" i="4"/>
  <c r="AH12" i="4"/>
  <c r="AH21" i="4"/>
  <c r="AH42" i="4"/>
  <c r="AH40" i="4"/>
  <c r="AH32" i="4"/>
  <c r="AH33" i="4"/>
  <c r="AH35" i="4"/>
  <c r="AH41" i="4"/>
  <c r="AH43" i="4"/>
  <c r="AH52" i="4"/>
  <c r="AH13" i="4"/>
  <c r="L89" i="5"/>
  <c r="M89" i="5"/>
  <c r="M91" i="5" s="1"/>
  <c r="L91" i="5"/>
  <c r="U11" i="1"/>
  <c r="I12" i="1"/>
  <c r="J12" i="1" s="1"/>
  <c r="D14" i="1"/>
  <c r="I14" i="1"/>
  <c r="J14" i="1" s="1"/>
  <c r="L14" i="1" s="1"/>
  <c r="K14" i="1"/>
  <c r="F15" i="1"/>
  <c r="G15" i="1"/>
  <c r="U20" i="1"/>
  <c r="F11" i="68"/>
  <c r="S4" i="28"/>
  <c r="S5" i="28"/>
  <c r="T11" i="28"/>
  <c r="G12" i="28"/>
  <c r="N12" i="28" s="1"/>
  <c r="P12" i="28" s="1"/>
  <c r="O13" i="28"/>
  <c r="S13" i="28"/>
  <c r="T15" i="28"/>
  <c r="T19" i="28"/>
  <c r="U10" i="29"/>
  <c r="G12" i="29"/>
  <c r="G13" i="29" s="1"/>
  <c r="T12" i="29"/>
  <c r="E13" i="29"/>
  <c r="O13" i="29"/>
  <c r="U13" i="29"/>
  <c r="T18" i="29"/>
  <c r="E6" i="6"/>
  <c r="E7" i="6"/>
  <c r="E12" i="6"/>
  <c r="E15" i="6" s="1"/>
  <c r="E13" i="6"/>
  <c r="F13" i="6"/>
  <c r="E14" i="6"/>
  <c r="F14" i="6" s="1"/>
  <c r="F15" i="6" s="1"/>
  <c r="G15" i="6"/>
  <c r="J15" i="6"/>
  <c r="L15" i="6"/>
  <c r="M15" i="6"/>
  <c r="T8" i="21"/>
  <c r="E11" i="21"/>
  <c r="G11" i="21" s="1"/>
  <c r="W12" i="21"/>
  <c r="U14" i="21"/>
  <c r="K9" i="4"/>
  <c r="S9" i="4"/>
  <c r="X9" i="4"/>
  <c r="AF9" i="4"/>
  <c r="AJ9" i="4"/>
  <c r="AJ60" i="4"/>
  <c r="AK9" i="4"/>
  <c r="AK60" i="4" s="1"/>
  <c r="AS9" i="4"/>
  <c r="AT9" i="4" s="1"/>
  <c r="K10" i="4"/>
  <c r="S10" i="4"/>
  <c r="X10" i="4"/>
  <c r="AF10" i="4"/>
  <c r="AJ10" i="4"/>
  <c r="AK10" i="4"/>
  <c r="AS10" i="4"/>
  <c r="AT10" i="4" s="1"/>
  <c r="K11" i="4"/>
  <c r="S11" i="4"/>
  <c r="X11" i="4"/>
  <c r="AF11" i="4"/>
  <c r="AJ11" i="4"/>
  <c r="AK11" i="4"/>
  <c r="AS11" i="4"/>
  <c r="AT11" i="4" s="1"/>
  <c r="K12" i="4"/>
  <c r="S12" i="4"/>
  <c r="X12" i="4"/>
  <c r="AF12" i="4"/>
  <c r="AJ12" i="4"/>
  <c r="AK12" i="4"/>
  <c r="AS12" i="4"/>
  <c r="AT12" i="4" s="1"/>
  <c r="K13" i="4"/>
  <c r="S13" i="4"/>
  <c r="X13" i="4"/>
  <c r="AF13" i="4"/>
  <c r="AJ13" i="4"/>
  <c r="AK13" i="4"/>
  <c r="AQ13" i="4"/>
  <c r="AS13" i="4"/>
  <c r="AT13" i="4" s="1"/>
  <c r="K14" i="4"/>
  <c r="S14" i="4"/>
  <c r="X14" i="4"/>
  <c r="AF14" i="4"/>
  <c r="AG14" i="4"/>
  <c r="AH14" i="4"/>
  <c r="AJ14" i="4"/>
  <c r="AK14" i="4"/>
  <c r="AQ14" i="4"/>
  <c r="AS14" i="4"/>
  <c r="AT14" i="4" s="1"/>
  <c r="K15" i="4"/>
  <c r="S15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7" i="4"/>
  <c r="X59" i="4"/>
  <c r="AF15" i="4"/>
  <c r="AJ15" i="4"/>
  <c r="AK15" i="4"/>
  <c r="AS15" i="4"/>
  <c r="AT15" i="4"/>
  <c r="K16" i="4"/>
  <c r="S16" i="4"/>
  <c r="AF16" i="4"/>
  <c r="AJ16" i="4"/>
  <c r="AK16" i="4"/>
  <c r="AM16" i="4"/>
  <c r="AS16" i="4"/>
  <c r="AT16" i="4"/>
  <c r="K17" i="4"/>
  <c r="S17" i="4"/>
  <c r="AF17" i="4"/>
  <c r="AJ17" i="4"/>
  <c r="AK17" i="4"/>
  <c r="AS17" i="4"/>
  <c r="AT17" i="4" s="1"/>
  <c r="K18" i="4"/>
  <c r="S18" i="4"/>
  <c r="AF18" i="4"/>
  <c r="AJ18" i="4"/>
  <c r="AK18" i="4"/>
  <c r="AS18" i="4"/>
  <c r="AT18" i="4" s="1"/>
  <c r="K19" i="4"/>
  <c r="S19" i="4"/>
  <c r="AF19" i="4"/>
  <c r="AJ19" i="4"/>
  <c r="AK19" i="4"/>
  <c r="AS19" i="4"/>
  <c r="AT19" i="4" s="1"/>
  <c r="K20" i="4"/>
  <c r="S20" i="4"/>
  <c r="AF20" i="4"/>
  <c r="AJ20" i="4"/>
  <c r="AK20" i="4"/>
  <c r="AS20" i="4"/>
  <c r="AT20" i="4" s="1"/>
  <c r="K21" i="4"/>
  <c r="S21" i="4"/>
  <c r="AF21" i="4"/>
  <c r="AJ21" i="4"/>
  <c r="AK21" i="4"/>
  <c r="AS21" i="4"/>
  <c r="AT21" i="4" s="1"/>
  <c r="K22" i="4"/>
  <c r="S22" i="4"/>
  <c r="AF22" i="4"/>
  <c r="AJ22" i="4"/>
  <c r="AK22" i="4"/>
  <c r="AS22" i="4"/>
  <c r="AT22" i="4" s="1"/>
  <c r="K23" i="4"/>
  <c r="S23" i="4"/>
  <c r="AF23" i="4"/>
  <c r="AJ23" i="4"/>
  <c r="AK23" i="4"/>
  <c r="AS23" i="4"/>
  <c r="AT23" i="4" s="1"/>
  <c r="K24" i="4"/>
  <c r="S24" i="4"/>
  <c r="AF24" i="4"/>
  <c r="AJ24" i="4"/>
  <c r="AK24" i="4"/>
  <c r="AS24" i="4"/>
  <c r="AT24" i="4" s="1"/>
  <c r="K25" i="4"/>
  <c r="S25" i="4"/>
  <c r="AF25" i="4"/>
  <c r="AJ25" i="4"/>
  <c r="AK25" i="4"/>
  <c r="AS25" i="4"/>
  <c r="AT25" i="4" s="1"/>
  <c r="K26" i="4"/>
  <c r="S26" i="4"/>
  <c r="AF26" i="4"/>
  <c r="AJ26" i="4"/>
  <c r="AK26" i="4"/>
  <c r="AS26" i="4"/>
  <c r="AT26" i="4" s="1"/>
  <c r="K27" i="4"/>
  <c r="S27" i="4"/>
  <c r="AF27" i="4"/>
  <c r="AJ27" i="4"/>
  <c r="AK27" i="4"/>
  <c r="AM27" i="4"/>
  <c r="AS27" i="4"/>
  <c r="AT27" i="4" s="1"/>
  <c r="K28" i="4"/>
  <c r="S28" i="4"/>
  <c r="AF28" i="4"/>
  <c r="AJ28" i="4"/>
  <c r="AK28" i="4"/>
  <c r="AS28" i="4"/>
  <c r="AT28" i="4" s="1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F57" i="4"/>
  <c r="K57" i="4" s="1"/>
  <c r="K58" i="4"/>
  <c r="K59" i="4"/>
  <c r="S29" i="4"/>
  <c r="AF29" i="4"/>
  <c r="AJ29" i="4"/>
  <c r="AK29" i="4"/>
  <c r="AS29" i="4"/>
  <c r="AT29" i="4" s="1"/>
  <c r="S30" i="4"/>
  <c r="AF30" i="4"/>
  <c r="AJ30" i="4"/>
  <c r="AK30" i="4"/>
  <c r="AS30" i="4"/>
  <c r="AT30" i="4" s="1"/>
  <c r="S31" i="4"/>
  <c r="AF31" i="4"/>
  <c r="AJ31" i="4"/>
  <c r="AK31" i="4"/>
  <c r="AS31" i="4"/>
  <c r="AT31" i="4" s="1"/>
  <c r="S32" i="4"/>
  <c r="AF32" i="4"/>
  <c r="AJ32" i="4"/>
  <c r="AK32" i="4"/>
  <c r="AS32" i="4"/>
  <c r="AT32" i="4"/>
  <c r="S33" i="4"/>
  <c r="AF33" i="4"/>
  <c r="AJ33" i="4"/>
  <c r="AK33" i="4"/>
  <c r="AS33" i="4"/>
  <c r="AT33" i="4" s="1"/>
  <c r="S34" i="4"/>
  <c r="AF34" i="4"/>
  <c r="AJ34" i="4"/>
  <c r="AK34" i="4"/>
  <c r="AS34" i="4"/>
  <c r="AT34" i="4" s="1"/>
  <c r="S35" i="4"/>
  <c r="AF35" i="4"/>
  <c r="AJ35" i="4"/>
  <c r="AK35" i="4"/>
  <c r="AS35" i="4"/>
  <c r="AT35" i="4" s="1"/>
  <c r="S36" i="4"/>
  <c r="AF36" i="4"/>
  <c r="AJ36" i="4"/>
  <c r="AK36" i="4"/>
  <c r="AM36" i="4"/>
  <c r="AS36" i="4"/>
  <c r="AT36" i="4" s="1"/>
  <c r="AF37" i="4"/>
  <c r="AJ37" i="4"/>
  <c r="AK37" i="4"/>
  <c r="AS37" i="4"/>
  <c r="AT37" i="4" s="1"/>
  <c r="S38" i="4"/>
  <c r="AF38" i="4"/>
  <c r="AG38" i="4"/>
  <c r="AI38" i="4" s="1"/>
  <c r="AH38" i="4"/>
  <c r="AJ38" i="4"/>
  <c r="AK38" i="4"/>
  <c r="AS38" i="4"/>
  <c r="AT38" i="4" s="1"/>
  <c r="S39" i="4"/>
  <c r="AF39" i="4"/>
  <c r="AJ39" i="4"/>
  <c r="AK39" i="4"/>
  <c r="AS39" i="4"/>
  <c r="AT39" i="4" s="1"/>
  <c r="S40" i="4"/>
  <c r="AF40" i="4"/>
  <c r="AJ40" i="4"/>
  <c r="AK40" i="4"/>
  <c r="AS40" i="4"/>
  <c r="AT40" i="4" s="1"/>
  <c r="S41" i="4"/>
  <c r="S42" i="4"/>
  <c r="S43" i="4"/>
  <c r="S57" i="4"/>
  <c r="S58" i="4"/>
  <c r="S59" i="4"/>
  <c r="AF41" i="4"/>
  <c r="AJ41" i="4"/>
  <c r="AK41" i="4"/>
  <c r="AS41" i="4"/>
  <c r="AT41" i="4" s="1"/>
  <c r="AF42" i="4"/>
  <c r="AJ42" i="4"/>
  <c r="AK42" i="4"/>
  <c r="AS42" i="4"/>
  <c r="AT42" i="4" s="1"/>
  <c r="AF43" i="4"/>
  <c r="AJ43" i="4"/>
  <c r="AK43" i="4"/>
  <c r="AM43" i="4"/>
  <c r="AS43" i="4"/>
  <c r="AT43" i="4"/>
  <c r="AF44" i="4"/>
  <c r="AJ44" i="4"/>
  <c r="AK44" i="4"/>
  <c r="AS44" i="4"/>
  <c r="AT44" i="4" s="1"/>
  <c r="AF45" i="4"/>
  <c r="AJ45" i="4"/>
  <c r="AK45" i="4"/>
  <c r="AS45" i="4"/>
  <c r="AT45" i="4" s="1"/>
  <c r="AF46" i="4"/>
  <c r="AJ46" i="4"/>
  <c r="AK46" i="4"/>
  <c r="AS46" i="4"/>
  <c r="AT46" i="4" s="1"/>
  <c r="AF47" i="4"/>
  <c r="AJ47" i="4"/>
  <c r="AK47" i="4"/>
  <c r="AS47" i="4"/>
  <c r="AT47" i="4" s="1"/>
  <c r="AF48" i="4"/>
  <c r="AJ48" i="4"/>
  <c r="AK48" i="4"/>
  <c r="AS48" i="4"/>
  <c r="AT48" i="4" s="1"/>
  <c r="AF49" i="4"/>
  <c r="AJ49" i="4"/>
  <c r="AK49" i="4"/>
  <c r="AS49" i="4"/>
  <c r="AT49" i="4" s="1"/>
  <c r="AF50" i="4"/>
  <c r="AG50" i="4"/>
  <c r="AI50" i="4" s="1"/>
  <c r="AH50" i="4"/>
  <c r="AJ50" i="4"/>
  <c r="AK50" i="4"/>
  <c r="AS50" i="4"/>
  <c r="AT50" i="4" s="1"/>
  <c r="AF51" i="4"/>
  <c r="AG51" i="4"/>
  <c r="AH51" i="4"/>
  <c r="AJ51" i="4"/>
  <c r="AK51" i="4"/>
  <c r="AS51" i="4"/>
  <c r="AT51" i="4" s="1"/>
  <c r="AF52" i="4"/>
  <c r="AJ52" i="4"/>
  <c r="AK52" i="4"/>
  <c r="AS52" i="4"/>
  <c r="AT52" i="4" s="1"/>
  <c r="AF53" i="4"/>
  <c r="AG53" i="4"/>
  <c r="AI53" i="4" s="1"/>
  <c r="AH53" i="4"/>
  <c r="AJ53" i="4"/>
  <c r="AK53" i="4"/>
  <c r="AS53" i="4"/>
  <c r="AT53" i="4" s="1"/>
  <c r="AF54" i="4"/>
  <c r="AG54" i="4"/>
  <c r="AI54" i="4" s="1"/>
  <c r="AH54" i="4"/>
  <c r="AJ54" i="4"/>
  <c r="AK54" i="4"/>
  <c r="AS54" i="4"/>
  <c r="AT54" i="4" s="1"/>
  <c r="AF55" i="4"/>
  <c r="AG55" i="4"/>
  <c r="AI55" i="4" s="1"/>
  <c r="AH55" i="4"/>
  <c r="AJ55" i="4"/>
  <c r="AK55" i="4"/>
  <c r="AS55" i="4"/>
  <c r="AT55" i="4" s="1"/>
  <c r="AF56" i="4"/>
  <c r="AG56" i="4"/>
  <c r="AH56" i="4"/>
  <c r="AJ56" i="4"/>
  <c r="AK56" i="4"/>
  <c r="AS56" i="4"/>
  <c r="AT56" i="4" s="1"/>
  <c r="AE57" i="4"/>
  <c r="AE60" i="4" s="1"/>
  <c r="AI57" i="4"/>
  <c r="AS57" i="4"/>
  <c r="AT57" i="4" s="1"/>
  <c r="AF58" i="4"/>
  <c r="AI58" i="4"/>
  <c r="AS58" i="4"/>
  <c r="AT58" i="4" s="1"/>
  <c r="AC59" i="4"/>
  <c r="AD59" i="4"/>
  <c r="AD60" i="4" s="1"/>
  <c r="AI59" i="4"/>
  <c r="AS59" i="4"/>
  <c r="AT59" i="4"/>
  <c r="E60" i="4"/>
  <c r="G60" i="4"/>
  <c r="H60" i="4"/>
  <c r="I60" i="4"/>
  <c r="J60" i="4"/>
  <c r="L60" i="4"/>
  <c r="M60" i="4"/>
  <c r="N60" i="4"/>
  <c r="O60" i="4"/>
  <c r="P60" i="4"/>
  <c r="Q60" i="4"/>
  <c r="R60" i="4"/>
  <c r="T60" i="4"/>
  <c r="U60" i="4"/>
  <c r="V60" i="4"/>
  <c r="W60" i="4"/>
  <c r="Y60" i="4"/>
  <c r="Z60" i="4"/>
  <c r="AA60" i="4"/>
  <c r="AB60" i="4"/>
  <c r="AL60" i="4"/>
  <c r="U75" i="4"/>
  <c r="B88" i="4"/>
  <c r="E10" i="26"/>
  <c r="E11" i="26" s="1"/>
  <c r="C11" i="26"/>
  <c r="G11" i="42"/>
  <c r="G12" i="42"/>
  <c r="G13" i="42"/>
  <c r="G20" i="42" s="1"/>
  <c r="G14" i="42"/>
  <c r="G15" i="42"/>
  <c r="G16" i="42"/>
  <c r="G17" i="42"/>
  <c r="G18" i="42"/>
  <c r="G19" i="42"/>
  <c r="E20" i="42"/>
  <c r="F20" i="42"/>
  <c r="E9" i="37"/>
  <c r="H9" i="37"/>
  <c r="O9" i="37" s="1"/>
  <c r="P9" i="37"/>
  <c r="K9" i="37"/>
  <c r="E10" i="37"/>
  <c r="H10" i="37" s="1"/>
  <c r="I10" i="37" s="1"/>
  <c r="K10" i="37"/>
  <c r="P10" i="37"/>
  <c r="E11" i="37"/>
  <c r="H11" i="37" s="1"/>
  <c r="O11" i="37" s="1"/>
  <c r="I11" i="37"/>
  <c r="P11" i="37"/>
  <c r="Q11" i="37" s="1"/>
  <c r="R11" i="37" s="1"/>
  <c r="K11" i="37"/>
  <c r="E12" i="37"/>
  <c r="H12" i="37"/>
  <c r="I12" i="37" s="1"/>
  <c r="P12" i="37"/>
  <c r="K12" i="37"/>
  <c r="E13" i="37"/>
  <c r="H13" i="37" s="1"/>
  <c r="K13" i="37"/>
  <c r="P13" i="37"/>
  <c r="E14" i="37"/>
  <c r="H14" i="37" s="1"/>
  <c r="I14" i="37" s="1"/>
  <c r="P14" i="37"/>
  <c r="K14" i="37"/>
  <c r="E15" i="37"/>
  <c r="H15" i="37" s="1"/>
  <c r="I15" i="37" s="1"/>
  <c r="K15" i="37"/>
  <c r="P15" i="37"/>
  <c r="E16" i="37"/>
  <c r="H16" i="37" s="1"/>
  <c r="I16" i="37" s="1"/>
  <c r="K16" i="37"/>
  <c r="P16" i="37"/>
  <c r="E17" i="37"/>
  <c r="H17" i="37" s="1"/>
  <c r="K17" i="37"/>
  <c r="P17" i="37"/>
  <c r="E18" i="37"/>
  <c r="H18" i="37" s="1"/>
  <c r="P18" i="37"/>
  <c r="K18" i="37"/>
  <c r="E19" i="37"/>
  <c r="H19" i="37" s="1"/>
  <c r="K19" i="37"/>
  <c r="P19" i="37"/>
  <c r="E20" i="37"/>
  <c r="H20" i="37"/>
  <c r="O20" i="37" s="1"/>
  <c r="P20" i="37"/>
  <c r="K20" i="37"/>
  <c r="E21" i="37"/>
  <c r="H21" i="37" s="1"/>
  <c r="P21" i="37"/>
  <c r="K21" i="37"/>
  <c r="E22" i="37"/>
  <c r="H22" i="37" s="1"/>
  <c r="O22" i="37" s="1"/>
  <c r="K22" i="37"/>
  <c r="P22" i="37"/>
  <c r="E23" i="37"/>
  <c r="H23" i="37" s="1"/>
  <c r="K23" i="37"/>
  <c r="P23" i="37"/>
  <c r="E24" i="37"/>
  <c r="H24" i="37" s="1"/>
  <c r="O24" i="37" s="1"/>
  <c r="Q24" i="37" s="1"/>
  <c r="R24" i="37" s="1"/>
  <c r="P24" i="37"/>
  <c r="K24" i="37"/>
  <c r="E25" i="37"/>
  <c r="H25" i="37" s="1"/>
  <c r="I25" i="37" s="1"/>
  <c r="K25" i="37"/>
  <c r="P25" i="37"/>
  <c r="E26" i="37"/>
  <c r="H26" i="37" s="1"/>
  <c r="O26" i="37" s="1"/>
  <c r="P26" i="37"/>
  <c r="K26" i="37"/>
  <c r="E27" i="37"/>
  <c r="H27" i="37" s="1"/>
  <c r="I27" i="37" s="1"/>
  <c r="K27" i="37"/>
  <c r="P27" i="37"/>
  <c r="E28" i="37"/>
  <c r="H28" i="37" s="1"/>
  <c r="P28" i="37"/>
  <c r="K28" i="37"/>
  <c r="E29" i="37"/>
  <c r="H29" i="37" s="1"/>
  <c r="O29" i="37" s="1"/>
  <c r="Q29" i="37" s="1"/>
  <c r="R29" i="37" s="1"/>
  <c r="K29" i="37"/>
  <c r="P29" i="37"/>
  <c r="E30" i="37"/>
  <c r="H30" i="37" s="1"/>
  <c r="K30" i="37"/>
  <c r="P30" i="37"/>
  <c r="E31" i="37"/>
  <c r="H31" i="37" s="1"/>
  <c r="P31" i="37"/>
  <c r="K31" i="37"/>
  <c r="E32" i="37"/>
  <c r="H32" i="37" s="1"/>
  <c r="O32" i="37" s="1"/>
  <c r="Q32" i="37" s="1"/>
  <c r="R32" i="37" s="1"/>
  <c r="K32" i="37"/>
  <c r="P32" i="37"/>
  <c r="E33" i="37"/>
  <c r="H33" i="37" s="1"/>
  <c r="O33" i="37" s="1"/>
  <c r="Q33" i="37" s="1"/>
  <c r="R33" i="37" s="1"/>
  <c r="P33" i="37"/>
  <c r="K33" i="37"/>
  <c r="E34" i="37"/>
  <c r="H34" i="37" s="1"/>
  <c r="O34" i="37" s="1"/>
  <c r="P34" i="37"/>
  <c r="K34" i="37"/>
  <c r="E35" i="37"/>
  <c r="H35" i="37" s="1"/>
  <c r="O35" i="37" s="1"/>
  <c r="K35" i="37"/>
  <c r="P35" i="37"/>
  <c r="E36" i="37"/>
  <c r="H36" i="37" s="1"/>
  <c r="P36" i="37"/>
  <c r="K36" i="37"/>
  <c r="E37" i="37"/>
  <c r="H37" i="37" s="1"/>
  <c r="P37" i="37"/>
  <c r="K37" i="37"/>
  <c r="E38" i="37"/>
  <c r="H38" i="37" s="1"/>
  <c r="O38" i="37" s="1"/>
  <c r="P38" i="37"/>
  <c r="K38" i="37"/>
  <c r="E39" i="37"/>
  <c r="H39" i="37" s="1"/>
  <c r="K39" i="37"/>
  <c r="P39" i="37"/>
  <c r="E40" i="37"/>
  <c r="H40" i="37" s="1"/>
  <c r="K40" i="37"/>
  <c r="P40" i="37"/>
  <c r="E41" i="37"/>
  <c r="H41" i="37" s="1"/>
  <c r="O41" i="37" s="1"/>
  <c r="Q41" i="37" s="1"/>
  <c r="R41" i="37" s="1"/>
  <c r="K41" i="37"/>
  <c r="P41" i="37"/>
  <c r="E42" i="37"/>
  <c r="H42" i="37" s="1"/>
  <c r="I42" i="37" s="1"/>
  <c r="L42" i="37" s="1"/>
  <c r="M42" i="37" s="1"/>
  <c r="K42" i="37"/>
  <c r="P42" i="37"/>
  <c r="E43" i="37"/>
  <c r="H43" i="37" s="1"/>
  <c r="I43" i="37" s="1"/>
  <c r="L43" i="37" s="1"/>
  <c r="K43" i="37"/>
  <c r="P43" i="37"/>
  <c r="E44" i="37"/>
  <c r="H44" i="37"/>
  <c r="I44" i="37" s="1"/>
  <c r="P44" i="37"/>
  <c r="K44" i="37"/>
  <c r="E45" i="37"/>
  <c r="H45" i="37"/>
  <c r="P45" i="37"/>
  <c r="K45" i="37"/>
  <c r="E46" i="37"/>
  <c r="H46" i="37"/>
  <c r="I46" i="37" s="1"/>
  <c r="K46" i="37"/>
  <c r="P46" i="37"/>
  <c r="E47" i="37"/>
  <c r="H47" i="37"/>
  <c r="I47" i="37" s="1"/>
  <c r="P47" i="37"/>
  <c r="K47" i="37"/>
  <c r="E48" i="37"/>
  <c r="H48" i="37" s="1"/>
  <c r="I48" i="37" s="1"/>
  <c r="K48" i="37"/>
  <c r="P48" i="37"/>
  <c r="E49" i="37"/>
  <c r="H49" i="37" s="1"/>
  <c r="K49" i="37"/>
  <c r="P49" i="37"/>
  <c r="E50" i="37"/>
  <c r="H50" i="37" s="1"/>
  <c r="I50" i="37" s="1"/>
  <c r="K50" i="37"/>
  <c r="P50" i="37"/>
  <c r="E51" i="37"/>
  <c r="H51" i="37" s="1"/>
  <c r="K51" i="37"/>
  <c r="P51" i="37"/>
  <c r="E52" i="37"/>
  <c r="H52" i="37" s="1"/>
  <c r="K52" i="37"/>
  <c r="P52" i="37"/>
  <c r="E53" i="37"/>
  <c r="H53" i="37" s="1"/>
  <c r="O53" i="37" s="1"/>
  <c r="Q53" i="37" s="1"/>
  <c r="R53" i="37" s="1"/>
  <c r="K53" i="37"/>
  <c r="P53" i="37"/>
  <c r="E54" i="37"/>
  <c r="H54" i="37" s="1"/>
  <c r="K54" i="37"/>
  <c r="P54" i="37"/>
  <c r="E55" i="37"/>
  <c r="H55" i="37" s="1"/>
  <c r="P55" i="37"/>
  <c r="K55" i="37"/>
  <c r="E56" i="37"/>
  <c r="H56" i="37" s="1"/>
  <c r="P56" i="37"/>
  <c r="K56" i="37"/>
  <c r="I9" i="20"/>
  <c r="I10" i="20"/>
  <c r="K10" i="20" s="1"/>
  <c r="L10" i="20" s="1"/>
  <c r="K11" i="20"/>
  <c r="L11" i="20" s="1"/>
  <c r="K12" i="20"/>
  <c r="L12" i="20" s="1"/>
  <c r="K13" i="20"/>
  <c r="L13" i="20" s="1"/>
  <c r="K14" i="20"/>
  <c r="L14" i="20" s="1"/>
  <c r="K15" i="20"/>
  <c r="L15" i="20" s="1"/>
  <c r="I16" i="20"/>
  <c r="K16" i="20" s="1"/>
  <c r="L16" i="20" s="1"/>
  <c r="I17" i="20"/>
  <c r="K17" i="20" s="1"/>
  <c r="L17" i="20" s="1"/>
  <c r="I18" i="20"/>
  <c r="K18" i="20" s="1"/>
  <c r="L18" i="20" s="1"/>
  <c r="I19" i="20"/>
  <c r="K19" i="20" s="1"/>
  <c r="L19" i="20" s="1"/>
  <c r="K20" i="20"/>
  <c r="L20" i="20"/>
  <c r="K21" i="20"/>
  <c r="L21" i="20" s="1"/>
  <c r="I22" i="20"/>
  <c r="K22" i="20" s="1"/>
  <c r="L22" i="20" s="1"/>
  <c r="I23" i="20"/>
  <c r="K23" i="20" s="1"/>
  <c r="L23" i="20" s="1"/>
  <c r="I24" i="20"/>
  <c r="K24" i="20" s="1"/>
  <c r="L24" i="20" s="1"/>
  <c r="I25" i="20"/>
  <c r="K25" i="20" s="1"/>
  <c r="L25" i="20" s="1"/>
  <c r="I26" i="20"/>
  <c r="K26" i="20"/>
  <c r="L26" i="20" s="1"/>
  <c r="I27" i="20"/>
  <c r="K27" i="20" s="1"/>
  <c r="L27" i="20" s="1"/>
  <c r="I28" i="20"/>
  <c r="K28" i="20" s="1"/>
  <c r="L28" i="20" s="1"/>
  <c r="I29" i="20"/>
  <c r="K29" i="20" s="1"/>
  <c r="L29" i="20" s="1"/>
  <c r="K30" i="20"/>
  <c r="L30" i="20" s="1"/>
  <c r="I31" i="20"/>
  <c r="K31" i="20"/>
  <c r="L31" i="20" s="1"/>
  <c r="I32" i="20"/>
  <c r="K32" i="20" s="1"/>
  <c r="L32" i="20" s="1"/>
  <c r="I33" i="20"/>
  <c r="K33" i="20" s="1"/>
  <c r="L33" i="20" s="1"/>
  <c r="I34" i="20"/>
  <c r="K34" i="20" s="1"/>
  <c r="L34" i="20"/>
  <c r="I35" i="20"/>
  <c r="K35" i="20"/>
  <c r="L35" i="20" s="1"/>
  <c r="I36" i="20"/>
  <c r="K36" i="20"/>
  <c r="L36" i="20" s="1"/>
  <c r="I37" i="20"/>
  <c r="K37" i="20"/>
  <c r="L37" i="20" s="1"/>
  <c r="I38" i="20"/>
  <c r="K38" i="20" s="1"/>
  <c r="L38" i="20"/>
  <c r="C39" i="20"/>
  <c r="E39" i="20"/>
  <c r="F39" i="20"/>
  <c r="H39" i="20"/>
  <c r="E38" i="2"/>
  <c r="C11" i="41"/>
  <c r="B11" i="41" s="1"/>
  <c r="G11" i="41"/>
  <c r="J11" i="41"/>
  <c r="M11" i="41"/>
  <c r="P11" i="41"/>
  <c r="C12" i="41"/>
  <c r="B12" i="41" s="1"/>
  <c r="G12" i="41"/>
  <c r="J12" i="41"/>
  <c r="M12" i="41"/>
  <c r="P12" i="41"/>
  <c r="C13" i="41"/>
  <c r="B13" i="41" s="1"/>
  <c r="G13" i="41"/>
  <c r="J13" i="41"/>
  <c r="M13" i="41"/>
  <c r="P13" i="41"/>
  <c r="C14" i="41"/>
  <c r="B14" i="41" s="1"/>
  <c r="G14" i="41"/>
  <c r="J14" i="41"/>
  <c r="M14" i="41"/>
  <c r="M15" i="41"/>
  <c r="M16" i="41"/>
  <c r="M17" i="41"/>
  <c r="M18" i="41"/>
  <c r="M19" i="41"/>
  <c r="M20" i="41"/>
  <c r="M21" i="41"/>
  <c r="M22" i="41"/>
  <c r="Q22" i="41" s="1"/>
  <c r="M23" i="41"/>
  <c r="M24" i="41"/>
  <c r="M25" i="41"/>
  <c r="M26" i="41"/>
  <c r="M27" i="41"/>
  <c r="M28" i="41"/>
  <c r="M29" i="41"/>
  <c r="M34" i="41"/>
  <c r="M35" i="41"/>
  <c r="M36" i="41"/>
  <c r="P14" i="41"/>
  <c r="C15" i="41"/>
  <c r="B15" i="41" s="1"/>
  <c r="G15" i="41"/>
  <c r="J15" i="41"/>
  <c r="P15" i="41"/>
  <c r="C16" i="41"/>
  <c r="B16" i="41" s="1"/>
  <c r="G16" i="41"/>
  <c r="J16" i="41"/>
  <c r="P16" i="41"/>
  <c r="C17" i="41"/>
  <c r="G17" i="41"/>
  <c r="J17" i="41"/>
  <c r="P17" i="41"/>
  <c r="C18" i="41"/>
  <c r="G18" i="41"/>
  <c r="J18" i="41"/>
  <c r="P18" i="41"/>
  <c r="C19" i="41"/>
  <c r="G19" i="41"/>
  <c r="J19" i="41"/>
  <c r="P19" i="41"/>
  <c r="C20" i="41"/>
  <c r="G20" i="41"/>
  <c r="J20" i="41"/>
  <c r="P20" i="41"/>
  <c r="C21" i="41"/>
  <c r="G21" i="41"/>
  <c r="J21" i="41"/>
  <c r="P21" i="41"/>
  <c r="C22" i="41"/>
  <c r="G22" i="41"/>
  <c r="J22" i="41"/>
  <c r="P22" i="41"/>
  <c r="C23" i="41"/>
  <c r="G23" i="41"/>
  <c r="J23" i="41"/>
  <c r="P23" i="41"/>
  <c r="C24" i="41"/>
  <c r="B24" i="41" s="1"/>
  <c r="G24" i="41"/>
  <c r="Q24" i="41" s="1"/>
  <c r="J24" i="41"/>
  <c r="P24" i="41"/>
  <c r="C25" i="41"/>
  <c r="B25" i="41" s="1"/>
  <c r="G25" i="41"/>
  <c r="J25" i="41"/>
  <c r="P25" i="41"/>
  <c r="C26" i="41"/>
  <c r="B26" i="41" s="1"/>
  <c r="G26" i="41"/>
  <c r="J26" i="41"/>
  <c r="P26" i="41"/>
  <c r="C27" i="41"/>
  <c r="B27" i="41" s="1"/>
  <c r="G27" i="41"/>
  <c r="J27" i="41"/>
  <c r="P27" i="41"/>
  <c r="C28" i="41"/>
  <c r="B28" i="41" s="1"/>
  <c r="G28" i="41"/>
  <c r="J28" i="41"/>
  <c r="P28" i="41"/>
  <c r="C29" i="41"/>
  <c r="B29" i="41" s="1"/>
  <c r="G29" i="41"/>
  <c r="J29" i="41"/>
  <c r="Q29" i="41"/>
  <c r="P29" i="41"/>
  <c r="C30" i="41"/>
  <c r="C31" i="41"/>
  <c r="C32" i="41"/>
  <c r="C33" i="41"/>
  <c r="C34" i="41"/>
  <c r="B34" i="41" s="1"/>
  <c r="G34" i="41"/>
  <c r="J34" i="41"/>
  <c r="Q34" i="41" s="1"/>
  <c r="P34" i="41"/>
  <c r="C35" i="41"/>
  <c r="B35" i="41" s="1"/>
  <c r="G35" i="41"/>
  <c r="J35" i="41"/>
  <c r="Q35" i="41" s="1"/>
  <c r="P35" i="41"/>
  <c r="C36" i="41"/>
  <c r="B36" i="41" s="1"/>
  <c r="G36" i="41"/>
  <c r="J36" i="41"/>
  <c r="P36" i="41"/>
  <c r="B38" i="41"/>
  <c r="G38" i="41"/>
  <c r="Q38" i="41"/>
  <c r="B39" i="41"/>
  <c r="G39" i="41"/>
  <c r="Q39" i="41" s="1"/>
  <c r="B40" i="41"/>
  <c r="G40" i="41"/>
  <c r="Q40" i="41" s="1"/>
  <c r="B41" i="41"/>
  <c r="G41" i="41"/>
  <c r="Q41" i="41" s="1"/>
  <c r="B46" i="41"/>
  <c r="G46" i="41"/>
  <c r="Q46" i="41" s="1"/>
  <c r="B47" i="41"/>
  <c r="Q47" i="41"/>
  <c r="B48" i="41"/>
  <c r="Q48" i="41"/>
  <c r="E49" i="41"/>
  <c r="G49" i="41"/>
  <c r="H49" i="41"/>
  <c r="K49" i="41"/>
  <c r="N49" i="41"/>
  <c r="H9" i="15"/>
  <c r="I9" i="15" s="1"/>
  <c r="H10" i="15"/>
  <c r="I10" i="15" s="1"/>
  <c r="H11" i="15"/>
  <c r="I11" i="15" s="1"/>
  <c r="H12" i="15"/>
  <c r="I12" i="15" s="1"/>
  <c r="H13" i="15"/>
  <c r="I13" i="15" s="1"/>
  <c r="H14" i="15"/>
  <c r="I14" i="15" s="1"/>
  <c r="H15" i="15"/>
  <c r="I15" i="15" s="1"/>
  <c r="J15" i="15"/>
  <c r="N15" i="15"/>
  <c r="O15" i="15"/>
  <c r="H16" i="15"/>
  <c r="I16" i="15"/>
  <c r="J16" i="15"/>
  <c r="N16" i="15"/>
  <c r="O16" i="15"/>
  <c r="P16" i="15"/>
  <c r="O17" i="15"/>
  <c r="P17" i="15"/>
  <c r="O18" i="15"/>
  <c r="P18" i="15"/>
  <c r="O19" i="15"/>
  <c r="P19" i="15"/>
  <c r="O20" i="15"/>
  <c r="P20" i="15"/>
  <c r="O21" i="15"/>
  <c r="P21" i="15"/>
  <c r="O22" i="15"/>
  <c r="P22" i="15" s="1"/>
  <c r="O23" i="15"/>
  <c r="P23" i="15" s="1"/>
  <c r="O24" i="15"/>
  <c r="P24" i="15"/>
  <c r="O25" i="15"/>
  <c r="P25" i="15" s="1"/>
  <c r="H17" i="15"/>
  <c r="I17" i="15" s="1"/>
  <c r="J17" i="15"/>
  <c r="N17" i="15"/>
  <c r="H18" i="15"/>
  <c r="I18" i="15" s="1"/>
  <c r="J18" i="15"/>
  <c r="N18" i="15"/>
  <c r="H19" i="15"/>
  <c r="I19" i="15" s="1"/>
  <c r="J19" i="15"/>
  <c r="N19" i="15"/>
  <c r="H20" i="15"/>
  <c r="I20" i="15"/>
  <c r="H21" i="15"/>
  <c r="I21" i="15" s="1"/>
  <c r="H22" i="15"/>
  <c r="I22" i="15" s="1"/>
  <c r="H23" i="15"/>
  <c r="I23" i="15" s="1"/>
  <c r="H24" i="15"/>
  <c r="I24" i="15" s="1"/>
  <c r="H25" i="15"/>
  <c r="I25" i="15" s="1"/>
  <c r="J20" i="15"/>
  <c r="N20" i="15"/>
  <c r="J21" i="15"/>
  <c r="N21" i="15"/>
  <c r="J22" i="15"/>
  <c r="N22" i="15"/>
  <c r="J23" i="15"/>
  <c r="N23" i="15"/>
  <c r="J24" i="15"/>
  <c r="N24" i="15"/>
  <c r="J25" i="15"/>
  <c r="N25" i="15"/>
  <c r="D26" i="15"/>
  <c r="E26" i="15"/>
  <c r="F26" i="15"/>
  <c r="G26" i="15"/>
  <c r="J26" i="15"/>
  <c r="M27" i="15"/>
  <c r="M29" i="15"/>
  <c r="N29" i="15" s="1"/>
  <c r="Z11" i="19"/>
  <c r="Z12" i="19"/>
  <c r="Z13" i="19"/>
  <c r="Z14" i="19"/>
  <c r="Z15" i="19"/>
  <c r="Z16" i="19"/>
  <c r="Z17" i="19"/>
  <c r="Z18" i="19"/>
  <c r="Z19" i="19"/>
  <c r="Z20" i="19"/>
  <c r="Z21" i="19"/>
  <c r="Z22" i="19"/>
  <c r="Z23" i="19"/>
  <c r="Z24" i="19"/>
  <c r="Z25" i="19"/>
  <c r="Z26" i="19"/>
  <c r="Z27" i="19"/>
  <c r="Z28" i="19"/>
  <c r="Z29" i="19"/>
  <c r="Z30" i="19"/>
  <c r="Z31" i="19"/>
  <c r="Z32" i="19"/>
  <c r="Z33" i="19"/>
  <c r="Z34" i="19"/>
  <c r="Z35" i="19"/>
  <c r="Z37" i="19"/>
  <c r="Z38" i="19"/>
  <c r="Z39" i="19"/>
  <c r="Z40" i="19"/>
  <c r="Z41" i="19"/>
  <c r="Z42" i="19"/>
  <c r="Z43" i="19"/>
  <c r="Z44" i="19"/>
  <c r="Z45" i="19"/>
  <c r="Z46" i="19"/>
  <c r="Z47" i="19"/>
  <c r="Z48" i="19"/>
  <c r="Z49" i="19"/>
  <c r="Z50" i="19"/>
  <c r="Z51" i="19"/>
  <c r="Z52" i="19"/>
  <c r="Z53" i="19"/>
  <c r="Z54" i="19"/>
  <c r="Z55" i="19"/>
  <c r="Z56" i="19"/>
  <c r="Z57" i="19"/>
  <c r="Z58" i="19"/>
  <c r="Z59" i="19"/>
  <c r="Z60" i="19"/>
  <c r="Z61" i="19"/>
  <c r="Z62" i="19"/>
  <c r="Z63" i="19"/>
  <c r="Z64" i="19"/>
  <c r="Z65" i="19"/>
  <c r="Z66" i="19"/>
  <c r="Z67" i="19"/>
  <c r="Z68" i="19"/>
  <c r="Z69" i="19"/>
  <c r="Z70" i="19"/>
  <c r="Z71" i="19"/>
  <c r="Z72" i="19"/>
  <c r="Z73" i="19"/>
  <c r="Z74" i="19"/>
  <c r="Z75" i="19"/>
  <c r="Z76" i="19"/>
  <c r="Z77" i="19"/>
  <c r="Z78" i="19"/>
  <c r="Z79" i="19"/>
  <c r="Z80" i="19"/>
  <c r="Z81" i="19"/>
  <c r="Z82" i="19"/>
  <c r="Z83" i="19"/>
  <c r="Z84" i="19"/>
  <c r="Z85" i="19"/>
  <c r="Z86" i="19"/>
  <c r="Z87" i="19"/>
  <c r="Z88" i="19"/>
  <c r="Z89" i="19"/>
  <c r="Z90" i="19"/>
  <c r="Z91" i="19"/>
  <c r="Z92" i="19"/>
  <c r="Z93" i="19"/>
  <c r="Z94" i="19"/>
  <c r="Z95" i="19"/>
  <c r="Z96" i="19"/>
  <c r="E11" i="28"/>
  <c r="E13" i="28" s="1"/>
  <c r="U16" i="28" s="1"/>
  <c r="D85" i="57"/>
  <c r="P11" i="58"/>
  <c r="P12" i="58"/>
  <c r="P13" i="58"/>
  <c r="P14" i="58"/>
  <c r="P15" i="58"/>
  <c r="P16" i="58"/>
  <c r="P17" i="58"/>
  <c r="P19" i="58"/>
  <c r="P21" i="58"/>
  <c r="P24" i="58"/>
  <c r="P28" i="58"/>
  <c r="P29" i="58"/>
  <c r="P30" i="58"/>
  <c r="F20" i="59"/>
  <c r="AG22" i="4"/>
  <c r="AH20" i="4"/>
  <c r="AG20" i="4"/>
  <c r="AG13" i="4"/>
  <c r="AI13" i="4" s="1"/>
  <c r="AG23" i="4"/>
  <c r="AH17" i="4"/>
  <c r="AH22" i="4"/>
  <c r="AH18" i="4"/>
  <c r="AI18" i="4" s="1"/>
  <c r="AG17" i="4"/>
  <c r="AH23" i="4"/>
  <c r="AG44" i="4"/>
  <c r="AH44" i="4"/>
  <c r="AG49" i="4"/>
  <c r="AH15" i="4"/>
  <c r="AG48" i="4"/>
  <c r="AI48" i="4" s="1"/>
  <c r="AG15" i="4"/>
  <c r="AI15" i="4" s="1"/>
  <c r="AH48" i="4"/>
  <c r="AH49" i="4"/>
  <c r="AG29" i="4"/>
  <c r="AI29" i="4" s="1"/>
  <c r="AG30" i="4"/>
  <c r="AH29" i="4"/>
  <c r="AH30" i="4"/>
  <c r="D38" i="2"/>
  <c r="AH31" i="4"/>
  <c r="AH19" i="4"/>
  <c r="AH25" i="4"/>
  <c r="AH37" i="4"/>
  <c r="AH34" i="4"/>
  <c r="AH36" i="4"/>
  <c r="AH11" i="4"/>
  <c r="AH45" i="4"/>
  <c r="AG45" i="4"/>
  <c r="AH27" i="4"/>
  <c r="AG27" i="4"/>
  <c r="AH39" i="4"/>
  <c r="AH47" i="4"/>
  <c r="AH16" i="4"/>
  <c r="AH46" i="4"/>
  <c r="AH24" i="4"/>
  <c r="AI24" i="4" s="1"/>
  <c r="AH26" i="4"/>
  <c r="AI26" i="4" s="1"/>
  <c r="AH9" i="4"/>
  <c r="I15" i="1"/>
  <c r="U18" i="1" s="1"/>
  <c r="C38" i="2"/>
  <c r="AC60" i="4"/>
  <c r="I9" i="37"/>
  <c r="L9" i="37" s="1"/>
  <c r="M9" i="37" s="1"/>
  <c r="AG28" i="4"/>
  <c r="AG16" i="4"/>
  <c r="AG25" i="4"/>
  <c r="AI25" i="4" s="1"/>
  <c r="AG11" i="4"/>
  <c r="H13" i="6"/>
  <c r="I13" i="6" s="1"/>
  <c r="K13" i="6" s="1"/>
  <c r="N13" i="6" s="1"/>
  <c r="AG10" i="4"/>
  <c r="AG26" i="4"/>
  <c r="AG46" i="4"/>
  <c r="AI46" i="4" s="1"/>
  <c r="AG12" i="4"/>
  <c r="AG9" i="4"/>
  <c r="AG60" i="4" s="1"/>
  <c r="AG47" i="4"/>
  <c r="AI47" i="4" s="1"/>
  <c r="AG34" i="4"/>
  <c r="AG36" i="4"/>
  <c r="AI36" i="4" s="1"/>
  <c r="V84" i="5"/>
  <c r="AG39" i="4"/>
  <c r="AG19" i="4"/>
  <c r="AI19" i="4"/>
  <c r="AG31" i="4"/>
  <c r="AG37" i="4"/>
  <c r="AG21" i="4"/>
  <c r="AI21" i="4" s="1"/>
  <c r="AG41" i="4"/>
  <c r="AI41" i="4" s="1"/>
  <c r="AG52" i="4"/>
  <c r="T23" i="1"/>
  <c r="AI23" i="4"/>
  <c r="AI10" i="4"/>
  <c r="AG33" i="4"/>
  <c r="AG42" i="4"/>
  <c r="AG35" i="4"/>
  <c r="AI35" i="4" s="1"/>
  <c r="AG40" i="4"/>
  <c r="AI40" i="4" s="1"/>
  <c r="AG32" i="4"/>
  <c r="AI32" i="4" s="1"/>
  <c r="AG43" i="4"/>
  <c r="AI43" i="4" s="1"/>
  <c r="AG24" i="4"/>
  <c r="H90" i="5"/>
  <c r="O15" i="37"/>
  <c r="Q15" i="37" s="1"/>
  <c r="R15" i="37" s="1"/>
  <c r="G13" i="83"/>
  <c r="O25" i="37"/>
  <c r="Q25" i="37" s="1"/>
  <c r="R25" i="37" s="1"/>
  <c r="I56" i="37"/>
  <c r="O56" i="37"/>
  <c r="O50" i="37"/>
  <c r="Q50" i="37" s="1"/>
  <c r="R50" i="37" s="1"/>
  <c r="N12" i="29"/>
  <c r="AA97" i="5"/>
  <c r="AI30" i="4"/>
  <c r="I13" i="37"/>
  <c r="O13" i="37"/>
  <c r="Q13" i="37"/>
  <c r="R13" i="37" s="1"/>
  <c r="L46" i="37"/>
  <c r="M46" i="37" s="1"/>
  <c r="AM46" i="4" s="1"/>
  <c r="O21" i="37"/>
  <c r="I21" i="37"/>
  <c r="L21" i="37"/>
  <c r="M21" i="37" s="1"/>
  <c r="N85" i="5"/>
  <c r="P85" i="5" s="1"/>
  <c r="K89" i="5"/>
  <c r="G92" i="5"/>
  <c r="N87" i="5"/>
  <c r="P87" i="5" s="1"/>
  <c r="H17" i="63"/>
  <c r="J20" i="64"/>
  <c r="J19" i="64" s="1"/>
  <c r="J24" i="64" s="1"/>
  <c r="K20" i="64"/>
  <c r="K19" i="64" s="1"/>
  <c r="O19" i="64"/>
  <c r="I20" i="63"/>
  <c r="I19" i="63" s="1"/>
  <c r="O84" i="5"/>
  <c r="H88" i="5"/>
  <c r="N88" i="5"/>
  <c r="N86" i="5"/>
  <c r="P86" i="5" s="1"/>
  <c r="S86" i="5" s="1"/>
  <c r="N89" i="5"/>
  <c r="S87" i="5"/>
  <c r="X87" i="5" s="1"/>
  <c r="G15" i="63"/>
  <c r="H18" i="63"/>
  <c r="S88" i="5"/>
  <c r="P88" i="5"/>
  <c r="S41" i="58"/>
  <c r="F17" i="79"/>
  <c r="L17" i="79" s="1"/>
  <c r="L16" i="79" s="1"/>
  <c r="U12" i="5"/>
  <c r="AB31" i="100"/>
  <c r="F30" i="86"/>
  <c r="H16" i="86"/>
  <c r="L16" i="86" s="1"/>
  <c r="P16" i="86" s="1"/>
  <c r="S16" i="86" s="1"/>
  <c r="V16" i="86" s="1"/>
  <c r="K31" i="97"/>
  <c r="J19" i="98"/>
  <c r="K49" i="97"/>
  <c r="K28" i="97"/>
  <c r="J21" i="98"/>
  <c r="J25" i="98"/>
  <c r="J27" i="98"/>
  <c r="J17" i="98"/>
  <c r="K29" i="99"/>
  <c r="K28" i="99"/>
  <c r="K42" i="97"/>
  <c r="K16" i="97"/>
  <c r="K40" i="97"/>
  <c r="K30" i="97"/>
  <c r="K39" i="97"/>
  <c r="K27" i="97"/>
  <c r="K18" i="99"/>
  <c r="K25" i="99"/>
  <c r="B42" i="104"/>
  <c r="B152" i="104"/>
  <c r="B167" i="125"/>
  <c r="B85" i="125"/>
  <c r="B62" i="101"/>
  <c r="B43" i="125"/>
  <c r="B3" i="125"/>
  <c r="E79" i="58"/>
  <c r="H79" i="58" s="1"/>
  <c r="S57" i="57"/>
  <c r="I25" i="146" s="1"/>
  <c r="J25" i="146" s="1"/>
  <c r="D41" i="3"/>
  <c r="D49" i="3"/>
  <c r="E11" i="68"/>
  <c r="J23" i="98"/>
  <c r="J28" i="98"/>
  <c r="J16" i="98"/>
  <c r="K34" i="116"/>
  <c r="K36" i="116"/>
  <c r="K42" i="116"/>
  <c r="K39" i="116"/>
  <c r="K45" i="116"/>
  <c r="K15" i="116"/>
  <c r="K17" i="116"/>
  <c r="K21" i="116"/>
  <c r="K23" i="116"/>
  <c r="K27" i="116"/>
  <c r="K28" i="116"/>
  <c r="K30" i="116"/>
  <c r="J24" i="98"/>
  <c r="S61" i="57"/>
  <c r="I29" i="146" s="1"/>
  <c r="J29" i="146" s="1"/>
  <c r="D33" i="3"/>
  <c r="AA11" i="105"/>
  <c r="AE13" i="113"/>
  <c r="T12" i="113"/>
  <c r="F12" i="113"/>
  <c r="X11" i="113"/>
  <c r="S56" i="3" l="1"/>
  <c r="S60" i="3"/>
  <c r="S64" i="3"/>
  <c r="S68" i="3"/>
  <c r="S19" i="3"/>
  <c r="S23" i="3"/>
  <c r="S27" i="3"/>
  <c r="S31" i="3"/>
  <c r="S35" i="3"/>
  <c r="S39" i="3"/>
  <c r="S43" i="3"/>
  <c r="S47" i="3"/>
  <c r="S51" i="3"/>
  <c r="S57" i="3"/>
  <c r="S61" i="3"/>
  <c r="S65" i="3"/>
  <c r="S69" i="3"/>
  <c r="S20" i="3"/>
  <c r="S24" i="3"/>
  <c r="S28" i="3"/>
  <c r="S32" i="3"/>
  <c r="S36" i="3"/>
  <c r="S40" i="3"/>
  <c r="S44" i="3"/>
  <c r="S48" i="3"/>
  <c r="S52" i="3"/>
  <c r="S58" i="3"/>
  <c r="S62" i="3"/>
  <c r="S66" i="3"/>
  <c r="S21" i="3"/>
  <c r="S25" i="3"/>
  <c r="S29" i="3"/>
  <c r="S33" i="3"/>
  <c r="S37" i="3"/>
  <c r="S41" i="3"/>
  <c r="S45" i="3"/>
  <c r="S49" i="3"/>
  <c r="S18" i="3"/>
  <c r="S59" i="3"/>
  <c r="S63" i="3"/>
  <c r="S67" i="3"/>
  <c r="S55" i="3"/>
  <c r="S22" i="3"/>
  <c r="S26" i="3"/>
  <c r="S30" i="3"/>
  <c r="S34" i="3"/>
  <c r="S38" i="3"/>
  <c r="S42" i="3"/>
  <c r="S46" i="3"/>
  <c r="S50" i="3"/>
  <c r="S17" i="3"/>
  <c r="P29" i="3"/>
  <c r="M12" i="73"/>
  <c r="M13" i="73" s="1"/>
  <c r="D73" i="3"/>
  <c r="G73" i="3"/>
  <c r="Y45" i="57"/>
  <c r="P49" i="3" s="1"/>
  <c r="Y37" i="57"/>
  <c r="P41" i="3" s="1"/>
  <c r="Y29" i="57"/>
  <c r="P33" i="3" s="1"/>
  <c r="X33" i="57"/>
  <c r="O34" i="108" s="1"/>
  <c r="W25" i="57"/>
  <c r="V21" i="57"/>
  <c r="G85" i="3"/>
  <c r="H85" i="3" s="1"/>
  <c r="G29" i="110"/>
  <c r="H29" i="110" s="1"/>
  <c r="V68" i="57"/>
  <c r="G16" i="110"/>
  <c r="H16" i="110" s="1"/>
  <c r="G83" i="3"/>
  <c r="H83" i="3" s="1"/>
  <c r="G27" i="110"/>
  <c r="H27" i="110" s="1"/>
  <c r="G309" i="125"/>
  <c r="G81" i="3"/>
  <c r="H310" i="125" s="1"/>
  <c r="I310" i="125" s="1"/>
  <c r="Y17" i="57"/>
  <c r="P21" i="3" s="1"/>
  <c r="W13" i="57"/>
  <c r="N14" i="108" s="1"/>
  <c r="V13" i="57"/>
  <c r="Y78" i="57"/>
  <c r="G26" i="110"/>
  <c r="H26" i="110" s="1"/>
  <c r="Y77" i="57"/>
  <c r="G25" i="110"/>
  <c r="H25" i="110" s="1"/>
  <c r="W76" i="57"/>
  <c r="G24" i="110"/>
  <c r="H24" i="110" s="1"/>
  <c r="X75" i="57"/>
  <c r="P79" i="3" s="1"/>
  <c r="G23" i="110"/>
  <c r="H23" i="110" s="1"/>
  <c r="Y73" i="57"/>
  <c r="G21" i="110"/>
  <c r="H21" i="110" s="1"/>
  <c r="X72" i="57"/>
  <c r="O76" i="3" s="1"/>
  <c r="G20" i="110"/>
  <c r="H20" i="110" s="1"/>
  <c r="V69" i="57"/>
  <c r="G17" i="110"/>
  <c r="H17" i="110" s="1"/>
  <c r="B299" i="125"/>
  <c r="G78" i="3"/>
  <c r="Y21" i="57"/>
  <c r="P25" i="3" s="1"/>
  <c r="X25" i="57"/>
  <c r="W17" i="57"/>
  <c r="N18" i="108" s="1"/>
  <c r="G84" i="3"/>
  <c r="H84" i="3" s="1"/>
  <c r="G28" i="110"/>
  <c r="H28" i="110" s="1"/>
  <c r="G28" i="5"/>
  <c r="K28" i="5" s="1"/>
  <c r="R84" i="5"/>
  <c r="R92" i="5" s="1"/>
  <c r="P36" i="3"/>
  <c r="B122" i="104"/>
  <c r="B117" i="101"/>
  <c r="B52" i="101"/>
  <c r="B157" i="104"/>
  <c r="W58" i="57"/>
  <c r="N26" i="146" s="1"/>
  <c r="V54" i="57"/>
  <c r="Y59" i="57"/>
  <c r="L66" i="5"/>
  <c r="Y54" i="57"/>
  <c r="Y24" i="57"/>
  <c r="P25" i="108" s="1"/>
  <c r="X55" i="57"/>
  <c r="P59" i="3" s="1"/>
  <c r="W40" i="57"/>
  <c r="N44" i="3" s="1"/>
  <c r="V24" i="57"/>
  <c r="M25" i="108" s="1"/>
  <c r="B12" i="104"/>
  <c r="G66" i="5"/>
  <c r="K66" i="5" s="1"/>
  <c r="N66" i="5" s="1"/>
  <c r="P66" i="5" s="1"/>
  <c r="S66" i="5" s="1"/>
  <c r="B22" i="104"/>
  <c r="Y48" i="57"/>
  <c r="P49" i="108" s="1"/>
  <c r="X43" i="57"/>
  <c r="O47" i="3" s="1"/>
  <c r="W60" i="57"/>
  <c r="N28" i="146" s="1"/>
  <c r="X81" i="57"/>
  <c r="O85" i="3" s="1"/>
  <c r="H78" i="133"/>
  <c r="P85" i="3"/>
  <c r="U88" i="3"/>
  <c r="V88" i="3" s="1"/>
  <c r="G32" i="5"/>
  <c r="K32" i="5" s="1"/>
  <c r="G24" i="5"/>
  <c r="K24" i="5" s="1"/>
  <c r="G16" i="5"/>
  <c r="K16" i="5" s="1"/>
  <c r="B17" i="101"/>
  <c r="G65" i="5"/>
  <c r="K65" i="5" s="1"/>
  <c r="X62" i="57"/>
  <c r="O66" i="3" s="1"/>
  <c r="X54" i="57"/>
  <c r="P58" i="3" s="1"/>
  <c r="W62" i="57"/>
  <c r="N30" i="146" s="1"/>
  <c r="B87" i="101"/>
  <c r="S58" i="57"/>
  <c r="I26" i="146" s="1"/>
  <c r="J26" i="146" s="1"/>
  <c r="D61" i="3"/>
  <c r="B147" i="104"/>
  <c r="B127" i="101"/>
  <c r="G57" i="5"/>
  <c r="K57" i="5" s="1"/>
  <c r="C83" i="5"/>
  <c r="G83" i="5" s="1"/>
  <c r="K83" i="5" s="1"/>
  <c r="N83" i="5" s="1"/>
  <c r="P83" i="5" s="1"/>
  <c r="S83" i="5" s="1"/>
  <c r="Y58" i="57"/>
  <c r="Y28" i="57"/>
  <c r="P29" i="108" s="1"/>
  <c r="X59" i="57"/>
  <c r="P63" i="3" s="1"/>
  <c r="X48" i="57"/>
  <c r="O52" i="3" s="1"/>
  <c r="X16" i="57"/>
  <c r="O20" i="3" s="1"/>
  <c r="V43" i="57"/>
  <c r="M47" i="3" s="1"/>
  <c r="D43" i="3"/>
  <c r="B107" i="104"/>
  <c r="B57" i="104"/>
  <c r="B47" i="101"/>
  <c r="G48" i="5"/>
  <c r="K48" i="5" s="1"/>
  <c r="Y43" i="57"/>
  <c r="P47" i="3" s="1"/>
  <c r="X58" i="57"/>
  <c r="O62" i="3" s="1"/>
  <c r="X37" i="57"/>
  <c r="O41" i="3" s="1"/>
  <c r="X21" i="57"/>
  <c r="O22" i="108" s="1"/>
  <c r="W35" i="57"/>
  <c r="N39" i="3" s="1"/>
  <c r="W29" i="57"/>
  <c r="N30" i="108" s="1"/>
  <c r="U59" i="57"/>
  <c r="J63" i="3" s="1"/>
  <c r="C232" i="125" s="1"/>
  <c r="V55" i="57"/>
  <c r="M23" i="146" s="1"/>
  <c r="M28" i="146"/>
  <c r="B82" i="101"/>
  <c r="M30" i="146"/>
  <c r="M26" i="146"/>
  <c r="M22" i="146"/>
  <c r="Q22" i="146" s="1"/>
  <c r="K21" i="97"/>
  <c r="K23" i="97"/>
  <c r="K26" i="97"/>
  <c r="K47" i="97"/>
  <c r="K41" i="97"/>
  <c r="K29" i="97"/>
  <c r="K24" i="97"/>
  <c r="K44" i="97"/>
  <c r="K17" i="97"/>
  <c r="K15" i="99"/>
  <c r="K23" i="99"/>
  <c r="K19" i="99"/>
  <c r="K21" i="99"/>
  <c r="K17" i="99"/>
  <c r="M65" i="57"/>
  <c r="J28" i="123"/>
  <c r="M61" i="57"/>
  <c r="J24" i="123"/>
  <c r="M57" i="57"/>
  <c r="J20" i="123"/>
  <c r="M53" i="57"/>
  <c r="J16" i="123"/>
  <c r="I30" i="37"/>
  <c r="O30" i="37"/>
  <c r="Q30" i="37" s="1"/>
  <c r="R30" i="37" s="1"/>
  <c r="M68" i="57"/>
  <c r="J14" i="130"/>
  <c r="M62" i="57"/>
  <c r="J25" i="123"/>
  <c r="M58" i="57"/>
  <c r="J21" i="123"/>
  <c r="M54" i="57"/>
  <c r="J17" i="123"/>
  <c r="J31" i="57"/>
  <c r="K32" i="116"/>
  <c r="M21" i="57"/>
  <c r="K22" i="122"/>
  <c r="M19" i="57"/>
  <c r="K20" i="122"/>
  <c r="L14" i="57"/>
  <c r="K15" i="124"/>
  <c r="O55" i="37"/>
  <c r="I55" i="37"/>
  <c r="L55" i="37" s="1"/>
  <c r="M55" i="37" s="1"/>
  <c r="AM55" i="4" s="1"/>
  <c r="O31" i="37"/>
  <c r="Q31" i="37" s="1"/>
  <c r="R31" i="37" s="1"/>
  <c r="I31" i="37"/>
  <c r="L31" i="37" s="1"/>
  <c r="M31" i="37" s="1"/>
  <c r="AM31" i="4" s="1"/>
  <c r="J76" i="57"/>
  <c r="K22" i="119"/>
  <c r="J72" i="57"/>
  <c r="K18" i="119"/>
  <c r="M63" i="57"/>
  <c r="R63" i="57" s="1"/>
  <c r="G31" i="146" s="1"/>
  <c r="H31" i="146" s="1"/>
  <c r="J26" i="123"/>
  <c r="M59" i="57"/>
  <c r="J22" i="123"/>
  <c r="M55" i="57"/>
  <c r="J18" i="123"/>
  <c r="M51" i="57"/>
  <c r="J14" i="123"/>
  <c r="H30" i="123"/>
  <c r="J24" i="57"/>
  <c r="K25" i="116"/>
  <c r="L19" i="57"/>
  <c r="K20" i="124"/>
  <c r="L17" i="57"/>
  <c r="K18" i="124"/>
  <c r="J15" i="57"/>
  <c r="K16" i="116"/>
  <c r="I28" i="37"/>
  <c r="L28" i="37" s="1"/>
  <c r="M28" i="37" s="1"/>
  <c r="O28" i="37"/>
  <c r="M64" i="57"/>
  <c r="J27" i="123"/>
  <c r="M60" i="57"/>
  <c r="J23" i="123"/>
  <c r="M56" i="57"/>
  <c r="J19" i="123"/>
  <c r="M52" i="57"/>
  <c r="J15" i="123"/>
  <c r="M47" i="57"/>
  <c r="K48" i="122"/>
  <c r="J18" i="57"/>
  <c r="K19" i="116"/>
  <c r="AI37" i="4"/>
  <c r="B132" i="101"/>
  <c r="G11" i="28"/>
  <c r="G13" i="28" s="1"/>
  <c r="B72" i="101"/>
  <c r="I53" i="37"/>
  <c r="L53" i="37" s="1"/>
  <c r="M53" i="37" s="1"/>
  <c r="H14" i="6"/>
  <c r="I14" i="6" s="1"/>
  <c r="K14" i="6" s="1"/>
  <c r="N14" i="6" s="1"/>
  <c r="O14" i="37"/>
  <c r="Q14" i="37" s="1"/>
  <c r="R14" i="37" s="1"/>
  <c r="AI27" i="4"/>
  <c r="AI11" i="4"/>
  <c r="AI17" i="4"/>
  <c r="Q28" i="41"/>
  <c r="Q25" i="41"/>
  <c r="L50" i="37"/>
  <c r="M50" i="37" s="1"/>
  <c r="Q35" i="37"/>
  <c r="R35" i="37" s="1"/>
  <c r="L15" i="37"/>
  <c r="M15" i="37" s="1"/>
  <c r="L12" i="1"/>
  <c r="T85" i="57"/>
  <c r="O36" i="127"/>
  <c r="J24" i="130"/>
  <c r="V75" i="57"/>
  <c r="M79" i="3" s="1"/>
  <c r="AI39" i="4"/>
  <c r="L30" i="37"/>
  <c r="M30" i="37" s="1"/>
  <c r="S30" i="37" s="1"/>
  <c r="B172" i="101"/>
  <c r="AI9" i="4"/>
  <c r="AI60" i="4" s="1"/>
  <c r="L47" i="37"/>
  <c r="M47" i="37" s="1"/>
  <c r="L44" i="37"/>
  <c r="M44" i="37" s="1"/>
  <c r="AM44" i="4" s="1"/>
  <c r="L13" i="37"/>
  <c r="M13" i="37" s="1"/>
  <c r="L12" i="37"/>
  <c r="M12" i="37" s="1"/>
  <c r="L11" i="37"/>
  <c r="M11" i="37" s="1"/>
  <c r="S60" i="4"/>
  <c r="AI28" i="4"/>
  <c r="E18" i="72"/>
  <c r="Q84" i="5"/>
  <c r="Q92" i="5" s="1"/>
  <c r="M24" i="64"/>
  <c r="L24" i="64"/>
  <c r="R17" i="86"/>
  <c r="R30" i="86" s="1"/>
  <c r="J17" i="86"/>
  <c r="J30" i="86" s="1"/>
  <c r="O37" i="117"/>
  <c r="O39" i="127"/>
  <c r="O52" i="129"/>
  <c r="J22" i="130"/>
  <c r="M72" i="57"/>
  <c r="J46" i="120"/>
  <c r="J43" i="120"/>
  <c r="M43" i="120" s="1"/>
  <c r="J39" i="120"/>
  <c r="J34" i="120"/>
  <c r="J32" i="120"/>
  <c r="J15" i="120"/>
  <c r="K14" i="57" s="1"/>
  <c r="F12" i="85"/>
  <c r="AI12" i="4"/>
  <c r="AA16" i="19"/>
  <c r="AB16" i="19" s="1"/>
  <c r="Q20" i="41"/>
  <c r="Q16" i="41"/>
  <c r="Q15" i="41"/>
  <c r="Q27" i="41"/>
  <c r="Q13" i="41"/>
  <c r="L48" i="37"/>
  <c r="M48" i="37" s="1"/>
  <c r="S48" i="37" s="1"/>
  <c r="AF59" i="4"/>
  <c r="AI56" i="4"/>
  <c r="AI52" i="4"/>
  <c r="AI33" i="4"/>
  <c r="G15" i="64"/>
  <c r="O25" i="117"/>
  <c r="O54" i="117"/>
  <c r="O26" i="118"/>
  <c r="T35" i="118"/>
  <c r="O44" i="118"/>
  <c r="T53" i="118"/>
  <c r="N85" i="57"/>
  <c r="S21" i="127"/>
  <c r="W14" i="129"/>
  <c r="W15" i="129" s="1"/>
  <c r="Y13" i="129"/>
  <c r="O37" i="129"/>
  <c r="X14" i="129" s="1"/>
  <c r="X15" i="129" s="1"/>
  <c r="K27" i="99"/>
  <c r="J48" i="120"/>
  <c r="J35" i="120"/>
  <c r="J33" i="120"/>
  <c r="K32" i="57" s="1"/>
  <c r="R32" i="57" s="1"/>
  <c r="J27" i="120"/>
  <c r="K26" i="57" s="1"/>
  <c r="J25" i="120"/>
  <c r="J18" i="120"/>
  <c r="K17" i="57" s="1"/>
  <c r="J14" i="120"/>
  <c r="K13" i="57" s="1"/>
  <c r="I54" i="37"/>
  <c r="L54" i="37" s="1"/>
  <c r="M54" i="37" s="1"/>
  <c r="AM54" i="4" s="1"/>
  <c r="O54" i="37"/>
  <c r="Q54" i="37" s="1"/>
  <c r="R54" i="37" s="1"/>
  <c r="P12" i="29"/>
  <c r="P13" i="29" s="1"/>
  <c r="N13" i="29"/>
  <c r="O51" i="37"/>
  <c r="Q51" i="37" s="1"/>
  <c r="R51" i="37" s="1"/>
  <c r="I51" i="37"/>
  <c r="L51" i="37" s="1"/>
  <c r="M51" i="37" s="1"/>
  <c r="I52" i="37"/>
  <c r="L52" i="37" s="1"/>
  <c r="M52" i="37" s="1"/>
  <c r="O52" i="37"/>
  <c r="Q52" i="37" s="1"/>
  <c r="R52" i="37" s="1"/>
  <c r="I23" i="37"/>
  <c r="L23" i="37" s="1"/>
  <c r="M23" i="37" s="1"/>
  <c r="AM23" i="4" s="1"/>
  <c r="O23" i="37"/>
  <c r="Q23" i="37" s="1"/>
  <c r="R23" i="37" s="1"/>
  <c r="O92" i="5"/>
  <c r="O48" i="37"/>
  <c r="Q48" i="37" s="1"/>
  <c r="R48" i="37" s="1"/>
  <c r="I49" i="37"/>
  <c r="L49" i="37" s="1"/>
  <c r="M49" i="37" s="1"/>
  <c r="O49" i="37"/>
  <c r="Q49" i="37" s="1"/>
  <c r="R49" i="37" s="1"/>
  <c r="S31" i="37"/>
  <c r="AA11" i="19"/>
  <c r="AB11" i="19" s="1"/>
  <c r="Q19" i="41"/>
  <c r="K87" i="114"/>
  <c r="O49" i="117"/>
  <c r="O26" i="127"/>
  <c r="J80" i="57"/>
  <c r="K26" i="119"/>
  <c r="J47" i="57"/>
  <c r="K48" i="116"/>
  <c r="L42" i="57"/>
  <c r="K43" i="124"/>
  <c r="K41" i="57"/>
  <c r="M42" i="120"/>
  <c r="K37" i="116"/>
  <c r="J36" i="57"/>
  <c r="M34" i="57"/>
  <c r="K35" i="122"/>
  <c r="K32" i="124"/>
  <c r="L31" i="57"/>
  <c r="M23" i="57"/>
  <c r="K24" i="122"/>
  <c r="K21" i="57"/>
  <c r="M22" i="120"/>
  <c r="L20" i="57"/>
  <c r="K21" i="124"/>
  <c r="AA31" i="19"/>
  <c r="AB31" i="19" s="1"/>
  <c r="P90" i="5"/>
  <c r="O46" i="37"/>
  <c r="Q46" i="37" s="1"/>
  <c r="R46" i="37" s="1"/>
  <c r="Q28" i="37"/>
  <c r="R28" i="37" s="1"/>
  <c r="S28" i="37" s="1"/>
  <c r="AI42" i="4"/>
  <c r="AA72" i="19"/>
  <c r="AB72" i="19" s="1"/>
  <c r="AA67" i="19"/>
  <c r="AB67" i="19" s="1"/>
  <c r="AA26" i="19"/>
  <c r="AB26" i="19" s="1"/>
  <c r="Q36" i="41"/>
  <c r="Q12" i="41"/>
  <c r="L25" i="37"/>
  <c r="M25" i="37" s="1"/>
  <c r="F62" i="84"/>
  <c r="AI16" i="87"/>
  <c r="T17" i="86"/>
  <c r="T30" i="86" s="1"/>
  <c r="K17" i="86"/>
  <c r="K30" i="86" s="1"/>
  <c r="O43" i="118"/>
  <c r="Z14" i="129"/>
  <c r="Z15" i="129" s="1"/>
  <c r="O47" i="129"/>
  <c r="J81" i="57"/>
  <c r="K27" i="119"/>
  <c r="J69" i="57"/>
  <c r="K15" i="119"/>
  <c r="K65" i="57"/>
  <c r="J28" i="121"/>
  <c r="K63" i="57"/>
  <c r="J26" i="121"/>
  <c r="K61" i="57"/>
  <c r="J24" i="121"/>
  <c r="K60" i="57"/>
  <c r="J23" i="121"/>
  <c r="K56" i="57"/>
  <c r="J19" i="121"/>
  <c r="K51" i="57"/>
  <c r="H30" i="121"/>
  <c r="L48" i="57"/>
  <c r="K49" i="124"/>
  <c r="K45" i="57"/>
  <c r="M46" i="120"/>
  <c r="L26" i="57"/>
  <c r="K27" i="124"/>
  <c r="B137" i="104"/>
  <c r="B27" i="101"/>
  <c r="K22" i="99"/>
  <c r="AL12" i="94"/>
  <c r="AM12" i="94" s="1"/>
  <c r="P28" i="86"/>
  <c r="L28" i="86"/>
  <c r="L56" i="37"/>
  <c r="M56" i="37" s="1"/>
  <c r="K17" i="79"/>
  <c r="K16" i="79" s="1"/>
  <c r="I24" i="37"/>
  <c r="L24" i="37" s="1"/>
  <c r="M24" i="37" s="1"/>
  <c r="AM24" i="4" s="1"/>
  <c r="I32" i="37"/>
  <c r="L32" i="37" s="1"/>
  <c r="M32" i="37" s="1"/>
  <c r="I33" i="37"/>
  <c r="L33" i="37" s="1"/>
  <c r="M33" i="37" s="1"/>
  <c r="AF57" i="4"/>
  <c r="AF60" i="4" s="1"/>
  <c r="F12" i="6"/>
  <c r="H12" i="6" s="1"/>
  <c r="AI20" i="4"/>
  <c r="AA62" i="19"/>
  <c r="AB62" i="19" s="1"/>
  <c r="AA37" i="19"/>
  <c r="AB37" i="19" s="1"/>
  <c r="O27" i="15"/>
  <c r="O28" i="15" s="1"/>
  <c r="Q26" i="41"/>
  <c r="P49" i="41"/>
  <c r="Q55" i="37"/>
  <c r="R55" i="37" s="1"/>
  <c r="Q38" i="37"/>
  <c r="R38" i="37" s="1"/>
  <c r="Q34" i="37"/>
  <c r="R34" i="37" s="1"/>
  <c r="L16" i="37"/>
  <c r="AI51" i="4"/>
  <c r="P24" i="63"/>
  <c r="S24" i="64"/>
  <c r="K89" i="114"/>
  <c r="K22" i="116"/>
  <c r="K17" i="119"/>
  <c r="J21" i="121"/>
  <c r="T21" i="127"/>
  <c r="O45" i="127"/>
  <c r="J29" i="130"/>
  <c r="M27" i="132"/>
  <c r="W25" i="132" s="1"/>
  <c r="W28" i="132" s="1"/>
  <c r="J23" i="130"/>
  <c r="M77" i="57"/>
  <c r="J19" i="130"/>
  <c r="M73" i="57"/>
  <c r="M41" i="57"/>
  <c r="R41" i="57" s="1"/>
  <c r="G45" i="3" s="1"/>
  <c r="H44" i="91" s="1"/>
  <c r="J44" i="91" s="1"/>
  <c r="K42" i="122"/>
  <c r="L40" i="57"/>
  <c r="K41" i="124"/>
  <c r="M33" i="57"/>
  <c r="K34" i="122"/>
  <c r="M30" i="57"/>
  <c r="K31" i="122"/>
  <c r="L24" i="57"/>
  <c r="K25" i="124"/>
  <c r="K19" i="57"/>
  <c r="M20" i="120"/>
  <c r="K15" i="57"/>
  <c r="M16" i="120"/>
  <c r="L13" i="57"/>
  <c r="K14" i="124"/>
  <c r="H50" i="124"/>
  <c r="J15" i="1"/>
  <c r="V15" i="1" s="1"/>
  <c r="AI44" i="4"/>
  <c r="AA87" i="19"/>
  <c r="AB87" i="19" s="1"/>
  <c r="AA47" i="19"/>
  <c r="AB47" i="19" s="1"/>
  <c r="Q11" i="41"/>
  <c r="L27" i="37"/>
  <c r="Q26" i="37"/>
  <c r="R26" i="37" s="1"/>
  <c r="Q20" i="37"/>
  <c r="R20" i="37" s="1"/>
  <c r="L10" i="37"/>
  <c r="M10" i="37" s="1"/>
  <c r="Q9" i="37"/>
  <c r="R9" i="37" s="1"/>
  <c r="L99" i="114"/>
  <c r="L101" i="114" s="1"/>
  <c r="K33" i="116"/>
  <c r="H30" i="119"/>
  <c r="T26" i="132"/>
  <c r="T28" i="132" s="1"/>
  <c r="O26" i="132"/>
  <c r="J83" i="57"/>
  <c r="K29" i="119"/>
  <c r="J70" i="57"/>
  <c r="K16" i="119"/>
  <c r="J68" i="57"/>
  <c r="K14" i="119"/>
  <c r="K64" i="57"/>
  <c r="R64" i="57" s="1"/>
  <c r="G32" i="146" s="1"/>
  <c r="H32" i="146" s="1"/>
  <c r="J27" i="121"/>
  <c r="K62" i="57"/>
  <c r="R62" i="57" s="1"/>
  <c r="J25" i="121"/>
  <c r="K57" i="57"/>
  <c r="R57" i="57" s="1"/>
  <c r="G25" i="146" s="1"/>
  <c r="H25" i="146" s="1"/>
  <c r="J20" i="121"/>
  <c r="K55" i="57"/>
  <c r="R55" i="57" s="1"/>
  <c r="G23" i="146" s="1"/>
  <c r="H23" i="146" s="1"/>
  <c r="J18" i="121"/>
  <c r="K54" i="57"/>
  <c r="J17" i="121"/>
  <c r="K52" i="57"/>
  <c r="J15" i="121"/>
  <c r="K31" i="57"/>
  <c r="M32" i="120"/>
  <c r="M18" i="57"/>
  <c r="K19" i="122"/>
  <c r="K14" i="122"/>
  <c r="M13" i="57"/>
  <c r="K44" i="116"/>
  <c r="K26" i="99"/>
  <c r="O10" i="37"/>
  <c r="H50" i="116"/>
  <c r="B77" i="104"/>
  <c r="B97" i="101"/>
  <c r="K24" i="64"/>
  <c r="O27" i="37"/>
  <c r="Q27" i="37" s="1"/>
  <c r="R27" i="37" s="1"/>
  <c r="S27" i="37" s="1"/>
  <c r="I26" i="37"/>
  <c r="L26" i="37" s="1"/>
  <c r="M26" i="37" s="1"/>
  <c r="AM26" i="4" s="1"/>
  <c r="I20" i="37"/>
  <c r="L20" i="37" s="1"/>
  <c r="M20" i="37" s="1"/>
  <c r="AM20" i="4" s="1"/>
  <c r="O43" i="37"/>
  <c r="Q43" i="37" s="1"/>
  <c r="R43" i="37" s="1"/>
  <c r="S43" i="37" s="1"/>
  <c r="O42" i="37"/>
  <c r="Q42" i="37" s="1"/>
  <c r="R42" i="37" s="1"/>
  <c r="AI45" i="4"/>
  <c r="AI34" i="4"/>
  <c r="AI31" i="4"/>
  <c r="AI49" i="4"/>
  <c r="AI22" i="4"/>
  <c r="AA92" i="19"/>
  <c r="AB92" i="19" s="1"/>
  <c r="AA77" i="19"/>
  <c r="AB77" i="19" s="1"/>
  <c r="AA57" i="19"/>
  <c r="AB57" i="19" s="1"/>
  <c r="Q23" i="41"/>
  <c r="Q18" i="41"/>
  <c r="Q17" i="41"/>
  <c r="O47" i="37"/>
  <c r="Q47" i="37" s="1"/>
  <c r="R47" i="37" s="1"/>
  <c r="Q22" i="37"/>
  <c r="R22" i="37" s="1"/>
  <c r="L14" i="37"/>
  <c r="M14" i="37" s="1"/>
  <c r="AM14" i="4" s="1"/>
  <c r="Q10" i="37"/>
  <c r="R10" i="37" s="1"/>
  <c r="AI14" i="4"/>
  <c r="L13" i="1"/>
  <c r="R24" i="64"/>
  <c r="I15" i="64"/>
  <c r="J14" i="121"/>
  <c r="J22" i="121"/>
  <c r="Q31" i="127"/>
  <c r="O31" i="127"/>
  <c r="M80" i="57"/>
  <c r="J26" i="130"/>
  <c r="J78" i="57"/>
  <c r="K24" i="119"/>
  <c r="J77" i="57"/>
  <c r="K23" i="119"/>
  <c r="J74" i="57"/>
  <c r="K20" i="119"/>
  <c r="J73" i="57"/>
  <c r="K19" i="119"/>
  <c r="L46" i="57"/>
  <c r="R46" i="57" s="1"/>
  <c r="G47" i="108" s="1"/>
  <c r="H47" i="108" s="1"/>
  <c r="K47" i="124"/>
  <c r="L33" i="57"/>
  <c r="K34" i="124"/>
  <c r="M15" i="57"/>
  <c r="K16" i="122"/>
  <c r="M14" i="120"/>
  <c r="O36" i="117"/>
  <c r="K31" i="116"/>
  <c r="K48" i="124"/>
  <c r="K28" i="124"/>
  <c r="K41" i="122"/>
  <c r="M27" i="120"/>
  <c r="M15" i="120"/>
  <c r="AC14" i="129"/>
  <c r="AC15" i="129" s="1"/>
  <c r="S13" i="131"/>
  <c r="M16" i="110"/>
  <c r="G38" i="5"/>
  <c r="K38" i="5" s="1"/>
  <c r="K40" i="124"/>
  <c r="K38" i="124"/>
  <c r="K39" i="122"/>
  <c r="K36" i="122"/>
  <c r="M36" i="120"/>
  <c r="H85" i="57"/>
  <c r="O85" i="57"/>
  <c r="O26" i="129"/>
  <c r="U14" i="129" s="1"/>
  <c r="U15" i="129" s="1"/>
  <c r="J25" i="130"/>
  <c r="O41" i="132"/>
  <c r="O40" i="132" s="1"/>
  <c r="M48" i="132"/>
  <c r="Y25" i="132" s="1"/>
  <c r="Y28" i="132" s="1"/>
  <c r="O56" i="132"/>
  <c r="S56" i="132" s="1"/>
  <c r="R43" i="57"/>
  <c r="G47" i="3" s="1"/>
  <c r="K42" i="57"/>
  <c r="J40" i="120"/>
  <c r="J37" i="120"/>
  <c r="J28" i="120"/>
  <c r="L15" i="57"/>
  <c r="W55" i="57"/>
  <c r="N23" i="146" s="1"/>
  <c r="X83" i="57"/>
  <c r="P87" i="3" s="1"/>
  <c r="C23" i="89"/>
  <c r="N24" i="110"/>
  <c r="M23" i="110"/>
  <c r="M17" i="110"/>
  <c r="X64" i="57"/>
  <c r="O68" i="3" s="1"/>
  <c r="X60" i="57"/>
  <c r="O64" i="3" s="1"/>
  <c r="Y56" i="57"/>
  <c r="X52" i="57"/>
  <c r="O56" i="3" s="1"/>
  <c r="X51" i="57"/>
  <c r="O55" i="3" s="1"/>
  <c r="G19" i="5"/>
  <c r="K19" i="5" s="1"/>
  <c r="G72" i="5"/>
  <c r="K72" i="5" s="1"/>
  <c r="V61" i="57"/>
  <c r="M29" i="146" s="1"/>
  <c r="W57" i="57"/>
  <c r="W53" i="57"/>
  <c r="O15" i="117"/>
  <c r="S22" i="117"/>
  <c r="O28" i="118"/>
  <c r="O27" i="118" s="1"/>
  <c r="O45" i="118"/>
  <c r="J30" i="123"/>
  <c r="K44" i="122"/>
  <c r="M18" i="120"/>
  <c r="M19" i="120"/>
  <c r="M24" i="120"/>
  <c r="O41" i="127"/>
  <c r="O15" i="127"/>
  <c r="O42" i="129"/>
  <c r="V14" i="129" s="1"/>
  <c r="V15" i="129" s="1"/>
  <c r="O39" i="129"/>
  <c r="S14" i="129" s="1"/>
  <c r="S15" i="129" s="1"/>
  <c r="O22" i="131"/>
  <c r="O25" i="132"/>
  <c r="V13" i="131"/>
  <c r="V14" i="131" s="1"/>
  <c r="M81" i="57"/>
  <c r="M75" i="57"/>
  <c r="J29" i="120"/>
  <c r="R21" i="57"/>
  <c r="G22" i="108" s="1"/>
  <c r="H22" i="108" s="1"/>
  <c r="J21" i="120"/>
  <c r="K30" i="110"/>
  <c r="S55" i="57"/>
  <c r="I23" i="146" s="1"/>
  <c r="J23" i="146" s="1"/>
  <c r="E9" i="108"/>
  <c r="N56" i="3"/>
  <c r="G39" i="5"/>
  <c r="K39" i="5" s="1"/>
  <c r="P39" i="3"/>
  <c r="P35" i="3"/>
  <c r="G31" i="5"/>
  <c r="K31" i="5" s="1"/>
  <c r="G59" i="5"/>
  <c r="K59" i="5" s="1"/>
  <c r="B189" i="125"/>
  <c r="G51" i="5"/>
  <c r="K51" i="5" s="1"/>
  <c r="G60" i="5"/>
  <c r="K60" i="5" s="1"/>
  <c r="G34" i="5"/>
  <c r="K34" i="5" s="1"/>
  <c r="I67" i="114"/>
  <c r="G26" i="5"/>
  <c r="K26" i="5" s="1"/>
  <c r="P42" i="3"/>
  <c r="P22" i="3"/>
  <c r="G73" i="5"/>
  <c r="K73" i="5" s="1"/>
  <c r="P46" i="3"/>
  <c r="N17" i="3"/>
  <c r="M99" i="114"/>
  <c r="M101" i="114" s="1"/>
  <c r="X57" i="57"/>
  <c r="O61" i="3" s="1"/>
  <c r="X61" i="57"/>
  <c r="O65" i="3" s="1"/>
  <c r="G63" i="5"/>
  <c r="K63" i="5" s="1"/>
  <c r="AA44" i="57"/>
  <c r="K45" i="108" s="1"/>
  <c r="AA37" i="57"/>
  <c r="K38" i="108" s="1"/>
  <c r="AA36" i="57"/>
  <c r="K37" i="108" s="1"/>
  <c r="AA33" i="57"/>
  <c r="K34" i="108" s="1"/>
  <c r="G56" i="5"/>
  <c r="K56" i="5" s="1"/>
  <c r="X53" i="57"/>
  <c r="O57" i="3" s="1"/>
  <c r="N60" i="3"/>
  <c r="B37" i="101"/>
  <c r="G18" i="5"/>
  <c r="K18" i="5" s="1"/>
  <c r="B167" i="101"/>
  <c r="G74" i="5"/>
  <c r="K74" i="5" s="1"/>
  <c r="M73" i="3"/>
  <c r="P26" i="3"/>
  <c r="X31" i="57"/>
  <c r="O32" i="108" s="1"/>
  <c r="W48" i="57"/>
  <c r="N52" i="3" s="1"/>
  <c r="N63" i="3"/>
  <c r="V52" i="57"/>
  <c r="M20" i="146" s="1"/>
  <c r="Q20" i="146" s="1"/>
  <c r="V35" i="57"/>
  <c r="M36" i="108" s="1"/>
  <c r="AA32" i="57"/>
  <c r="K36" i="3" s="1"/>
  <c r="AA28" i="57"/>
  <c r="K29" i="108" s="1"/>
  <c r="AA24" i="57"/>
  <c r="K25" i="108" s="1"/>
  <c r="AA20" i="57"/>
  <c r="K21" i="108" s="1"/>
  <c r="B67" i="101"/>
  <c r="B187" i="104"/>
  <c r="S28" i="57"/>
  <c r="I29" i="108" s="1"/>
  <c r="D39" i="3"/>
  <c r="B142" i="101"/>
  <c r="G189" i="125"/>
  <c r="B92" i="101"/>
  <c r="G209" i="125"/>
  <c r="B112" i="101"/>
  <c r="B162" i="101"/>
  <c r="N80" i="3"/>
  <c r="Y57" i="57"/>
  <c r="Y53" i="57"/>
  <c r="Y44" i="57"/>
  <c r="P48" i="3" s="1"/>
  <c r="Y40" i="57"/>
  <c r="P44" i="3" s="1"/>
  <c r="P30" i="3"/>
  <c r="Y16" i="57"/>
  <c r="P20" i="3" s="1"/>
  <c r="X56" i="57"/>
  <c r="O60" i="3" s="1"/>
  <c r="X45" i="57"/>
  <c r="O46" i="108" s="1"/>
  <c r="X41" i="57"/>
  <c r="O42" i="108" s="1"/>
  <c r="X36" i="57"/>
  <c r="O37" i="108" s="1"/>
  <c r="X20" i="57"/>
  <c r="O21" i="108" s="1"/>
  <c r="W28" i="57"/>
  <c r="N29" i="108" s="1"/>
  <c r="V57" i="57"/>
  <c r="M25" i="146" s="1"/>
  <c r="V51" i="57"/>
  <c r="M19" i="146" s="1"/>
  <c r="V41" i="57"/>
  <c r="M45" i="3" s="1"/>
  <c r="V28" i="57"/>
  <c r="M32" i="3" s="1"/>
  <c r="V20" i="57"/>
  <c r="M24" i="3" s="1"/>
  <c r="AA42" i="57"/>
  <c r="K46" i="3" s="1"/>
  <c r="AA13" i="57"/>
  <c r="K14" i="108" s="1"/>
  <c r="B182" i="104"/>
  <c r="B177" i="101"/>
  <c r="B32" i="101"/>
  <c r="B102" i="101"/>
  <c r="Y61" i="57"/>
  <c r="Y51" i="57"/>
  <c r="P43" i="3"/>
  <c r="P38" i="3"/>
  <c r="P34" i="3"/>
  <c r="Y20" i="57"/>
  <c r="P24" i="3" s="1"/>
  <c r="P18" i="3"/>
  <c r="X44" i="57"/>
  <c r="O48" i="3" s="1"/>
  <c r="X40" i="57"/>
  <c r="O41" i="108" s="1"/>
  <c r="X24" i="57"/>
  <c r="O28" i="3" s="1"/>
  <c r="X13" i="57"/>
  <c r="O14" i="108" s="1"/>
  <c r="W36" i="57"/>
  <c r="N37" i="108" s="1"/>
  <c r="W32" i="57"/>
  <c r="N36" i="3" s="1"/>
  <c r="W61" i="57"/>
  <c r="V32" i="57"/>
  <c r="M33" i="108" s="1"/>
  <c r="AA43" i="57"/>
  <c r="K44" i="108" s="1"/>
  <c r="AA35" i="57"/>
  <c r="K39" i="3" s="1"/>
  <c r="AA26" i="57"/>
  <c r="K30" i="3" s="1"/>
  <c r="AA18" i="57"/>
  <c r="K19" i="108" s="1"/>
  <c r="U33" i="57"/>
  <c r="J37" i="3" s="1"/>
  <c r="C108" i="125" s="1"/>
  <c r="U29" i="57"/>
  <c r="J33" i="3" s="1"/>
  <c r="C88" i="125" s="1"/>
  <c r="U25" i="57"/>
  <c r="J29" i="3" s="1"/>
  <c r="C68" i="125" s="1"/>
  <c r="S25" i="57"/>
  <c r="I29" i="3" s="1"/>
  <c r="U52" i="57"/>
  <c r="J56" i="3" s="1"/>
  <c r="H192" i="125" s="1"/>
  <c r="H20" i="59"/>
  <c r="J26" i="98"/>
  <c r="J18" i="98"/>
  <c r="J14" i="98"/>
  <c r="H29" i="98"/>
  <c r="K43" i="97"/>
  <c r="K48" i="97"/>
  <c r="K38" i="97"/>
  <c r="K33" i="97"/>
  <c r="K32" i="97"/>
  <c r="K22" i="97"/>
  <c r="K19" i="97"/>
  <c r="H30" i="99"/>
  <c r="K24" i="99"/>
  <c r="K46" i="97"/>
  <c r="K35" i="97"/>
  <c r="K34" i="97"/>
  <c r="I13" i="57"/>
  <c r="K36" i="97"/>
  <c r="K15" i="97"/>
  <c r="S85" i="5"/>
  <c r="S89" i="5" s="1"/>
  <c r="P89" i="5"/>
  <c r="S33" i="37"/>
  <c r="AM33" i="4"/>
  <c r="O18" i="37"/>
  <c r="Q18" i="37" s="1"/>
  <c r="R18" i="37" s="1"/>
  <c r="I18" i="37"/>
  <c r="L18" i="37" s="1"/>
  <c r="M18" i="37" s="1"/>
  <c r="AM25" i="4"/>
  <c r="S25" i="37"/>
  <c r="O19" i="37"/>
  <c r="Q19" i="37" s="1"/>
  <c r="R19" i="37" s="1"/>
  <c r="I19" i="37"/>
  <c r="L19" i="37" s="1"/>
  <c r="M19" i="37" s="1"/>
  <c r="S13" i="37"/>
  <c r="AM13" i="4"/>
  <c r="AM12" i="4"/>
  <c r="S11" i="37"/>
  <c r="AM11" i="4"/>
  <c r="S10" i="37"/>
  <c r="AM10" i="4"/>
  <c r="S9" i="37"/>
  <c r="AM9" i="4"/>
  <c r="AM28" i="4"/>
  <c r="S15" i="37"/>
  <c r="AM15" i="4"/>
  <c r="AM56" i="4"/>
  <c r="AM32" i="4"/>
  <c r="S32" i="37"/>
  <c r="I26" i="15"/>
  <c r="I40" i="37"/>
  <c r="L40" i="37" s="1"/>
  <c r="M40" i="37" s="1"/>
  <c r="O40" i="37"/>
  <c r="Q40" i="37" s="1"/>
  <c r="R40" i="37" s="1"/>
  <c r="AM53" i="4"/>
  <c r="S53" i="37"/>
  <c r="S26" i="37"/>
  <c r="AM51" i="4"/>
  <c r="S51" i="37"/>
  <c r="AM50" i="4"/>
  <c r="S50" i="37"/>
  <c r="AM49" i="4"/>
  <c r="S49" i="37"/>
  <c r="S42" i="37"/>
  <c r="AM42" i="4"/>
  <c r="I39" i="37"/>
  <c r="L39" i="37" s="1"/>
  <c r="M39" i="37" s="1"/>
  <c r="O39" i="37"/>
  <c r="Q39" i="37" s="1"/>
  <c r="R39" i="37" s="1"/>
  <c r="I17" i="37"/>
  <c r="L17" i="37" s="1"/>
  <c r="M17" i="37" s="1"/>
  <c r="O17" i="37"/>
  <c r="Q17" i="37" s="1"/>
  <c r="R17" i="37" s="1"/>
  <c r="S14" i="37"/>
  <c r="L15" i="1"/>
  <c r="M12" i="1"/>
  <c r="M15" i="1" s="1"/>
  <c r="P15" i="15"/>
  <c r="P27" i="15" s="1"/>
  <c r="J49" i="41"/>
  <c r="I38" i="37"/>
  <c r="L38" i="37" s="1"/>
  <c r="M38" i="37" s="1"/>
  <c r="AI16" i="4"/>
  <c r="O16" i="37"/>
  <c r="Q16" i="37" s="1"/>
  <c r="R16" i="37" s="1"/>
  <c r="S16" i="37" s="1"/>
  <c r="AA52" i="19"/>
  <c r="AB52" i="19" s="1"/>
  <c r="AA42" i="19"/>
  <c r="AB42" i="19" s="1"/>
  <c r="Q21" i="41"/>
  <c r="O44" i="37"/>
  <c r="Q44" i="37" s="1"/>
  <c r="R44" i="37" s="1"/>
  <c r="I29" i="37"/>
  <c r="L29" i="37" s="1"/>
  <c r="M29" i="37" s="1"/>
  <c r="I22" i="37"/>
  <c r="L22" i="37" s="1"/>
  <c r="M22" i="37" s="1"/>
  <c r="O12" i="37"/>
  <c r="Q12" i="37" s="1"/>
  <c r="R12" i="37" s="1"/>
  <c r="S12" i="37" s="1"/>
  <c r="K60" i="4"/>
  <c r="X16" i="91"/>
  <c r="W18" i="91"/>
  <c r="V29" i="86"/>
  <c r="S28" i="86"/>
  <c r="V28" i="86" s="1"/>
  <c r="AA28" i="86" s="1"/>
  <c r="U15" i="100"/>
  <c r="K88" i="114" s="1"/>
  <c r="R15" i="100"/>
  <c r="H31" i="128"/>
  <c r="J14" i="128"/>
  <c r="J31" i="128" s="1"/>
  <c r="S47" i="37"/>
  <c r="AH22" i="105"/>
  <c r="D24" i="105" s="1"/>
  <c r="AA82" i="19"/>
  <c r="AB82" i="19" s="1"/>
  <c r="K9" i="20"/>
  <c r="I39" i="20"/>
  <c r="O36" i="37"/>
  <c r="Q36" i="37" s="1"/>
  <c r="R36" i="37" s="1"/>
  <c r="S36" i="37" s="1"/>
  <c r="I36" i="37"/>
  <c r="L36" i="37" s="1"/>
  <c r="X60" i="4"/>
  <c r="G12" i="85"/>
  <c r="M13" i="85"/>
  <c r="M12" i="85" s="1"/>
  <c r="U17" i="86"/>
  <c r="U30" i="86" s="1"/>
  <c r="M17" i="86"/>
  <c r="M30" i="86" s="1"/>
  <c r="R28" i="117"/>
  <c r="V22" i="117"/>
  <c r="AA21" i="19"/>
  <c r="AB21" i="19" s="1"/>
  <c r="O37" i="37"/>
  <c r="Q37" i="37" s="1"/>
  <c r="R37" i="37" s="1"/>
  <c r="I37" i="37"/>
  <c r="L37" i="37" s="1"/>
  <c r="M37" i="37" s="1"/>
  <c r="G15" i="100"/>
  <c r="H15" i="100" s="1"/>
  <c r="AL14" i="94"/>
  <c r="AM14" i="94" s="1"/>
  <c r="S54" i="37"/>
  <c r="H26" i="15"/>
  <c r="S23" i="37"/>
  <c r="I34" i="37"/>
  <c r="L34" i="37" s="1"/>
  <c r="M34" i="37" s="1"/>
  <c r="N11" i="28"/>
  <c r="R16" i="100"/>
  <c r="AM21" i="4"/>
  <c r="S46" i="37"/>
  <c r="Q21" i="37"/>
  <c r="R21" i="37" s="1"/>
  <c r="S21" i="37" s="1"/>
  <c r="I35" i="37"/>
  <c r="L35" i="37" s="1"/>
  <c r="M35" i="37" s="1"/>
  <c r="AM47" i="4"/>
  <c r="Q56" i="37"/>
  <c r="R56" i="37" s="1"/>
  <c r="S56" i="37" s="1"/>
  <c r="Q14" i="41"/>
  <c r="M49" i="41"/>
  <c r="Q49" i="41" s="1"/>
  <c r="R49" i="41" s="1"/>
  <c r="I45" i="37"/>
  <c r="L45" i="37" s="1"/>
  <c r="M45" i="37" s="1"/>
  <c r="O45" i="37"/>
  <c r="Q45" i="37" s="1"/>
  <c r="R45" i="37" s="1"/>
  <c r="I41" i="37"/>
  <c r="L41" i="37" s="1"/>
  <c r="M41" i="37" s="1"/>
  <c r="R19" i="1"/>
  <c r="S15" i="1"/>
  <c r="O14" i="1"/>
  <c r="U14" i="1" s="1"/>
  <c r="M14" i="1"/>
  <c r="N14" i="1" s="1"/>
  <c r="I24" i="64"/>
  <c r="E15" i="64"/>
  <c r="E24" i="64" s="1"/>
  <c r="F15" i="64"/>
  <c r="F24" i="64" s="1"/>
  <c r="E14" i="88"/>
  <c r="Q17" i="86"/>
  <c r="Q30" i="86" s="1"/>
  <c r="I17" i="86"/>
  <c r="I30" i="86" s="1"/>
  <c r="O37" i="118"/>
  <c r="T30" i="118"/>
  <c r="T31" i="118" s="1"/>
  <c r="P14" i="108"/>
  <c r="M14" i="108"/>
  <c r="M47" i="108"/>
  <c r="P40" i="108"/>
  <c r="M37" i="108"/>
  <c r="P33" i="108"/>
  <c r="P26" i="108"/>
  <c r="O26" i="108"/>
  <c r="P22" i="108"/>
  <c r="M22" i="108"/>
  <c r="P18" i="108"/>
  <c r="O18" i="108"/>
  <c r="M18" i="108"/>
  <c r="H33" i="71"/>
  <c r="M69" i="57"/>
  <c r="J15" i="130"/>
  <c r="Y69" i="57"/>
  <c r="D65" i="133"/>
  <c r="E65" i="133" s="1"/>
  <c r="F65" i="133" s="1"/>
  <c r="W69" i="57"/>
  <c r="N73" i="3" s="1"/>
  <c r="M79" i="5"/>
  <c r="M14" i="106"/>
  <c r="R13" i="106"/>
  <c r="R14" i="106" s="1"/>
  <c r="O24" i="118"/>
  <c r="S23" i="117"/>
  <c r="S24" i="117" s="1"/>
  <c r="M27" i="117"/>
  <c r="O27" i="117" s="1"/>
  <c r="O21" i="117" s="1"/>
  <c r="P15" i="108"/>
  <c r="O15" i="108"/>
  <c r="P46" i="108"/>
  <c r="P43" i="108"/>
  <c r="O43" i="108"/>
  <c r="P39" i="108"/>
  <c r="O39" i="108"/>
  <c r="D36" i="108"/>
  <c r="P36" i="108"/>
  <c r="P32" i="108"/>
  <c r="O29" i="108"/>
  <c r="S14" i="131"/>
  <c r="T16" i="131"/>
  <c r="W13" i="131"/>
  <c r="W14" i="131" s="1"/>
  <c r="K36" i="71"/>
  <c r="J49" i="120"/>
  <c r="J12" i="57"/>
  <c r="M24" i="63"/>
  <c r="O35" i="118"/>
  <c r="W30" i="118" s="1"/>
  <c r="W31" i="118" s="1"/>
  <c r="M49" i="108"/>
  <c r="P42" i="108"/>
  <c r="P35" i="108"/>
  <c r="O35" i="108"/>
  <c r="M35" i="108"/>
  <c r="K35" i="108"/>
  <c r="P31" i="108"/>
  <c r="O31" i="108"/>
  <c r="M31" i="108"/>
  <c r="D28" i="108"/>
  <c r="O24" i="127"/>
  <c r="O22" i="127" s="1"/>
  <c r="J50" i="120"/>
  <c r="M50" i="120" s="1"/>
  <c r="U13" i="129"/>
  <c r="T13" i="129"/>
  <c r="O22" i="129"/>
  <c r="J17" i="130"/>
  <c r="O28" i="131"/>
  <c r="O24" i="131"/>
  <c r="O32" i="131"/>
  <c r="O15" i="132"/>
  <c r="O35" i="132"/>
  <c r="J45" i="120"/>
  <c r="R42" i="57"/>
  <c r="G43" i="108" s="1"/>
  <c r="H43" i="108" s="1"/>
  <c r="G38" i="2"/>
  <c r="H15" i="64"/>
  <c r="H24" i="64" s="1"/>
  <c r="D23" i="63"/>
  <c r="T22" i="117"/>
  <c r="T24" i="117" s="1"/>
  <c r="W29" i="118"/>
  <c r="W32" i="118" s="1"/>
  <c r="O48" i="108"/>
  <c r="M41" i="108"/>
  <c r="P38" i="108"/>
  <c r="D34" i="108"/>
  <c r="P34" i="108"/>
  <c r="P30" i="108"/>
  <c r="O30" i="108"/>
  <c r="M30" i="108"/>
  <c r="P27" i="108"/>
  <c r="O27" i="108"/>
  <c r="M27" i="108"/>
  <c r="P23" i="108"/>
  <c r="O23" i="108"/>
  <c r="P19" i="108"/>
  <c r="O19" i="108"/>
  <c r="F85" i="57"/>
  <c r="AC13" i="129"/>
  <c r="O33" i="129"/>
  <c r="W13" i="129"/>
  <c r="J16" i="130"/>
  <c r="R68" i="57"/>
  <c r="G72" i="3" s="1"/>
  <c r="R65" i="57"/>
  <c r="R61" i="57"/>
  <c r="R60" i="57"/>
  <c r="G28" i="146" s="1"/>
  <c r="H28" i="146" s="1"/>
  <c r="R59" i="57"/>
  <c r="G27" i="146" s="1"/>
  <c r="H27" i="146" s="1"/>
  <c r="R58" i="57"/>
  <c r="R56" i="57"/>
  <c r="G24" i="146" s="1"/>
  <c r="H24" i="146" s="1"/>
  <c r="R54" i="57"/>
  <c r="R53" i="57"/>
  <c r="G21" i="146" s="1"/>
  <c r="H21" i="146" s="1"/>
  <c r="R52" i="57"/>
  <c r="G20" i="146" s="1"/>
  <c r="H20" i="146" s="1"/>
  <c r="R51" i="57"/>
  <c r="G19" i="146" s="1"/>
  <c r="J41" i="120"/>
  <c r="R26" i="57"/>
  <c r="G27" i="108" s="1"/>
  <c r="H27" i="108" s="1"/>
  <c r="J26" i="120"/>
  <c r="G51" i="120"/>
  <c r="R18" i="57"/>
  <c r="G19" i="108" s="1"/>
  <c r="H19" i="108" s="1"/>
  <c r="O55" i="132"/>
  <c r="O52" i="132" s="1"/>
  <c r="J38" i="120"/>
  <c r="R19" i="57"/>
  <c r="R14" i="57"/>
  <c r="G15" i="108" s="1"/>
  <c r="H15" i="108" s="1"/>
  <c r="X28" i="132"/>
  <c r="Z27" i="132"/>
  <c r="AA27" i="132" s="1"/>
  <c r="R45" i="57"/>
  <c r="G46" i="108" s="1"/>
  <c r="H46" i="108" s="1"/>
  <c r="R31" i="57"/>
  <c r="G32" i="108" s="1"/>
  <c r="H32" i="108" s="1"/>
  <c r="R30" i="57"/>
  <c r="G31" i="108" s="1"/>
  <c r="H31" i="108" s="1"/>
  <c r="K25" i="97"/>
  <c r="I24" i="57"/>
  <c r="R23" i="57"/>
  <c r="G27" i="3" s="1"/>
  <c r="Y83" i="57"/>
  <c r="O28" i="132"/>
  <c r="R35" i="57"/>
  <c r="G36" i="108" s="1"/>
  <c r="H36" i="108" s="1"/>
  <c r="J30" i="120"/>
  <c r="J23" i="120"/>
  <c r="J17" i="120"/>
  <c r="M72" i="3"/>
  <c r="P70" i="3"/>
  <c r="G70" i="3"/>
  <c r="H70" i="3" s="1"/>
  <c r="N70" i="3"/>
  <c r="M66" i="3"/>
  <c r="I65" i="3"/>
  <c r="M65" i="3"/>
  <c r="M64" i="3"/>
  <c r="G63" i="3"/>
  <c r="M62" i="3"/>
  <c r="I61" i="3"/>
  <c r="M58" i="3"/>
  <c r="M52" i="3"/>
  <c r="M40" i="3"/>
  <c r="M39" i="3"/>
  <c r="K38" i="3"/>
  <c r="O38" i="3"/>
  <c r="M38" i="3"/>
  <c r="O33" i="3"/>
  <c r="M33" i="3"/>
  <c r="O29" i="3"/>
  <c r="G25" i="3"/>
  <c r="M25" i="3"/>
  <c r="O21" i="3"/>
  <c r="M21" i="3"/>
  <c r="AA78" i="57"/>
  <c r="K26" i="110" s="1"/>
  <c r="X76" i="57"/>
  <c r="O80" i="3" s="1"/>
  <c r="W75" i="57"/>
  <c r="N79" i="3" s="1"/>
  <c r="AA74" i="57"/>
  <c r="K22" i="110" s="1"/>
  <c r="AA73" i="57"/>
  <c r="K77" i="3" s="1"/>
  <c r="W71" i="57"/>
  <c r="N75" i="3" s="1"/>
  <c r="V70" i="57"/>
  <c r="M74" i="3" s="1"/>
  <c r="AA69" i="57"/>
  <c r="K17" i="110" s="1"/>
  <c r="L15" i="136"/>
  <c r="P32" i="138"/>
  <c r="J31" i="138"/>
  <c r="P33" i="138"/>
  <c r="J32" i="138"/>
  <c r="P30" i="138"/>
  <c r="D33" i="138"/>
  <c r="D34" i="138" s="1"/>
  <c r="J33" i="138"/>
  <c r="J30" i="138"/>
  <c r="P31" i="138"/>
  <c r="U38" i="57"/>
  <c r="J42" i="3" s="1"/>
  <c r="H130" i="125" s="1"/>
  <c r="U36" i="57"/>
  <c r="J40" i="3" s="1"/>
  <c r="H118" i="125" s="1"/>
  <c r="U34" i="57"/>
  <c r="J38" i="3" s="1"/>
  <c r="H108" i="125" s="1"/>
  <c r="K52" i="91"/>
  <c r="G53" i="3"/>
  <c r="O53" i="3"/>
  <c r="P53" i="3"/>
  <c r="AA46" i="57"/>
  <c r="K47" i="108" s="1"/>
  <c r="O46" i="3"/>
  <c r="AA39" i="57"/>
  <c r="K40" i="108" s="1"/>
  <c r="O42" i="3"/>
  <c r="AA31" i="57"/>
  <c r="K32" i="108" s="1"/>
  <c r="G34" i="3"/>
  <c r="H33" i="91" s="1"/>
  <c r="J33" i="91" s="1"/>
  <c r="O34" i="3"/>
  <c r="M34" i="3"/>
  <c r="O30" i="3"/>
  <c r="M30" i="3"/>
  <c r="AA23" i="57"/>
  <c r="K24" i="108" s="1"/>
  <c r="O26" i="3"/>
  <c r="AA19" i="57"/>
  <c r="K20" i="108" s="1"/>
  <c r="K22" i="3"/>
  <c r="G22" i="3"/>
  <c r="O22" i="3"/>
  <c r="O18" i="3"/>
  <c r="V45" i="57"/>
  <c r="M46" i="108" s="1"/>
  <c r="V22" i="57"/>
  <c r="M23" i="108" s="1"/>
  <c r="V18" i="57"/>
  <c r="M19" i="108" s="1"/>
  <c r="V14" i="57"/>
  <c r="M15" i="108" s="1"/>
  <c r="H79" i="3"/>
  <c r="F75" i="114" s="1"/>
  <c r="H290" i="125"/>
  <c r="I290" i="125" s="1"/>
  <c r="S35" i="57"/>
  <c r="I36" i="108" s="1"/>
  <c r="J36" i="108" s="1"/>
  <c r="U30" i="57"/>
  <c r="J34" i="3" s="1"/>
  <c r="H88" i="125" s="1"/>
  <c r="U28" i="57"/>
  <c r="J32" i="3" s="1"/>
  <c r="H78" i="125" s="1"/>
  <c r="U26" i="57"/>
  <c r="S24" i="57"/>
  <c r="I25" i="108" s="1"/>
  <c r="J25" i="108" s="1"/>
  <c r="S16" i="57"/>
  <c r="I17" i="108" s="1"/>
  <c r="J17" i="108" s="1"/>
  <c r="M50" i="3"/>
  <c r="R17" i="57"/>
  <c r="G18" i="108" s="1"/>
  <c r="N58" i="3"/>
  <c r="V44" i="57"/>
  <c r="M48" i="3" s="1"/>
  <c r="T16" i="136"/>
  <c r="X68" i="57"/>
  <c r="O72" i="3" s="1"/>
  <c r="S64" i="57"/>
  <c r="I32" i="146" s="1"/>
  <c r="J32" i="146" s="1"/>
  <c r="S51" i="57"/>
  <c r="I19" i="146" s="1"/>
  <c r="U37" i="57"/>
  <c r="J41" i="3" s="1"/>
  <c r="C130" i="125" s="1"/>
  <c r="U35" i="57"/>
  <c r="J39" i="3" s="1"/>
  <c r="C118" i="125" s="1"/>
  <c r="AA62" i="57"/>
  <c r="K30" i="146" s="1"/>
  <c r="AA58" i="57"/>
  <c r="K26" i="146" s="1"/>
  <c r="AA55" i="57"/>
  <c r="K23" i="146" s="1"/>
  <c r="AA53" i="57"/>
  <c r="K21" i="146" s="1"/>
  <c r="AA51" i="57"/>
  <c r="K19" i="146" s="1"/>
  <c r="AA48" i="57"/>
  <c r="O51" i="3"/>
  <c r="AA41" i="57"/>
  <c r="K45" i="3" s="1"/>
  <c r="M44" i="3"/>
  <c r="O32" i="3"/>
  <c r="AA25" i="57"/>
  <c r="K26" i="108" s="1"/>
  <c r="AA21" i="57"/>
  <c r="K22" i="108" s="1"/>
  <c r="AA17" i="57"/>
  <c r="P17" i="3"/>
  <c r="M17" i="3"/>
  <c r="N44" i="108"/>
  <c r="N47" i="3"/>
  <c r="N47" i="108"/>
  <c r="N50" i="3"/>
  <c r="N43" i="108"/>
  <c r="N46" i="3"/>
  <c r="N39" i="108"/>
  <c r="N42" i="3"/>
  <c r="N35" i="108"/>
  <c r="N38" i="3"/>
  <c r="N31" i="108"/>
  <c r="N34" i="3"/>
  <c r="N27" i="108"/>
  <c r="N30" i="3"/>
  <c r="N23" i="108"/>
  <c r="N26" i="3"/>
  <c r="N19" i="108"/>
  <c r="N22" i="3"/>
  <c r="N15" i="108"/>
  <c r="N18" i="3"/>
  <c r="N46" i="108"/>
  <c r="N49" i="3"/>
  <c r="N42" i="108"/>
  <c r="N45" i="3"/>
  <c r="N38" i="108"/>
  <c r="N41" i="3"/>
  <c r="N34" i="108"/>
  <c r="N37" i="3"/>
  <c r="N26" i="108"/>
  <c r="N29" i="3"/>
  <c r="N22" i="108"/>
  <c r="N25" i="3"/>
  <c r="N21" i="3"/>
  <c r="N45" i="108"/>
  <c r="N48" i="3"/>
  <c r="N41" i="108"/>
  <c r="N25" i="108"/>
  <c r="N28" i="3"/>
  <c r="N21" i="108"/>
  <c r="N24" i="3"/>
  <c r="N17" i="108"/>
  <c r="N20" i="3"/>
  <c r="S71" i="57"/>
  <c r="I19" i="110" s="1"/>
  <c r="J19" i="110" s="1"/>
  <c r="W77" i="57"/>
  <c r="N81" i="3" s="1"/>
  <c r="V77" i="57"/>
  <c r="M81" i="3" s="1"/>
  <c r="W80" i="57"/>
  <c r="Y75" i="57"/>
  <c r="V72" i="57"/>
  <c r="M76" i="3" s="1"/>
  <c r="X78" i="57"/>
  <c r="O82" i="3" s="1"/>
  <c r="X73" i="57"/>
  <c r="X69" i="57"/>
  <c r="O73" i="3" s="1"/>
  <c r="X39" i="57"/>
  <c r="O40" i="108" s="1"/>
  <c r="W39" i="57"/>
  <c r="W31" i="57"/>
  <c r="V31" i="57"/>
  <c r="U58" i="57"/>
  <c r="J62" i="3" s="1"/>
  <c r="H222" i="125" s="1"/>
  <c r="U31" i="57"/>
  <c r="J35" i="3" s="1"/>
  <c r="C98" i="125" s="1"/>
  <c r="D49" i="114"/>
  <c r="V74" i="57"/>
  <c r="M78" i="3" s="1"/>
  <c r="W81" i="57"/>
  <c r="Y79" i="57"/>
  <c r="W78" i="57"/>
  <c r="N82" i="3" s="1"/>
  <c r="V71" i="57"/>
  <c r="M75" i="3" s="1"/>
  <c r="Y46" i="57"/>
  <c r="X77" i="57"/>
  <c r="O81" i="3" s="1"/>
  <c r="X74" i="57"/>
  <c r="O78" i="3" s="1"/>
  <c r="X71" i="57"/>
  <c r="O75" i="3" s="1"/>
  <c r="AA29" i="57"/>
  <c r="H11" i="68"/>
  <c r="S73" i="57"/>
  <c r="I21" i="110" s="1"/>
  <c r="J21" i="110" s="1"/>
  <c r="W73" i="57"/>
  <c r="N77" i="3" s="1"/>
  <c r="V78" i="57"/>
  <c r="M26" i="110" s="1"/>
  <c r="V73" i="57"/>
  <c r="M77" i="3" s="1"/>
  <c r="Y70" i="57"/>
  <c r="X79" i="57"/>
  <c r="X70" i="57"/>
  <c r="O74" i="3" s="1"/>
  <c r="X23" i="57"/>
  <c r="O24" i="108" s="1"/>
  <c r="X19" i="57"/>
  <c r="O23" i="3" s="1"/>
  <c r="X15" i="57"/>
  <c r="Y68" i="57"/>
  <c r="Y63" i="57"/>
  <c r="X65" i="57"/>
  <c r="O69" i="3" s="1"/>
  <c r="V63" i="57"/>
  <c r="M31" i="146" s="1"/>
  <c r="U65" i="57"/>
  <c r="J69" i="3" s="1"/>
  <c r="C262" i="125" s="1"/>
  <c r="AA64" i="57"/>
  <c r="K32" i="146" s="1"/>
  <c r="AA15" i="57"/>
  <c r="K19" i="3" s="1"/>
  <c r="Y65" i="57"/>
  <c r="Y47" i="57"/>
  <c r="P51" i="3" s="1"/>
  <c r="Y23" i="57"/>
  <c r="P27" i="3" s="1"/>
  <c r="Y19" i="57"/>
  <c r="P23" i="3" s="1"/>
  <c r="Y15" i="57"/>
  <c r="X63" i="57"/>
  <c r="X32" i="57"/>
  <c r="O33" i="108" s="1"/>
  <c r="W47" i="57"/>
  <c r="W23" i="57"/>
  <c r="W19" i="57"/>
  <c r="V65" i="57"/>
  <c r="M33" i="146" s="1"/>
  <c r="V47" i="57"/>
  <c r="M51" i="3" s="1"/>
  <c r="V27" i="57"/>
  <c r="S68" i="57"/>
  <c r="I16" i="110" s="1"/>
  <c r="I50" i="57"/>
  <c r="Y64" i="57"/>
  <c r="W64" i="57"/>
  <c r="V64" i="57"/>
  <c r="M32" i="146" s="1"/>
  <c r="V23" i="57"/>
  <c r="M27" i="3" s="1"/>
  <c r="V19" i="57"/>
  <c r="V15" i="57"/>
  <c r="M16" i="108" s="1"/>
  <c r="AA68" i="57"/>
  <c r="K72" i="3" s="1"/>
  <c r="K10" i="68"/>
  <c r="I11" i="68"/>
  <c r="AA81" i="57"/>
  <c r="K29" i="110" s="1"/>
  <c r="U57" i="57"/>
  <c r="J61" i="3" s="1"/>
  <c r="C222" i="125" s="1"/>
  <c r="AA61" i="57"/>
  <c r="K29" i="146" s="1"/>
  <c r="AA60" i="57"/>
  <c r="K28" i="146" s="1"/>
  <c r="AA59" i="57"/>
  <c r="K27" i="146" s="1"/>
  <c r="AA77" i="57"/>
  <c r="K25" i="110" s="1"/>
  <c r="AA76" i="57"/>
  <c r="K24" i="110" s="1"/>
  <c r="AA75" i="57"/>
  <c r="K23" i="110" s="1"/>
  <c r="S62" i="57"/>
  <c r="I30" i="146" s="1"/>
  <c r="J30" i="146" s="1"/>
  <c r="S52" i="57"/>
  <c r="I20" i="146" s="1"/>
  <c r="J20" i="146" s="1"/>
  <c r="U39" i="57"/>
  <c r="Z85" i="57"/>
  <c r="S76" i="57"/>
  <c r="I24" i="110" s="1"/>
  <c r="J24" i="110" s="1"/>
  <c r="U73" i="57"/>
  <c r="J77" i="3" s="1"/>
  <c r="S69" i="57"/>
  <c r="I17" i="110" s="1"/>
  <c r="J17" i="110" s="1"/>
  <c r="S77" i="57"/>
  <c r="I25" i="110" s="1"/>
  <c r="J25" i="110" s="1"/>
  <c r="S72" i="57"/>
  <c r="I20" i="110" s="1"/>
  <c r="J20" i="110" s="1"/>
  <c r="S70" i="57"/>
  <c r="I18" i="110" s="1"/>
  <c r="J18" i="110" s="1"/>
  <c r="F60" i="4"/>
  <c r="E12" i="21"/>
  <c r="S53" i="57"/>
  <c r="I21" i="146" s="1"/>
  <c r="J21" i="146" s="1"/>
  <c r="S75" i="57"/>
  <c r="I23" i="110" s="1"/>
  <c r="J23" i="110" s="1"/>
  <c r="S56" i="57"/>
  <c r="I24" i="146" s="1"/>
  <c r="J24" i="146" s="1"/>
  <c r="S46" i="57"/>
  <c r="S44" i="57"/>
  <c r="I45" i="108" s="1"/>
  <c r="J45" i="108" s="1"/>
  <c r="S42" i="57"/>
  <c r="I43" i="108" s="1"/>
  <c r="J43" i="108" s="1"/>
  <c r="S40" i="57"/>
  <c r="I44" i="3" s="1"/>
  <c r="S38" i="57"/>
  <c r="S39" i="57"/>
  <c r="I43" i="3" s="1"/>
  <c r="S13" i="57"/>
  <c r="S59" i="57"/>
  <c r="I27" i="146" s="1"/>
  <c r="J27" i="146" s="1"/>
  <c r="S65" i="57"/>
  <c r="I33" i="146" s="1"/>
  <c r="J33" i="146" s="1"/>
  <c r="U32" i="57"/>
  <c r="J36" i="3" s="1"/>
  <c r="H98" i="125" s="1"/>
  <c r="S29" i="57"/>
  <c r="I33" i="3" s="1"/>
  <c r="S26" i="57"/>
  <c r="I27" i="108" s="1"/>
  <c r="J27" i="108" s="1"/>
  <c r="S81" i="57"/>
  <c r="S60" i="57"/>
  <c r="I28" i="146" s="1"/>
  <c r="J28" i="146" s="1"/>
  <c r="S36" i="57"/>
  <c r="S19" i="57"/>
  <c r="S17" i="57"/>
  <c r="I18" i="108" s="1"/>
  <c r="J18" i="108" s="1"/>
  <c r="S15" i="57"/>
  <c r="I19" i="3" s="1"/>
  <c r="AG14" i="105"/>
  <c r="AA83" i="57"/>
  <c r="K87" i="3" s="1"/>
  <c r="L87" i="3" s="1"/>
  <c r="G83" i="114" s="1"/>
  <c r="AA80" i="57"/>
  <c r="K84" i="3" s="1"/>
  <c r="AA72" i="57"/>
  <c r="K20" i="110" s="1"/>
  <c r="AA71" i="57"/>
  <c r="K19" i="110" s="1"/>
  <c r="AA70" i="57"/>
  <c r="K18" i="110" s="1"/>
  <c r="S63" i="57"/>
  <c r="I31" i="146" s="1"/>
  <c r="J31" i="146" s="1"/>
  <c r="S37" i="57"/>
  <c r="I38" i="108" s="1"/>
  <c r="S33" i="57"/>
  <c r="I37" i="3" s="1"/>
  <c r="S30" i="57"/>
  <c r="AA65" i="57"/>
  <c r="K69" i="3" s="1"/>
  <c r="AA54" i="57"/>
  <c r="K58" i="3" s="1"/>
  <c r="AA47" i="57"/>
  <c r="K51" i="3" s="1"/>
  <c r="AA40" i="57"/>
  <c r="K41" i="108" s="1"/>
  <c r="AA16" i="57"/>
  <c r="D31" i="108"/>
  <c r="U82" i="57"/>
  <c r="J86" i="3" s="1"/>
  <c r="L86" i="3" s="1"/>
  <c r="S82" i="57"/>
  <c r="S47" i="57"/>
  <c r="I48" i="108" s="1"/>
  <c r="S45" i="57"/>
  <c r="I49" i="3" s="1"/>
  <c r="S43" i="57"/>
  <c r="S34" i="57"/>
  <c r="I38" i="3" s="1"/>
  <c r="S31" i="57"/>
  <c r="I32" i="108" s="1"/>
  <c r="S20" i="57"/>
  <c r="S18" i="57"/>
  <c r="S14" i="57"/>
  <c r="I15" i="108" s="1"/>
  <c r="J15" i="108" s="1"/>
  <c r="AA63" i="57"/>
  <c r="K67" i="3" s="1"/>
  <c r="AA52" i="57"/>
  <c r="K56" i="3" s="1"/>
  <c r="AA45" i="57"/>
  <c r="AA38" i="57"/>
  <c r="K42" i="3" s="1"/>
  <c r="AA30" i="57"/>
  <c r="K31" i="108" s="1"/>
  <c r="AA22" i="57"/>
  <c r="K26" i="3" s="1"/>
  <c r="AA14" i="57"/>
  <c r="AA57" i="57"/>
  <c r="K25" i="146" s="1"/>
  <c r="AA56" i="57"/>
  <c r="K24" i="146" s="1"/>
  <c r="D33" i="133"/>
  <c r="E33" i="133" s="1"/>
  <c r="F33" i="133" s="1"/>
  <c r="Y81" i="57"/>
  <c r="Y80" i="57"/>
  <c r="Y72" i="57"/>
  <c r="Y71" i="57"/>
  <c r="AG12" i="113"/>
  <c r="AG14" i="113" s="1"/>
  <c r="E55" i="58"/>
  <c r="H55" i="58" s="1"/>
  <c r="AC14" i="113"/>
  <c r="D24" i="133"/>
  <c r="X35" i="57"/>
  <c r="O36" i="108" s="1"/>
  <c r="D22" i="133"/>
  <c r="E22" i="133" s="1"/>
  <c r="F22" i="133" s="1"/>
  <c r="V38" i="57"/>
  <c r="E83" i="58"/>
  <c r="E85" i="58"/>
  <c r="E84" i="58"/>
  <c r="S14" i="105"/>
  <c r="W11" i="105"/>
  <c r="N14" i="105"/>
  <c r="U80" i="57"/>
  <c r="J84" i="3" s="1"/>
  <c r="U72" i="57"/>
  <c r="J76" i="3" s="1"/>
  <c r="U70" i="57"/>
  <c r="U76" i="57"/>
  <c r="J80" i="3" s="1"/>
  <c r="C312" i="125" s="1"/>
  <c r="U81" i="57"/>
  <c r="J85" i="3" s="1"/>
  <c r="U71" i="57"/>
  <c r="J75" i="3" s="1"/>
  <c r="H282" i="125" s="1"/>
  <c r="U69" i="57"/>
  <c r="J73" i="3" s="1"/>
  <c r="U77" i="57"/>
  <c r="U75" i="57"/>
  <c r="J79" i="3" s="1"/>
  <c r="R14" i="105"/>
  <c r="J14" i="105"/>
  <c r="AA14" i="105"/>
  <c r="D14" i="105"/>
  <c r="S78" i="57"/>
  <c r="I26" i="110" s="1"/>
  <c r="J26" i="110" s="1"/>
  <c r="F14" i="105"/>
  <c r="S83" i="57"/>
  <c r="L14" i="105"/>
  <c r="U64" i="57"/>
  <c r="U62" i="57"/>
  <c r="J66" i="3" s="1"/>
  <c r="U60" i="57"/>
  <c r="U55" i="57"/>
  <c r="U53" i="57"/>
  <c r="J57" i="3" s="1"/>
  <c r="AH12" i="105"/>
  <c r="U63" i="57"/>
  <c r="U61" i="57"/>
  <c r="U56" i="57"/>
  <c r="U54" i="57"/>
  <c r="U51" i="57"/>
  <c r="U14" i="105"/>
  <c r="S54" i="57"/>
  <c r="I22" i="146" s="1"/>
  <c r="J22" i="146" s="1"/>
  <c r="W14" i="105"/>
  <c r="E14" i="105"/>
  <c r="U48" i="57"/>
  <c r="J52" i="3" s="1"/>
  <c r="U46" i="57"/>
  <c r="U44" i="57"/>
  <c r="J48" i="3" s="1"/>
  <c r="U23" i="57"/>
  <c r="U21" i="57"/>
  <c r="J25" i="3" s="1"/>
  <c r="U19" i="57"/>
  <c r="U17" i="57"/>
  <c r="J21" i="3" s="1"/>
  <c r="U15" i="57"/>
  <c r="U13" i="57"/>
  <c r="J17" i="3" s="1"/>
  <c r="C6" i="125" s="1"/>
  <c r="U47" i="57"/>
  <c r="U45" i="57"/>
  <c r="J49" i="3" s="1"/>
  <c r="U41" i="57"/>
  <c r="J45" i="3" s="1"/>
  <c r="U22" i="57"/>
  <c r="J26" i="3" s="1"/>
  <c r="U20" i="57"/>
  <c r="U18" i="57"/>
  <c r="J22" i="3" s="1"/>
  <c r="U16" i="57"/>
  <c r="U14" i="57"/>
  <c r="J18" i="3" s="1"/>
  <c r="T14" i="105"/>
  <c r="S23" i="57"/>
  <c r="S41" i="57"/>
  <c r="I45" i="3" s="1"/>
  <c r="S48" i="57"/>
  <c r="I52" i="3" s="1"/>
  <c r="Y11" i="105"/>
  <c r="K14" i="105"/>
  <c r="Z11" i="105"/>
  <c r="Z14" i="105" s="1"/>
  <c r="V14" i="105"/>
  <c r="O14" i="105"/>
  <c r="S21" i="57"/>
  <c r="S22" i="57"/>
  <c r="I26" i="3" s="1"/>
  <c r="AE14" i="105"/>
  <c r="X14" i="105"/>
  <c r="Q14" i="105"/>
  <c r="M14" i="105"/>
  <c r="D75" i="133"/>
  <c r="E75" i="133" s="1"/>
  <c r="F75" i="133" s="1"/>
  <c r="E75" i="58"/>
  <c r="H75" i="58" s="1"/>
  <c r="D72" i="133"/>
  <c r="E72" i="133" s="1"/>
  <c r="F72" i="133" s="1"/>
  <c r="E72" i="58"/>
  <c r="H72" i="58" s="1"/>
  <c r="D70" i="133"/>
  <c r="E70" i="133" s="1"/>
  <c r="F70" i="133" s="1"/>
  <c r="E70" i="58"/>
  <c r="H70" i="58" s="1"/>
  <c r="E71" i="58"/>
  <c r="H71" i="58" s="1"/>
  <c r="W72" i="57"/>
  <c r="N76" i="3" s="1"/>
  <c r="W68" i="57"/>
  <c r="N72" i="3" s="1"/>
  <c r="E65" i="58"/>
  <c r="H65" i="58" s="1"/>
  <c r="N14" i="113"/>
  <c r="V76" i="57"/>
  <c r="M80" i="3" s="1"/>
  <c r="Y76" i="57"/>
  <c r="E74" i="58"/>
  <c r="H74" i="58" s="1"/>
  <c r="W74" i="57"/>
  <c r="N22" i="110" s="1"/>
  <c r="W70" i="57"/>
  <c r="N18" i="110" s="1"/>
  <c r="V81" i="57"/>
  <c r="E56" i="58"/>
  <c r="H56" i="58" s="1"/>
  <c r="V12" i="113"/>
  <c r="V14" i="113" s="1"/>
  <c r="E52" i="58"/>
  <c r="H52" i="58" s="1"/>
  <c r="E50" i="58"/>
  <c r="H50" i="58" s="1"/>
  <c r="E49" i="58"/>
  <c r="H49" i="58" s="1"/>
  <c r="E57" i="58"/>
  <c r="H57" i="58" s="1"/>
  <c r="E22" i="58"/>
  <c r="H22" i="58" s="1"/>
  <c r="O22" i="58" s="1"/>
  <c r="Q22" i="58" s="1"/>
  <c r="R22" i="58" s="1"/>
  <c r="S22" i="58" s="1"/>
  <c r="D12" i="133"/>
  <c r="D41" i="133"/>
  <c r="M11" i="113"/>
  <c r="M14" i="113" s="1"/>
  <c r="T11" i="113"/>
  <c r="T14" i="113" s="1"/>
  <c r="D45" i="133"/>
  <c r="D32" i="133"/>
  <c r="D28" i="133"/>
  <c r="AE14" i="113"/>
  <c r="D26" i="133"/>
  <c r="D20" i="133"/>
  <c r="D16" i="133"/>
  <c r="D11" i="133"/>
  <c r="V33" i="57"/>
  <c r="M37" i="3" s="1"/>
  <c r="G14" i="113"/>
  <c r="D60" i="133"/>
  <c r="E60" i="133" s="1"/>
  <c r="F60" i="133" s="1"/>
  <c r="E60" i="58"/>
  <c r="H60" i="58" s="1"/>
  <c r="D59" i="133"/>
  <c r="E59" i="133" s="1"/>
  <c r="F59" i="133" s="1"/>
  <c r="E62" i="58"/>
  <c r="H62" i="58" s="1"/>
  <c r="D62" i="133"/>
  <c r="E62" i="133" s="1"/>
  <c r="F62" i="133" s="1"/>
  <c r="H14" i="113"/>
  <c r="U14" i="113"/>
  <c r="Q12" i="113"/>
  <c r="Q14" i="113" s="1"/>
  <c r="K14" i="113"/>
  <c r="D14" i="113"/>
  <c r="I14" i="113"/>
  <c r="D58" i="133"/>
  <c r="E58" i="133" s="1"/>
  <c r="F58" i="133" s="1"/>
  <c r="D52" i="133"/>
  <c r="E52" i="133" s="1"/>
  <c r="F52" i="133" s="1"/>
  <c r="Y62" i="57"/>
  <c r="Y60" i="57"/>
  <c r="Y52" i="57"/>
  <c r="W65" i="57"/>
  <c r="W63" i="57"/>
  <c r="W51" i="57"/>
  <c r="V59" i="57"/>
  <c r="M27" i="146" s="1"/>
  <c r="Q27" i="146" s="1"/>
  <c r="V56" i="57"/>
  <c r="M24" i="146" s="1"/>
  <c r="Q24" i="146" s="1"/>
  <c r="V53" i="57"/>
  <c r="M21" i="146" s="1"/>
  <c r="E58" i="58"/>
  <c r="H58" i="58" s="1"/>
  <c r="C14" i="113"/>
  <c r="AA14" i="113"/>
  <c r="E14" i="113"/>
  <c r="AB14" i="113"/>
  <c r="R14" i="113"/>
  <c r="E15" i="58"/>
  <c r="H15" i="58" s="1"/>
  <c r="AD14" i="113"/>
  <c r="D17" i="133"/>
  <c r="V16" i="57"/>
  <c r="M17" i="108" s="1"/>
  <c r="D14" i="133"/>
  <c r="Y27" i="57"/>
  <c r="W15" i="57"/>
  <c r="D13" i="133"/>
  <c r="Y11" i="113"/>
  <c r="Y14" i="113" s="1"/>
  <c r="O14" i="113"/>
  <c r="D21" i="133"/>
  <c r="D19" i="133"/>
  <c r="Y36" i="57"/>
  <c r="P37" i="108" s="1"/>
  <c r="D34" i="133"/>
  <c r="X46" i="57"/>
  <c r="O47" i="108" s="1"/>
  <c r="D44" i="133"/>
  <c r="V42" i="57"/>
  <c r="M46" i="3" s="1"/>
  <c r="D40" i="133"/>
  <c r="D38" i="133"/>
  <c r="V37" i="57"/>
  <c r="M41" i="3" s="1"/>
  <c r="D35" i="133"/>
  <c r="D27" i="133"/>
  <c r="E42" i="58"/>
  <c r="H42" i="58" s="1"/>
  <c r="O42" i="58" s="1"/>
  <c r="Q42" i="58" s="1"/>
  <c r="R42" i="58" s="1"/>
  <c r="S42" i="58" s="1"/>
  <c r="AF11" i="113"/>
  <c r="AF14" i="113" s="1"/>
  <c r="S14" i="113"/>
  <c r="D46" i="133"/>
  <c r="D43" i="133"/>
  <c r="E18" i="133"/>
  <c r="F18" i="133" s="1"/>
  <c r="E18" i="58"/>
  <c r="H18" i="58" s="1"/>
  <c r="O18" i="58" s="1"/>
  <c r="Q18" i="58" s="1"/>
  <c r="R18" i="58" s="1"/>
  <c r="S18" i="58" s="1"/>
  <c r="V39" i="57"/>
  <c r="M43" i="3" s="1"/>
  <c r="D37" i="133"/>
  <c r="V25" i="57"/>
  <c r="M29" i="3" s="1"/>
  <c r="D23" i="133"/>
  <c r="Z14" i="113"/>
  <c r="AL15" i="94"/>
  <c r="AM15" i="94" s="1"/>
  <c r="X93" i="5"/>
  <c r="X98" i="5" s="1"/>
  <c r="T15" i="91"/>
  <c r="T19" i="91" s="1"/>
  <c r="H51" i="122"/>
  <c r="M28" i="57"/>
  <c r="H31" i="130"/>
  <c r="K18" i="97"/>
  <c r="K20" i="97"/>
  <c r="H50" i="97"/>
  <c r="I67" i="57"/>
  <c r="X13" i="113"/>
  <c r="X14" i="113" s="1"/>
  <c r="L14" i="113"/>
  <c r="W13" i="113"/>
  <c r="W14" i="113" s="1"/>
  <c r="P13" i="113"/>
  <c r="P14" i="113" s="1"/>
  <c r="E78" i="58"/>
  <c r="H78" i="58" s="1"/>
  <c r="H14" i="105"/>
  <c r="AD13" i="105"/>
  <c r="AD14" i="105" s="1"/>
  <c r="AF13" i="105"/>
  <c r="AF14" i="105" s="1"/>
  <c r="AC13" i="105"/>
  <c r="AC14" i="105" s="1"/>
  <c r="AB13" i="105"/>
  <c r="AB14" i="105" s="1"/>
  <c r="P13" i="105"/>
  <c r="P14" i="105" s="1"/>
  <c r="I14" i="105"/>
  <c r="G14" i="105"/>
  <c r="S80" i="57"/>
  <c r="I84" i="3" s="1"/>
  <c r="B329" i="125"/>
  <c r="V80" i="57"/>
  <c r="X80" i="57"/>
  <c r="AA79" i="57"/>
  <c r="K83" i="3" s="1"/>
  <c r="U79" i="57"/>
  <c r="J83" i="3" s="1"/>
  <c r="S79" i="57"/>
  <c r="W79" i="57"/>
  <c r="N83" i="3" s="1"/>
  <c r="V79" i="57"/>
  <c r="U78" i="57"/>
  <c r="S74" i="57"/>
  <c r="Y74" i="57"/>
  <c r="U74" i="57"/>
  <c r="D36" i="3"/>
  <c r="X27" i="57"/>
  <c r="O28" i="108" s="1"/>
  <c r="W27" i="57"/>
  <c r="AA27" i="57"/>
  <c r="K28" i="108" s="1"/>
  <c r="F22" i="125"/>
  <c r="A22" i="125"/>
  <c r="Q17" i="64"/>
  <c r="U17" i="64" s="1"/>
  <c r="X20" i="64"/>
  <c r="X19" i="64" s="1"/>
  <c r="G24" i="64"/>
  <c r="D24" i="64"/>
  <c r="W15" i="64"/>
  <c r="W24" i="64" s="1"/>
  <c r="P26" i="63"/>
  <c r="X17" i="64"/>
  <c r="K17" i="63" s="1"/>
  <c r="N17" i="63" s="1"/>
  <c r="X18" i="64"/>
  <c r="K18" i="63" s="1"/>
  <c r="M26" i="63"/>
  <c r="P27" i="63"/>
  <c r="L26" i="63"/>
  <c r="L27" i="63" s="1"/>
  <c r="P30" i="63"/>
  <c r="P31" i="63" s="1"/>
  <c r="Y18" i="64"/>
  <c r="Y17" i="64"/>
  <c r="J18" i="63"/>
  <c r="E24" i="63"/>
  <c r="F24" i="63"/>
  <c r="N16" i="63"/>
  <c r="Q30" i="63"/>
  <c r="P16" i="64"/>
  <c r="P15" i="64" s="1"/>
  <c r="O30" i="63"/>
  <c r="S30" i="63"/>
  <c r="L30" i="63"/>
  <c r="L31" i="63" s="1"/>
  <c r="R30" i="63"/>
  <c r="N30" i="63"/>
  <c r="J30" i="63"/>
  <c r="S32" i="57"/>
  <c r="I33" i="108" s="1"/>
  <c r="C11" i="105"/>
  <c r="C14" i="105" s="1"/>
  <c r="F11" i="113"/>
  <c r="F14" i="113" s="1"/>
  <c r="D25" i="133"/>
  <c r="J11" i="113"/>
  <c r="J14" i="113" s="1"/>
  <c r="U27" i="57"/>
  <c r="J31" i="3" s="1"/>
  <c r="S27" i="57"/>
  <c r="I31" i="3" s="1"/>
  <c r="G78" i="5"/>
  <c r="K78" i="5" s="1"/>
  <c r="N78" i="5" s="1"/>
  <c r="P78" i="5" s="1"/>
  <c r="S78" i="5" s="1"/>
  <c r="G85" i="57"/>
  <c r="E85" i="57"/>
  <c r="G49" i="5"/>
  <c r="K49" i="5" s="1"/>
  <c r="E14" i="77"/>
  <c r="D17" i="63"/>
  <c r="D15" i="108"/>
  <c r="D43" i="108"/>
  <c r="D39" i="108"/>
  <c r="D30" i="108"/>
  <c r="D27" i="108"/>
  <c r="D32" i="108"/>
  <c r="D35" i="108"/>
  <c r="D37" i="108"/>
  <c r="G76" i="5"/>
  <c r="K76" i="5" s="1"/>
  <c r="N76" i="5" s="1"/>
  <c r="P76" i="5" s="1"/>
  <c r="S76" i="5" s="1"/>
  <c r="M82" i="5"/>
  <c r="G75" i="5"/>
  <c r="K75" i="5" s="1"/>
  <c r="N75" i="5" s="1"/>
  <c r="P75" i="5" s="1"/>
  <c r="S75" i="5" s="1"/>
  <c r="M77" i="5"/>
  <c r="G70" i="5"/>
  <c r="K70" i="5" s="1"/>
  <c r="B249" i="125"/>
  <c r="B65" i="125"/>
  <c r="B105" i="125"/>
  <c r="O70" i="3"/>
  <c r="K70" i="3"/>
  <c r="K53" i="3"/>
  <c r="G77" i="5"/>
  <c r="K77" i="5" s="1"/>
  <c r="N77" i="5" s="1"/>
  <c r="P77" i="5" s="1"/>
  <c r="S77" i="5" s="1"/>
  <c r="G25" i="5"/>
  <c r="K25" i="5" s="1"/>
  <c r="L49" i="5"/>
  <c r="G22" i="5"/>
  <c r="K22" i="5" s="1"/>
  <c r="G30" i="5"/>
  <c r="K30" i="5" s="1"/>
  <c r="D42" i="3"/>
  <c r="B279" i="125"/>
  <c r="B147" i="125"/>
  <c r="B309" i="125"/>
  <c r="M53" i="3"/>
  <c r="J70" i="3"/>
  <c r="G80" i="5"/>
  <c r="K80" i="5" s="1"/>
  <c r="N80" i="5" s="1"/>
  <c r="P80" i="5" s="1"/>
  <c r="S80" i="5" s="1"/>
  <c r="D18" i="3"/>
  <c r="D37" i="3"/>
  <c r="G55" i="5"/>
  <c r="K55" i="5" s="1"/>
  <c r="D34" i="3"/>
  <c r="G127" i="125"/>
  <c r="D17" i="3"/>
  <c r="G20" i="5"/>
  <c r="K20" i="5" s="1"/>
  <c r="G115" i="125"/>
  <c r="G75" i="125"/>
  <c r="G269" i="125"/>
  <c r="D59" i="3"/>
  <c r="B209" i="125"/>
  <c r="G167" i="125"/>
  <c r="G46" i="5"/>
  <c r="K46" i="5" s="1"/>
  <c r="G42" i="5"/>
  <c r="K42" i="5" s="1"/>
  <c r="G85" i="125"/>
  <c r="G43" i="125"/>
  <c r="G3" i="125"/>
  <c r="G14" i="5"/>
  <c r="K14" i="5" s="1"/>
  <c r="G279" i="125"/>
  <c r="G71" i="5"/>
  <c r="K71" i="5" s="1"/>
  <c r="G319" i="125"/>
  <c r="B239" i="125"/>
  <c r="G61" i="5"/>
  <c r="K61" i="5" s="1"/>
  <c r="B199" i="125"/>
  <c r="G53" i="5"/>
  <c r="K53" i="5" s="1"/>
  <c r="D57" i="3"/>
  <c r="G157" i="125"/>
  <c r="G36" i="5"/>
  <c r="K36" i="5" s="1"/>
  <c r="G41" i="5"/>
  <c r="K41" i="5" s="1"/>
  <c r="D40" i="3"/>
  <c r="D32" i="3"/>
  <c r="G13" i="5"/>
  <c r="K13" i="5" s="1"/>
  <c r="G329" i="125"/>
  <c r="G289" i="125"/>
  <c r="B259" i="125"/>
  <c r="G177" i="125"/>
  <c r="G137" i="125"/>
  <c r="G95" i="125"/>
  <c r="G53" i="125"/>
  <c r="D20" i="3"/>
  <c r="G299" i="125"/>
  <c r="D72" i="3"/>
  <c r="B229" i="125"/>
  <c r="G105" i="125"/>
  <c r="G65" i="125"/>
  <c r="G68" i="5"/>
  <c r="G69" i="5"/>
  <c r="K69" i="5" s="1"/>
  <c r="B269" i="125"/>
  <c r="G79" i="5"/>
  <c r="K79" i="5" s="1"/>
  <c r="N79" i="5" s="1"/>
  <c r="P79" i="5" s="1"/>
  <c r="S79" i="5" s="1"/>
  <c r="M76" i="5"/>
  <c r="M81" i="5"/>
  <c r="M75" i="5"/>
  <c r="M78" i="5"/>
  <c r="G81" i="5"/>
  <c r="K81" i="5" s="1"/>
  <c r="N81" i="5" s="1"/>
  <c r="P81" i="5" s="1"/>
  <c r="S81" i="5" s="1"/>
  <c r="M80" i="5"/>
  <c r="G82" i="5"/>
  <c r="K82" i="5" s="1"/>
  <c r="N82" i="5" s="1"/>
  <c r="P82" i="5" s="1"/>
  <c r="S82" i="5" s="1"/>
  <c r="M70" i="3"/>
  <c r="R70" i="3" s="1"/>
  <c r="G249" i="125"/>
  <c r="G64" i="5"/>
  <c r="K64" i="5" s="1"/>
  <c r="G239" i="125"/>
  <c r="D66" i="3"/>
  <c r="G62" i="5"/>
  <c r="K62" i="5" s="1"/>
  <c r="G219" i="125"/>
  <c r="G58" i="5"/>
  <c r="K58" i="5" s="1"/>
  <c r="D62" i="3"/>
  <c r="D60" i="3"/>
  <c r="G199" i="125"/>
  <c r="G54" i="5"/>
  <c r="K54" i="5" s="1"/>
  <c r="G52" i="5"/>
  <c r="K52" i="5" s="1"/>
  <c r="J53" i="3"/>
  <c r="N53" i="3"/>
  <c r="C50" i="108"/>
  <c r="B177" i="125"/>
  <c r="G47" i="5"/>
  <c r="K47" i="5" s="1"/>
  <c r="G45" i="5"/>
  <c r="K45" i="5" s="1"/>
  <c r="B157" i="125"/>
  <c r="D47" i="3"/>
  <c r="G43" i="5"/>
  <c r="K43" i="5" s="1"/>
  <c r="G44" i="5"/>
  <c r="K44" i="5" s="1"/>
  <c r="B127" i="125"/>
  <c r="G37" i="5"/>
  <c r="K37" i="5" s="1"/>
  <c r="G40" i="5"/>
  <c r="K40" i="5" s="1"/>
  <c r="G35" i="5"/>
  <c r="K35" i="5" s="1"/>
  <c r="B95" i="125"/>
  <c r="D35" i="3"/>
  <c r="G29" i="5"/>
  <c r="K29" i="5" s="1"/>
  <c r="B75" i="125"/>
  <c r="G27" i="5"/>
  <c r="K27" i="5" s="1"/>
  <c r="D31" i="3"/>
  <c r="G23" i="5"/>
  <c r="K23" i="5" s="1"/>
  <c r="G21" i="5"/>
  <c r="K21" i="5" s="1"/>
  <c r="B33" i="125"/>
  <c r="B23" i="125"/>
  <c r="G17" i="5"/>
  <c r="K17" i="5" s="1"/>
  <c r="B13" i="125"/>
  <c r="G15" i="5"/>
  <c r="K15" i="5" s="1"/>
  <c r="D19" i="3"/>
  <c r="B319" i="125"/>
  <c r="B289" i="125"/>
  <c r="D74" i="3"/>
  <c r="N11" i="21"/>
  <c r="P11" i="21" s="1"/>
  <c r="P12" i="21" s="1"/>
  <c r="G12" i="21"/>
  <c r="R34" i="146" l="1"/>
  <c r="R54" i="3"/>
  <c r="R53" i="3"/>
  <c r="R16" i="3" s="1"/>
  <c r="R50" i="108"/>
  <c r="R51" i="108" s="1"/>
  <c r="K36" i="108"/>
  <c r="R83" i="57"/>
  <c r="P76" i="3"/>
  <c r="O79" i="3"/>
  <c r="I87" i="3"/>
  <c r="I31" i="110"/>
  <c r="I86" i="3"/>
  <c r="C342" i="125" s="1"/>
  <c r="I30" i="110"/>
  <c r="J30" i="110" s="1"/>
  <c r="O37" i="3"/>
  <c r="Q37" i="3" s="1"/>
  <c r="Q34" i="108" s="1"/>
  <c r="U86" i="3"/>
  <c r="V86" i="3" s="1"/>
  <c r="G82" i="114"/>
  <c r="H16" i="89"/>
  <c r="K48" i="3"/>
  <c r="L48" i="3" s="1"/>
  <c r="I160" i="125" s="1"/>
  <c r="O38" i="108"/>
  <c r="O17" i="108"/>
  <c r="M44" i="108"/>
  <c r="Q28" i="146"/>
  <c r="N62" i="3"/>
  <c r="H221" i="125" s="1"/>
  <c r="N64" i="3"/>
  <c r="H231" i="125" s="1"/>
  <c r="P32" i="3"/>
  <c r="K32" i="3"/>
  <c r="L32" i="3" s="1"/>
  <c r="I78" i="125" s="1"/>
  <c r="Q26" i="146"/>
  <c r="O59" i="3"/>
  <c r="K41" i="3"/>
  <c r="L41" i="3" s="1"/>
  <c r="G37" i="114" s="1"/>
  <c r="O44" i="108"/>
  <c r="O58" i="3"/>
  <c r="M29" i="108"/>
  <c r="P28" i="3"/>
  <c r="P52" i="3"/>
  <c r="H179" i="125" s="1"/>
  <c r="L84" i="3"/>
  <c r="G80" i="114" s="1"/>
  <c r="N36" i="108"/>
  <c r="M28" i="3"/>
  <c r="L83" i="3"/>
  <c r="G79" i="114" s="1"/>
  <c r="O49" i="108"/>
  <c r="M21" i="108"/>
  <c r="K43" i="108"/>
  <c r="L43" i="108" s="1"/>
  <c r="K85" i="3"/>
  <c r="L85" i="3" s="1"/>
  <c r="G81" i="114" s="1"/>
  <c r="K37" i="3"/>
  <c r="L37" i="3" s="1"/>
  <c r="O49" i="3"/>
  <c r="P66" i="3"/>
  <c r="N33" i="3"/>
  <c r="C87" i="125" s="1"/>
  <c r="M28" i="110"/>
  <c r="M84" i="3"/>
  <c r="N28" i="110"/>
  <c r="N84" i="3"/>
  <c r="Q30" i="146"/>
  <c r="M27" i="110"/>
  <c r="M83" i="3"/>
  <c r="N29" i="110"/>
  <c r="N85" i="3"/>
  <c r="P62" i="3"/>
  <c r="P84" i="3"/>
  <c r="O84" i="3"/>
  <c r="M29" i="110"/>
  <c r="M85" i="3"/>
  <c r="O83" i="3"/>
  <c r="P83" i="3"/>
  <c r="N66" i="3"/>
  <c r="Q66" i="3" s="1"/>
  <c r="L26" i="90" s="1"/>
  <c r="O63" i="3"/>
  <c r="I27" i="110"/>
  <c r="J27" i="110" s="1"/>
  <c r="I83" i="3"/>
  <c r="I29" i="110"/>
  <c r="J29" i="110" s="1"/>
  <c r="I85" i="3"/>
  <c r="P44" i="108"/>
  <c r="O35" i="3"/>
  <c r="O25" i="3"/>
  <c r="Q25" i="3" s="1"/>
  <c r="M59" i="3"/>
  <c r="I62" i="3"/>
  <c r="K27" i="108"/>
  <c r="L27" i="108" s="1"/>
  <c r="O25" i="108"/>
  <c r="M61" i="3"/>
  <c r="C221" i="125" s="1"/>
  <c r="I59" i="3"/>
  <c r="K43" i="3"/>
  <c r="K33" i="108"/>
  <c r="M35" i="146"/>
  <c r="K33" i="146"/>
  <c r="K20" i="146"/>
  <c r="Q23" i="146"/>
  <c r="K22" i="146"/>
  <c r="K31" i="146"/>
  <c r="N49" i="108"/>
  <c r="O44" i="3"/>
  <c r="Q44" i="3" s="1"/>
  <c r="N32" i="3"/>
  <c r="P68" i="3"/>
  <c r="P55" i="3"/>
  <c r="P57" i="3"/>
  <c r="P21" i="108"/>
  <c r="N17" i="110"/>
  <c r="P64" i="3"/>
  <c r="E11" i="110"/>
  <c r="E14" i="146"/>
  <c r="L27" i="146" s="1"/>
  <c r="N55" i="3"/>
  <c r="N19" i="146"/>
  <c r="N68" i="3"/>
  <c r="N32" i="146"/>
  <c r="Q32" i="146" s="1"/>
  <c r="N65" i="3"/>
  <c r="Q65" i="3" s="1"/>
  <c r="M61" i="5" s="1"/>
  <c r="N29" i="146"/>
  <c r="Q29" i="146" s="1"/>
  <c r="N57" i="3"/>
  <c r="N21" i="146"/>
  <c r="Q21" i="146" s="1"/>
  <c r="N67" i="3"/>
  <c r="N31" i="146"/>
  <c r="P61" i="3"/>
  <c r="N61" i="3"/>
  <c r="N25" i="146"/>
  <c r="P73" i="3"/>
  <c r="N69" i="3"/>
  <c r="N33" i="146"/>
  <c r="Q33" i="146" s="1"/>
  <c r="N33" i="108"/>
  <c r="J19" i="146"/>
  <c r="I35" i="146"/>
  <c r="G44" i="108"/>
  <c r="H44" i="108" s="1"/>
  <c r="R13" i="57"/>
  <c r="G14" i="108" s="1"/>
  <c r="H14" i="108" s="1"/>
  <c r="G30" i="3"/>
  <c r="H30" i="3" s="1"/>
  <c r="F26" i="114" s="1"/>
  <c r="G58" i="3"/>
  <c r="H200" i="125" s="1"/>
  <c r="I200" i="125" s="1"/>
  <c r="G22" i="146"/>
  <c r="H22" i="146" s="1"/>
  <c r="G66" i="3"/>
  <c r="H240" i="125" s="1"/>
  <c r="I240" i="125" s="1"/>
  <c r="G30" i="146"/>
  <c r="H30" i="146" s="1"/>
  <c r="H19" i="146"/>
  <c r="G65" i="3"/>
  <c r="H25" i="90" s="1"/>
  <c r="I25" i="90" s="1"/>
  <c r="G29" i="146"/>
  <c r="H29" i="146" s="1"/>
  <c r="G62" i="3"/>
  <c r="H220" i="125" s="1"/>
  <c r="I220" i="125" s="1"/>
  <c r="G26" i="146"/>
  <c r="H26" i="146" s="1"/>
  <c r="G69" i="3"/>
  <c r="C260" i="125" s="1"/>
  <c r="D260" i="125" s="1"/>
  <c r="G33" i="146"/>
  <c r="H33" i="146" s="1"/>
  <c r="G33" i="108"/>
  <c r="H33" i="108" s="1"/>
  <c r="G36" i="3"/>
  <c r="H96" i="125" s="1"/>
  <c r="I96" i="125" s="1"/>
  <c r="G59" i="3"/>
  <c r="H19" i="90" s="1"/>
  <c r="I19" i="90" s="1"/>
  <c r="K38" i="57"/>
  <c r="R38" i="57" s="1"/>
  <c r="M39" i="120"/>
  <c r="P65" i="3"/>
  <c r="O45" i="108"/>
  <c r="N59" i="3"/>
  <c r="M33" i="120"/>
  <c r="K50" i="124"/>
  <c r="K34" i="57"/>
  <c r="R34" i="57" s="1"/>
  <c r="M35" i="120"/>
  <c r="K30" i="119"/>
  <c r="K78" i="3"/>
  <c r="M22" i="3"/>
  <c r="H25" i="125" s="1"/>
  <c r="K47" i="3"/>
  <c r="G64" i="3"/>
  <c r="H64" i="3" s="1"/>
  <c r="O48" i="132"/>
  <c r="O47" i="132" s="1"/>
  <c r="O46" i="132" s="1"/>
  <c r="O21" i="127"/>
  <c r="O11" i="127" s="1"/>
  <c r="O48" i="127" s="1"/>
  <c r="K100" i="114"/>
  <c r="AM30" i="4"/>
  <c r="S55" i="37"/>
  <c r="AM48" i="4"/>
  <c r="K28" i="110"/>
  <c r="M18" i="110"/>
  <c r="K50" i="116"/>
  <c r="K51" i="122"/>
  <c r="K50" i="57"/>
  <c r="J67" i="57"/>
  <c r="J85" i="57" s="1"/>
  <c r="K24" i="57"/>
  <c r="M25" i="120"/>
  <c r="K47" i="57"/>
  <c r="R47" i="57" s="1"/>
  <c r="M48" i="120"/>
  <c r="M50" i="57"/>
  <c r="P72" i="3"/>
  <c r="G46" i="3"/>
  <c r="H45" i="91" s="1"/>
  <c r="J45" i="91" s="1"/>
  <c r="K40" i="3"/>
  <c r="L40" i="3" s="1"/>
  <c r="I118" i="125" s="1"/>
  <c r="E102" i="19"/>
  <c r="S44" i="37"/>
  <c r="O30" i="117"/>
  <c r="M12" i="57"/>
  <c r="K30" i="99"/>
  <c r="K33" i="57"/>
  <c r="R33" i="57" s="1"/>
  <c r="G34" i="108" s="1"/>
  <c r="H34" i="108" s="1"/>
  <c r="M34" i="120"/>
  <c r="G61" i="3"/>
  <c r="H21" i="90" s="1"/>
  <c r="I21" i="90" s="1"/>
  <c r="G68" i="3"/>
  <c r="H28" i="90" s="1"/>
  <c r="I28" i="90" s="1"/>
  <c r="AM52" i="4"/>
  <c r="S52" i="37"/>
  <c r="H22" i="89"/>
  <c r="I22" i="89" s="1"/>
  <c r="H82" i="3"/>
  <c r="F78" i="114" s="1"/>
  <c r="M29" i="120"/>
  <c r="K28" i="57"/>
  <c r="R28" i="57" s="1"/>
  <c r="M21" i="110"/>
  <c r="M67" i="57"/>
  <c r="P56" i="3"/>
  <c r="N40" i="3"/>
  <c r="K17" i="3"/>
  <c r="L17" i="3" s="1"/>
  <c r="K28" i="3"/>
  <c r="I32" i="3"/>
  <c r="G35" i="3"/>
  <c r="C96" i="125" s="1"/>
  <c r="D96" i="125" s="1"/>
  <c r="G18" i="3"/>
  <c r="H17" i="91" s="1"/>
  <c r="J17" i="91" s="1"/>
  <c r="M56" i="3"/>
  <c r="H191" i="125" s="1"/>
  <c r="L12" i="57"/>
  <c r="L85" i="57" s="1"/>
  <c r="O27" i="132"/>
  <c r="O23" i="132" s="1"/>
  <c r="R15" i="57"/>
  <c r="M19" i="110"/>
  <c r="N20" i="110"/>
  <c r="N21" i="110"/>
  <c r="M25" i="110"/>
  <c r="N26" i="110"/>
  <c r="K36" i="57"/>
  <c r="R36" i="57" s="1"/>
  <c r="M37" i="120"/>
  <c r="K16" i="110"/>
  <c r="M13" i="1"/>
  <c r="N13" i="1" s="1"/>
  <c r="K27" i="57"/>
  <c r="R27" i="57" s="1"/>
  <c r="M28" i="120"/>
  <c r="O24" i="3"/>
  <c r="H35" i="125" s="1"/>
  <c r="K35" i="3"/>
  <c r="L35" i="3" s="1"/>
  <c r="D98" i="125" s="1"/>
  <c r="K82" i="3"/>
  <c r="P41" i="108"/>
  <c r="O21" i="131"/>
  <c r="M42" i="108"/>
  <c r="S20" i="37"/>
  <c r="K20" i="57"/>
  <c r="R20" i="57" s="1"/>
  <c r="G21" i="108" s="1"/>
  <c r="H21" i="108" s="1"/>
  <c r="M21" i="120"/>
  <c r="N19" i="110"/>
  <c r="N23" i="110"/>
  <c r="N25" i="110"/>
  <c r="N27" i="110"/>
  <c r="M40" i="120"/>
  <c r="K39" i="57"/>
  <c r="R39" i="57" s="1"/>
  <c r="G40" i="108" s="1"/>
  <c r="H40" i="108" s="1"/>
  <c r="N16" i="110"/>
  <c r="J30" i="121"/>
  <c r="S90" i="5"/>
  <c r="S91" i="5" s="1"/>
  <c r="P91" i="5"/>
  <c r="S24" i="37"/>
  <c r="J31" i="130"/>
  <c r="O20" i="117"/>
  <c r="O11" i="117" s="1"/>
  <c r="O62" i="117" s="1"/>
  <c r="E100" i="19"/>
  <c r="J29" i="98"/>
  <c r="M20" i="110"/>
  <c r="K21" i="110"/>
  <c r="M22" i="110"/>
  <c r="M24" i="110"/>
  <c r="K27" i="110"/>
  <c r="H15" i="6"/>
  <c r="I12" i="6"/>
  <c r="I69" i="3"/>
  <c r="I56" i="3"/>
  <c r="I78" i="3"/>
  <c r="I22" i="110"/>
  <c r="J22" i="110" s="1"/>
  <c r="I28" i="110"/>
  <c r="J28" i="110" s="1"/>
  <c r="I68" i="3"/>
  <c r="I66" i="3"/>
  <c r="J16" i="110"/>
  <c r="Q70" i="3"/>
  <c r="S70" i="3" s="1"/>
  <c r="H66" i="114" s="1"/>
  <c r="H81" i="3"/>
  <c r="F77" i="114" s="1"/>
  <c r="Q48" i="3"/>
  <c r="Q34" i="3"/>
  <c r="Q38" i="3"/>
  <c r="Q46" i="3"/>
  <c r="Q30" i="3"/>
  <c r="H26" i="114" s="1"/>
  <c r="Q47" i="3"/>
  <c r="Q21" i="3"/>
  <c r="Q18" i="108" s="1"/>
  <c r="Q58" i="3"/>
  <c r="Q29" i="3"/>
  <c r="Q41" i="3"/>
  <c r="M48" i="108"/>
  <c r="M45" i="108"/>
  <c r="O20" i="108"/>
  <c r="M38" i="108"/>
  <c r="H32" i="71"/>
  <c r="M60" i="3"/>
  <c r="Q60" i="3" s="1"/>
  <c r="P78" i="3"/>
  <c r="O17" i="3"/>
  <c r="C5" i="125" s="1"/>
  <c r="M36" i="3"/>
  <c r="O40" i="3"/>
  <c r="M55" i="3"/>
  <c r="H330" i="125"/>
  <c r="I330" i="125" s="1"/>
  <c r="P80" i="3"/>
  <c r="K23" i="3"/>
  <c r="K50" i="3"/>
  <c r="M68" i="3"/>
  <c r="P45" i="108"/>
  <c r="P17" i="108"/>
  <c r="M26" i="108"/>
  <c r="P81" i="3"/>
  <c r="H300" i="125"/>
  <c r="I300" i="125" s="1"/>
  <c r="K24" i="3"/>
  <c r="M19" i="3"/>
  <c r="O31" i="3"/>
  <c r="O43" i="3"/>
  <c r="O45" i="3"/>
  <c r="Q45" i="3" s="1"/>
  <c r="P60" i="3"/>
  <c r="L45" i="108"/>
  <c r="I20" i="3"/>
  <c r="U24" i="57"/>
  <c r="J28" i="3" s="1"/>
  <c r="H56" i="125" s="1"/>
  <c r="I28" i="3"/>
  <c r="I26" i="108"/>
  <c r="J26" i="108" s="1"/>
  <c r="L26" i="108" s="1"/>
  <c r="I18" i="3"/>
  <c r="I28" i="108"/>
  <c r="J28" i="108" s="1"/>
  <c r="L28" i="108" s="1"/>
  <c r="I48" i="3"/>
  <c r="I41" i="108"/>
  <c r="J41" i="108" s="1"/>
  <c r="L41" i="108" s="1"/>
  <c r="I21" i="3"/>
  <c r="I39" i="3"/>
  <c r="I41" i="3"/>
  <c r="I16" i="108"/>
  <c r="J16" i="108" s="1"/>
  <c r="D20" i="63"/>
  <c r="D19" i="63" s="1"/>
  <c r="K25" i="3"/>
  <c r="L25" i="3" s="1"/>
  <c r="K81" i="3"/>
  <c r="K80" i="3"/>
  <c r="L80" i="3" s="1"/>
  <c r="G76" i="114" s="1"/>
  <c r="K79" i="3"/>
  <c r="L79" i="3" s="1"/>
  <c r="G75" i="114" s="1"/>
  <c r="J34" i="138"/>
  <c r="K76" i="3"/>
  <c r="L76" i="3" s="1"/>
  <c r="G72" i="114" s="1"/>
  <c r="K75" i="3"/>
  <c r="L75" i="3" s="1"/>
  <c r="G71" i="114" s="1"/>
  <c r="K74" i="3"/>
  <c r="K68" i="3"/>
  <c r="K64" i="3"/>
  <c r="K60" i="3"/>
  <c r="K48" i="108"/>
  <c r="K42" i="108"/>
  <c r="K44" i="3"/>
  <c r="K34" i="3"/>
  <c r="L34" i="3" s="1"/>
  <c r="K31" i="3"/>
  <c r="K27" i="3"/>
  <c r="G67" i="3"/>
  <c r="H67" i="3" s="1"/>
  <c r="G55" i="3"/>
  <c r="G43" i="3"/>
  <c r="H42" i="91" s="1"/>
  <c r="J42" i="91" s="1"/>
  <c r="G24" i="108"/>
  <c r="H24" i="108" s="1"/>
  <c r="G24" i="3"/>
  <c r="H19" i="89"/>
  <c r="I19" i="89" s="1"/>
  <c r="G49" i="3"/>
  <c r="C168" i="125" s="1"/>
  <c r="D168" i="125" s="1"/>
  <c r="G37" i="3"/>
  <c r="H37" i="3" s="1"/>
  <c r="G17" i="3"/>
  <c r="H17" i="3" s="1"/>
  <c r="G21" i="3"/>
  <c r="H20" i="91" s="1"/>
  <c r="J20" i="91" s="1"/>
  <c r="K50" i="97"/>
  <c r="L36" i="108"/>
  <c r="P74" i="3"/>
  <c r="P75" i="3"/>
  <c r="I73" i="3"/>
  <c r="P69" i="3"/>
  <c r="P82" i="3"/>
  <c r="L25" i="108"/>
  <c r="D18" i="63"/>
  <c r="I79" i="3"/>
  <c r="J24" i="3"/>
  <c r="H36" i="125" s="1"/>
  <c r="J50" i="3"/>
  <c r="H170" i="125" s="1"/>
  <c r="C332" i="125"/>
  <c r="I47" i="108"/>
  <c r="J47" i="108" s="1"/>
  <c r="L47" i="108" s="1"/>
  <c r="O16" i="108"/>
  <c r="O19" i="3"/>
  <c r="R24" i="57"/>
  <c r="I12" i="57"/>
  <c r="I85" i="57" s="1"/>
  <c r="D66" i="133"/>
  <c r="E66" i="133" s="1"/>
  <c r="F66" i="133" s="1"/>
  <c r="E66" i="58"/>
  <c r="H66" i="58" s="1"/>
  <c r="K20" i="3"/>
  <c r="K17" i="108"/>
  <c r="L17" i="108" s="1"/>
  <c r="I67" i="3"/>
  <c r="M20" i="108"/>
  <c r="M23" i="3"/>
  <c r="M67" i="3"/>
  <c r="K18" i="108"/>
  <c r="L18" i="108" s="1"/>
  <c r="K21" i="3"/>
  <c r="L21" i="3" s="1"/>
  <c r="T15" i="136"/>
  <c r="T18" i="136" s="1"/>
  <c r="L30" i="136"/>
  <c r="L77" i="3"/>
  <c r="G73" i="114" s="1"/>
  <c r="I55" i="3"/>
  <c r="R67" i="57"/>
  <c r="I25" i="3"/>
  <c r="I22" i="108"/>
  <c r="J22" i="108" s="1"/>
  <c r="L22" i="108" s="1"/>
  <c r="J20" i="3"/>
  <c r="H16" i="125" s="1"/>
  <c r="J51" i="3"/>
  <c r="C180" i="125" s="1"/>
  <c r="H332" i="125"/>
  <c r="I42" i="3"/>
  <c r="I39" i="108"/>
  <c r="J39" i="108" s="1"/>
  <c r="I74" i="3"/>
  <c r="M82" i="3"/>
  <c r="M63" i="3"/>
  <c r="D53" i="133"/>
  <c r="E53" i="133" s="1"/>
  <c r="F53" i="133" s="1"/>
  <c r="M31" i="3"/>
  <c r="M28" i="108"/>
  <c r="P19" i="3"/>
  <c r="P16" i="108"/>
  <c r="M32" i="108"/>
  <c r="M35" i="3"/>
  <c r="V38" i="132"/>
  <c r="W38" i="132" s="1"/>
  <c r="H76" i="3"/>
  <c r="F72" i="114" s="1"/>
  <c r="F80" i="114"/>
  <c r="G20" i="108"/>
  <c r="H20" i="108" s="1"/>
  <c r="G23" i="3"/>
  <c r="H22" i="91" s="1"/>
  <c r="J22" i="91" s="1"/>
  <c r="G56" i="3"/>
  <c r="H16" i="90" s="1"/>
  <c r="I16" i="90" s="1"/>
  <c r="G60" i="3"/>
  <c r="H20" i="90" s="1"/>
  <c r="I20" i="90" s="1"/>
  <c r="I27" i="3"/>
  <c r="I24" i="108"/>
  <c r="J24" i="108" s="1"/>
  <c r="L24" i="108" s="1"/>
  <c r="C150" i="125"/>
  <c r="J59" i="3"/>
  <c r="C212" i="125" s="1"/>
  <c r="I82" i="3"/>
  <c r="I23" i="3"/>
  <c r="I64" i="3"/>
  <c r="I14" i="108"/>
  <c r="J14" i="108" s="1"/>
  <c r="L14" i="108" s="1"/>
  <c r="I17" i="3"/>
  <c r="I50" i="3"/>
  <c r="C148" i="125"/>
  <c r="D148" i="125" s="1"/>
  <c r="H45" i="3"/>
  <c r="F41" i="114" s="1"/>
  <c r="E59" i="58"/>
  <c r="H59" i="58" s="1"/>
  <c r="P31" i="3"/>
  <c r="P28" i="108"/>
  <c r="M39" i="108"/>
  <c r="M42" i="3"/>
  <c r="D31" i="133"/>
  <c r="E31" i="133" s="1"/>
  <c r="F31" i="133" s="1"/>
  <c r="E31" i="58"/>
  <c r="H31" i="58" s="1"/>
  <c r="O31" i="58" s="1"/>
  <c r="Q31" i="58" s="1"/>
  <c r="R31" i="58" s="1"/>
  <c r="K15" i="108"/>
  <c r="L15" i="108" s="1"/>
  <c r="K18" i="3"/>
  <c r="K46" i="108"/>
  <c r="K49" i="3"/>
  <c r="L49" i="3" s="1"/>
  <c r="I19" i="108"/>
  <c r="J19" i="108" s="1"/>
  <c r="L19" i="108" s="1"/>
  <c r="I22" i="3"/>
  <c r="I47" i="3"/>
  <c r="I44" i="108"/>
  <c r="J44" i="108" s="1"/>
  <c r="L44" i="108" s="1"/>
  <c r="H292" i="125"/>
  <c r="K63" i="3"/>
  <c r="L63" i="3" s="1"/>
  <c r="K23" i="90" s="1"/>
  <c r="K30" i="108"/>
  <c r="K33" i="3"/>
  <c r="L33" i="3" s="1"/>
  <c r="P50" i="3"/>
  <c r="P47" i="108"/>
  <c r="K49" i="108"/>
  <c r="K52" i="3"/>
  <c r="L52" i="3" s="1"/>
  <c r="K62" i="3"/>
  <c r="L62" i="3" s="1"/>
  <c r="I222" i="125" s="1"/>
  <c r="G42" i="3"/>
  <c r="H41" i="91" s="1"/>
  <c r="J41" i="91" s="1"/>
  <c r="G39" i="108"/>
  <c r="H39" i="108" s="1"/>
  <c r="M49" i="3"/>
  <c r="G39" i="3"/>
  <c r="H39" i="3" s="1"/>
  <c r="J65" i="3"/>
  <c r="C242" i="125" s="1"/>
  <c r="G28" i="108"/>
  <c r="H28" i="108" s="1"/>
  <c r="G31" i="3"/>
  <c r="C76" i="125" s="1"/>
  <c r="D76" i="125" s="1"/>
  <c r="K40" i="57"/>
  <c r="R40" i="57" s="1"/>
  <c r="M41" i="120"/>
  <c r="I20" i="108"/>
  <c r="J20" i="108" s="1"/>
  <c r="L20" i="108" s="1"/>
  <c r="D39" i="133"/>
  <c r="E39" i="133" s="1"/>
  <c r="F39" i="133" s="1"/>
  <c r="H272" i="125"/>
  <c r="D29" i="133"/>
  <c r="E29" i="133" s="1"/>
  <c r="F29" i="133" s="1"/>
  <c r="E36" i="58"/>
  <c r="H36" i="58" s="1"/>
  <c r="D36" i="133"/>
  <c r="L56" i="3"/>
  <c r="I192" i="125" s="1"/>
  <c r="I51" i="3"/>
  <c r="J19" i="3"/>
  <c r="C16" i="125" s="1"/>
  <c r="O27" i="3"/>
  <c r="J27" i="3"/>
  <c r="C56" i="125" s="1"/>
  <c r="I75" i="3"/>
  <c r="I76" i="3"/>
  <c r="I77" i="3"/>
  <c r="I80" i="3"/>
  <c r="M18" i="3"/>
  <c r="I30" i="3"/>
  <c r="I46" i="3"/>
  <c r="M57" i="3"/>
  <c r="K57" i="3"/>
  <c r="L57" i="3" s="1"/>
  <c r="J58" i="3"/>
  <c r="H202" i="125" s="1"/>
  <c r="K61" i="3"/>
  <c r="L61" i="3" s="1"/>
  <c r="D222" i="125" s="1"/>
  <c r="I63" i="3"/>
  <c r="K65" i="3"/>
  <c r="M69" i="3"/>
  <c r="Y30" i="132"/>
  <c r="Y31" i="132" s="1"/>
  <c r="Y33" i="132" s="1"/>
  <c r="K25" i="57"/>
  <c r="R25" i="57" s="1"/>
  <c r="M26" i="120"/>
  <c r="Y14" i="129"/>
  <c r="O32" i="129"/>
  <c r="O21" i="129" s="1"/>
  <c r="O11" i="129" s="1"/>
  <c r="O55" i="129" s="1"/>
  <c r="I23" i="108"/>
  <c r="J23" i="108" s="1"/>
  <c r="I30" i="108"/>
  <c r="J30" i="108" s="1"/>
  <c r="M34" i="108"/>
  <c r="K44" i="57"/>
  <c r="R44" i="57" s="1"/>
  <c r="M45" i="120"/>
  <c r="O31" i="131"/>
  <c r="O37" i="131" s="1"/>
  <c r="T13" i="131"/>
  <c r="K16" i="108"/>
  <c r="P20" i="108"/>
  <c r="M24" i="108"/>
  <c r="I35" i="108"/>
  <c r="J35" i="108" s="1"/>
  <c r="L35" i="108" s="1"/>
  <c r="I49" i="108"/>
  <c r="J49" i="108" s="1"/>
  <c r="K48" i="57"/>
  <c r="R48" i="57" s="1"/>
  <c r="M49" i="120"/>
  <c r="M43" i="108"/>
  <c r="I46" i="108"/>
  <c r="J46" i="108" s="1"/>
  <c r="M40" i="108"/>
  <c r="S45" i="37"/>
  <c r="AM45" i="4"/>
  <c r="AM34" i="4"/>
  <c r="S34" i="37"/>
  <c r="AM37" i="4"/>
  <c r="S37" i="37"/>
  <c r="S22" i="37"/>
  <c r="AM22" i="4"/>
  <c r="S38" i="37"/>
  <c r="AM38" i="4"/>
  <c r="S17" i="37"/>
  <c r="AM17" i="4"/>
  <c r="J62" i="37"/>
  <c r="E62" i="37" s="1"/>
  <c r="AM19" i="4"/>
  <c r="S19" i="37"/>
  <c r="E104" i="19"/>
  <c r="P11" i="28"/>
  <c r="P13" i="28" s="1"/>
  <c r="N13" i="28"/>
  <c r="V23" i="117"/>
  <c r="W23" i="117" s="1"/>
  <c r="M20" i="3"/>
  <c r="O36" i="3"/>
  <c r="O50" i="3"/>
  <c r="I81" i="3"/>
  <c r="O39" i="3"/>
  <c r="C117" i="125" s="1"/>
  <c r="I40" i="3"/>
  <c r="J55" i="3"/>
  <c r="C192" i="125" s="1"/>
  <c r="I57" i="3"/>
  <c r="K59" i="3"/>
  <c r="I60" i="3"/>
  <c r="K66" i="3"/>
  <c r="L66" i="3" s="1"/>
  <c r="I242" i="125" s="1"/>
  <c r="I72" i="3"/>
  <c r="K16" i="57"/>
  <c r="J51" i="120"/>
  <c r="M17" i="120"/>
  <c r="K29" i="57"/>
  <c r="R29" i="57" s="1"/>
  <c r="M30" i="120"/>
  <c r="K37" i="57"/>
  <c r="R37" i="57" s="1"/>
  <c r="M38" i="120"/>
  <c r="Z26" i="132"/>
  <c r="AA26" i="132" s="1"/>
  <c r="K23" i="108"/>
  <c r="P24" i="108"/>
  <c r="G42" i="108"/>
  <c r="H42" i="108" s="1"/>
  <c r="I21" i="108"/>
  <c r="J21" i="108" s="1"/>
  <c r="L21" i="108" s="1"/>
  <c r="K39" i="108"/>
  <c r="O21" i="118"/>
  <c r="U30" i="118"/>
  <c r="I37" i="108"/>
  <c r="J37" i="108" s="1"/>
  <c r="L37" i="108" s="1"/>
  <c r="L9" i="20"/>
  <c r="L39" i="20" s="1"/>
  <c r="K39" i="20"/>
  <c r="AM29" i="4"/>
  <c r="S29" i="37"/>
  <c r="E103" i="19"/>
  <c r="W29" i="132"/>
  <c r="E39" i="58"/>
  <c r="H39" i="58" s="1"/>
  <c r="D56" i="133"/>
  <c r="E56" i="133" s="1"/>
  <c r="F56" i="133" s="1"/>
  <c r="H26" i="125"/>
  <c r="C170" i="125"/>
  <c r="C202" i="125"/>
  <c r="D30" i="133"/>
  <c r="E30" i="133" s="1"/>
  <c r="F30" i="133" s="1"/>
  <c r="M27" i="63"/>
  <c r="D42" i="133"/>
  <c r="E42" i="133" s="1"/>
  <c r="F42" i="133" s="1"/>
  <c r="H6" i="125"/>
  <c r="H46" i="125"/>
  <c r="C26" i="125"/>
  <c r="C46" i="125"/>
  <c r="H160" i="125"/>
  <c r="H180" i="125"/>
  <c r="H242" i="125"/>
  <c r="D15" i="133"/>
  <c r="E15" i="133" s="1"/>
  <c r="F15" i="133" s="1"/>
  <c r="E33" i="58"/>
  <c r="H33" i="58" s="1"/>
  <c r="O33" i="58" s="1"/>
  <c r="Q33" i="58" s="1"/>
  <c r="R33" i="58" s="1"/>
  <c r="J38" i="108"/>
  <c r="L38" i="108" s="1"/>
  <c r="I24" i="3"/>
  <c r="I36" i="3"/>
  <c r="J23" i="3"/>
  <c r="C36" i="125" s="1"/>
  <c r="I35" i="3"/>
  <c r="J43" i="3"/>
  <c r="G50" i="3"/>
  <c r="H49" i="91" s="1"/>
  <c r="J49" i="91" s="1"/>
  <c r="K73" i="3"/>
  <c r="L73" i="3" s="1"/>
  <c r="G69" i="114" s="1"/>
  <c r="J74" i="3"/>
  <c r="C282" i="125" s="1"/>
  <c r="J78" i="3"/>
  <c r="C302" i="125" s="1"/>
  <c r="J81" i="3"/>
  <c r="H312" i="125" s="1"/>
  <c r="J82" i="3"/>
  <c r="C322" i="125" s="1"/>
  <c r="M26" i="3"/>
  <c r="J30" i="3"/>
  <c r="L30" i="3" s="1"/>
  <c r="K29" i="91" s="1"/>
  <c r="I34" i="3"/>
  <c r="P34" i="138"/>
  <c r="K29" i="3"/>
  <c r="L29" i="3" s="1"/>
  <c r="K55" i="3"/>
  <c r="G57" i="3"/>
  <c r="H57" i="3" s="1"/>
  <c r="I58" i="3"/>
  <c r="J60" i="3"/>
  <c r="H212" i="125" s="1"/>
  <c r="J64" i="3"/>
  <c r="H232" i="125" s="1"/>
  <c r="J67" i="3"/>
  <c r="C252" i="125" s="1"/>
  <c r="J68" i="3"/>
  <c r="H252" i="125" s="1"/>
  <c r="K22" i="57"/>
  <c r="R22" i="57" s="1"/>
  <c r="M23" i="120"/>
  <c r="T29" i="132"/>
  <c r="I34" i="108"/>
  <c r="J34" i="108" s="1"/>
  <c r="L34" i="108" s="1"/>
  <c r="P48" i="108"/>
  <c r="I31" i="108"/>
  <c r="J31" i="108" s="1"/>
  <c r="L31" i="108" s="1"/>
  <c r="I42" i="108"/>
  <c r="J42" i="108" s="1"/>
  <c r="I40" i="108"/>
  <c r="J40" i="108" s="1"/>
  <c r="L40" i="108" s="1"/>
  <c r="O29" i="118"/>
  <c r="S41" i="37"/>
  <c r="AM41" i="4"/>
  <c r="AM35" i="4"/>
  <c r="S35" i="37"/>
  <c r="N12" i="1"/>
  <c r="AM39" i="4"/>
  <c r="S39" i="37"/>
  <c r="AM40" i="4"/>
  <c r="S40" i="37"/>
  <c r="J61" i="37"/>
  <c r="E61" i="37" s="1"/>
  <c r="J63" i="37"/>
  <c r="E63" i="37" s="1"/>
  <c r="AM18" i="4"/>
  <c r="S18" i="37"/>
  <c r="E101" i="19"/>
  <c r="E105" i="19" s="1"/>
  <c r="P50" i="108"/>
  <c r="O50" i="108"/>
  <c r="K50" i="108"/>
  <c r="G50" i="108"/>
  <c r="I50" i="108"/>
  <c r="N50" i="108"/>
  <c r="M50" i="108"/>
  <c r="S50" i="108" s="1"/>
  <c r="N74" i="3"/>
  <c r="N24" i="108"/>
  <c r="N27" i="3"/>
  <c r="N16" i="108"/>
  <c r="N19" i="3"/>
  <c r="N78" i="3"/>
  <c r="N48" i="108"/>
  <c r="N51" i="3"/>
  <c r="C179" i="125" s="1"/>
  <c r="N32" i="108"/>
  <c r="N35" i="3"/>
  <c r="P77" i="3"/>
  <c r="O77" i="3"/>
  <c r="P40" i="3"/>
  <c r="N40" i="108"/>
  <c r="N43" i="3"/>
  <c r="N28" i="108"/>
  <c r="N31" i="3"/>
  <c r="N20" i="108"/>
  <c r="N23" i="3"/>
  <c r="X50" i="57"/>
  <c r="O67" i="3"/>
  <c r="P67" i="3"/>
  <c r="H18" i="108"/>
  <c r="H77" i="3"/>
  <c r="F73" i="114" s="1"/>
  <c r="H21" i="89"/>
  <c r="I21" i="89" s="1"/>
  <c r="J32" i="108"/>
  <c r="L32" i="108" s="1"/>
  <c r="R50" i="57"/>
  <c r="J48" i="108"/>
  <c r="C129" i="125"/>
  <c r="H311" i="125"/>
  <c r="K11" i="68"/>
  <c r="N10" i="68"/>
  <c r="N11" i="68" s="1"/>
  <c r="S53" i="3"/>
  <c r="H49" i="114" s="1"/>
  <c r="S50" i="57"/>
  <c r="L36" i="3"/>
  <c r="G32" i="114" s="1"/>
  <c r="E36" i="133"/>
  <c r="F36" i="133" s="1"/>
  <c r="K17" i="89"/>
  <c r="M69" i="5"/>
  <c r="E53" i="58"/>
  <c r="H53" i="58" s="1"/>
  <c r="D57" i="133"/>
  <c r="E57" i="133" s="1"/>
  <c r="F57" i="133" s="1"/>
  <c r="D50" i="133"/>
  <c r="E50" i="133" s="1"/>
  <c r="F50" i="133" s="1"/>
  <c r="E24" i="133"/>
  <c r="F24" i="133" s="1"/>
  <c r="E24" i="58"/>
  <c r="H24" i="58" s="1"/>
  <c r="O24" i="58" s="1"/>
  <c r="Q24" i="58" s="1"/>
  <c r="R24" i="58" s="1"/>
  <c r="S24" i="58" s="1"/>
  <c r="E29" i="58"/>
  <c r="H29" i="58" s="1"/>
  <c r="O29" i="58" s="1"/>
  <c r="Q29" i="58" s="1"/>
  <c r="R29" i="58" s="1"/>
  <c r="S29" i="58" s="1"/>
  <c r="E86" i="58"/>
  <c r="U50" i="57"/>
  <c r="J33" i="108"/>
  <c r="AH11" i="105"/>
  <c r="Y14" i="105"/>
  <c r="AH14" i="105" s="1"/>
  <c r="D23" i="105" s="1"/>
  <c r="D25" i="105" s="1"/>
  <c r="U68" i="57"/>
  <c r="J72" i="3" s="1"/>
  <c r="U42" i="57"/>
  <c r="U43" i="57"/>
  <c r="J47" i="3" s="1"/>
  <c r="U40" i="57"/>
  <c r="J44" i="3" s="1"/>
  <c r="E67" i="58"/>
  <c r="H67" i="58" s="1"/>
  <c r="D67" i="133"/>
  <c r="E67" i="133" s="1"/>
  <c r="F67" i="133" s="1"/>
  <c r="E68" i="58"/>
  <c r="H68" i="58" s="1"/>
  <c r="D68" i="133"/>
  <c r="E68" i="133" s="1"/>
  <c r="F68" i="133" s="1"/>
  <c r="D69" i="133"/>
  <c r="E69" i="133" s="1"/>
  <c r="F69" i="133" s="1"/>
  <c r="E69" i="58"/>
  <c r="H69" i="58" s="1"/>
  <c r="D76" i="133"/>
  <c r="E76" i="133" s="1"/>
  <c r="F76" i="133" s="1"/>
  <c r="E76" i="58"/>
  <c r="H76" i="58" s="1"/>
  <c r="D77" i="133"/>
  <c r="E77" i="133" s="1"/>
  <c r="F77" i="133" s="1"/>
  <c r="E77" i="58"/>
  <c r="H77" i="58" s="1"/>
  <c r="E73" i="58"/>
  <c r="H73" i="58" s="1"/>
  <c r="D73" i="133"/>
  <c r="E73" i="133" s="1"/>
  <c r="F73" i="133" s="1"/>
  <c r="D64" i="133"/>
  <c r="E64" i="58"/>
  <c r="H64" i="58" s="1"/>
  <c r="D49" i="133"/>
  <c r="E49" i="133" s="1"/>
  <c r="F49" i="133" s="1"/>
  <c r="E20" i="133"/>
  <c r="F20" i="133" s="1"/>
  <c r="E20" i="58"/>
  <c r="H20" i="58" s="1"/>
  <c r="O20" i="58" s="1"/>
  <c r="Q20" i="58" s="1"/>
  <c r="R20" i="58" s="1"/>
  <c r="S20" i="58" s="1"/>
  <c r="E12" i="133"/>
  <c r="F12" i="133" s="1"/>
  <c r="E12" i="58"/>
  <c r="H12" i="58" s="1"/>
  <c r="C67" i="125"/>
  <c r="E26" i="58"/>
  <c r="H26" i="58" s="1"/>
  <c r="O26" i="58" s="1"/>
  <c r="Q26" i="58" s="1"/>
  <c r="R26" i="58" s="1"/>
  <c r="S26" i="58" s="1"/>
  <c r="E26" i="133"/>
  <c r="F26" i="133" s="1"/>
  <c r="E32" i="133"/>
  <c r="F32" i="133" s="1"/>
  <c r="E32" i="58"/>
  <c r="H32" i="58" s="1"/>
  <c r="O32" i="58" s="1"/>
  <c r="Q32" i="58" s="1"/>
  <c r="R32" i="58" s="1"/>
  <c r="E11" i="133"/>
  <c r="F11" i="133" s="1"/>
  <c r="E11" i="58"/>
  <c r="H11" i="58" s="1"/>
  <c r="E45" i="133"/>
  <c r="F45" i="133" s="1"/>
  <c r="E45" i="58"/>
  <c r="H45" i="58" s="1"/>
  <c r="O45" i="58" s="1"/>
  <c r="Q45" i="58" s="1"/>
  <c r="R45" i="58" s="1"/>
  <c r="S45" i="58" s="1"/>
  <c r="E16" i="58"/>
  <c r="H16" i="58" s="1"/>
  <c r="O16" i="58" s="1"/>
  <c r="Q16" i="58" s="1"/>
  <c r="R16" i="58" s="1"/>
  <c r="S16" i="58" s="1"/>
  <c r="E16" i="133"/>
  <c r="F16" i="133" s="1"/>
  <c r="E28" i="133"/>
  <c r="F28" i="133" s="1"/>
  <c r="E28" i="58"/>
  <c r="H28" i="58" s="1"/>
  <c r="O28" i="58" s="1"/>
  <c r="Q28" i="58" s="1"/>
  <c r="R28" i="58" s="1"/>
  <c r="S28" i="58" s="1"/>
  <c r="E41" i="133"/>
  <c r="F41" i="133" s="1"/>
  <c r="E41" i="58"/>
  <c r="H41" i="58" s="1"/>
  <c r="Y50" i="57"/>
  <c r="W50" i="57"/>
  <c r="D51" i="133"/>
  <c r="E51" i="133" s="1"/>
  <c r="F51" i="133" s="1"/>
  <c r="E51" i="58"/>
  <c r="H51" i="58" s="1"/>
  <c r="D61" i="133"/>
  <c r="E61" i="133" s="1"/>
  <c r="F61" i="133" s="1"/>
  <c r="E61" i="58"/>
  <c r="H61" i="58" s="1"/>
  <c r="Y12" i="57"/>
  <c r="AH12" i="113"/>
  <c r="X67" i="57"/>
  <c r="V50" i="57"/>
  <c r="D48" i="133"/>
  <c r="E48" i="58"/>
  <c r="H48" i="58" s="1"/>
  <c r="D54" i="133"/>
  <c r="E54" i="133" s="1"/>
  <c r="F54" i="133" s="1"/>
  <c r="E54" i="58"/>
  <c r="H54" i="58" s="1"/>
  <c r="X12" i="57"/>
  <c r="E46" i="133"/>
  <c r="F46" i="133" s="1"/>
  <c r="E46" i="58"/>
  <c r="H46" i="58" s="1"/>
  <c r="E27" i="133"/>
  <c r="F27" i="133" s="1"/>
  <c r="E27" i="58"/>
  <c r="H27" i="58" s="1"/>
  <c r="O27" i="58" s="1"/>
  <c r="Q27" i="58" s="1"/>
  <c r="R27" i="58" s="1"/>
  <c r="S27" i="58" s="1"/>
  <c r="E40" i="133"/>
  <c r="F40" i="133" s="1"/>
  <c r="E40" i="58"/>
  <c r="H40" i="58" s="1"/>
  <c r="E34" i="133"/>
  <c r="F34" i="133" s="1"/>
  <c r="E34" i="58"/>
  <c r="H34" i="58" s="1"/>
  <c r="O34" i="58" s="1"/>
  <c r="Q34" i="58" s="1"/>
  <c r="R34" i="58" s="1"/>
  <c r="E13" i="133"/>
  <c r="F13" i="133" s="1"/>
  <c r="E13" i="58"/>
  <c r="H13" i="58" s="1"/>
  <c r="E17" i="133"/>
  <c r="F17" i="133" s="1"/>
  <c r="E17" i="58"/>
  <c r="H17" i="58" s="1"/>
  <c r="O17" i="58" s="1"/>
  <c r="Q17" i="58" s="1"/>
  <c r="R17" i="58" s="1"/>
  <c r="S17" i="58" s="1"/>
  <c r="E35" i="133"/>
  <c r="F35" i="133" s="1"/>
  <c r="E35" i="58"/>
  <c r="H35" i="58" s="1"/>
  <c r="V12" i="57"/>
  <c r="E44" i="133"/>
  <c r="F44" i="133" s="1"/>
  <c r="E44" i="58"/>
  <c r="H44" i="58" s="1"/>
  <c r="E19" i="58"/>
  <c r="H19" i="58" s="1"/>
  <c r="O19" i="58" s="1"/>
  <c r="Q19" i="58" s="1"/>
  <c r="R19" i="58" s="1"/>
  <c r="S19" i="58" s="1"/>
  <c r="E19" i="133"/>
  <c r="F19" i="133" s="1"/>
  <c r="E14" i="133"/>
  <c r="F14" i="133" s="1"/>
  <c r="E14" i="58"/>
  <c r="H14" i="58" s="1"/>
  <c r="O15" i="58"/>
  <c r="Q15" i="58" s="1"/>
  <c r="R15" i="58" s="1"/>
  <c r="S15" i="58" s="1"/>
  <c r="I15" i="58"/>
  <c r="L15" i="58" s="1"/>
  <c r="E23" i="58"/>
  <c r="H23" i="58" s="1"/>
  <c r="O23" i="58" s="1"/>
  <c r="Q23" i="58" s="1"/>
  <c r="R23" i="58" s="1"/>
  <c r="S23" i="58" s="1"/>
  <c r="E23" i="133"/>
  <c r="F23" i="133" s="1"/>
  <c r="AH14" i="113"/>
  <c r="E37" i="133"/>
  <c r="F37" i="133" s="1"/>
  <c r="E37" i="58"/>
  <c r="H37" i="58" s="1"/>
  <c r="E43" i="58"/>
  <c r="H43" i="58" s="1"/>
  <c r="E43" i="133"/>
  <c r="F43" i="133" s="1"/>
  <c r="E38" i="133"/>
  <c r="F38" i="133" s="1"/>
  <c r="E38" i="58"/>
  <c r="H38" i="58" s="1"/>
  <c r="O38" i="58" s="1"/>
  <c r="Q38" i="58" s="1"/>
  <c r="R38" i="58" s="1"/>
  <c r="S38" i="58" s="1"/>
  <c r="E21" i="133"/>
  <c r="F21" i="133" s="1"/>
  <c r="E21" i="58"/>
  <c r="H21" i="58" s="1"/>
  <c r="O21" i="58" s="1"/>
  <c r="Q21" i="58" s="1"/>
  <c r="R21" i="58" s="1"/>
  <c r="S21" i="58" s="1"/>
  <c r="L42" i="3"/>
  <c r="L38" i="5" s="1"/>
  <c r="AH13" i="113"/>
  <c r="L39" i="3"/>
  <c r="L35" i="5" s="1"/>
  <c r="L38" i="3"/>
  <c r="I108" i="125" s="1"/>
  <c r="AH13" i="105"/>
  <c r="W12" i="57"/>
  <c r="Y67" i="57"/>
  <c r="V67" i="57"/>
  <c r="W67" i="57"/>
  <c r="H107" i="125"/>
  <c r="S67" i="57"/>
  <c r="H75" i="114"/>
  <c r="N12" i="21"/>
  <c r="F32" i="125"/>
  <c r="A42" i="125" s="1"/>
  <c r="F42" i="125" s="1"/>
  <c r="A52" i="125" s="1"/>
  <c r="F52" i="125" s="1"/>
  <c r="A64" i="125" s="1"/>
  <c r="F64" i="125" s="1"/>
  <c r="A74" i="125" s="1"/>
  <c r="F74" i="125" s="1"/>
  <c r="A84" i="125" s="1"/>
  <c r="F84" i="125" s="1"/>
  <c r="A94" i="125" s="1"/>
  <c r="F94" i="125" s="1"/>
  <c r="A104" i="125" s="1"/>
  <c r="F104" i="125" s="1"/>
  <c r="A114" i="125" s="1"/>
  <c r="F114" i="125" s="1"/>
  <c r="A126" i="125" s="1"/>
  <c r="F126" i="125" s="1"/>
  <c r="A136" i="125" s="1"/>
  <c r="F136" i="125" s="1"/>
  <c r="A146" i="125" s="1"/>
  <c r="F146" i="125" s="1"/>
  <c r="A156" i="125" s="1"/>
  <c r="F156" i="125" s="1"/>
  <c r="A166" i="125" s="1"/>
  <c r="A32" i="125"/>
  <c r="N18" i="63"/>
  <c r="N15" i="63" s="1"/>
  <c r="K20" i="63"/>
  <c r="K19" i="63" s="1"/>
  <c r="K15" i="63"/>
  <c r="X15" i="64"/>
  <c r="X24" i="64" s="1"/>
  <c r="K25" i="63" s="1"/>
  <c r="J15" i="63"/>
  <c r="Z17" i="64"/>
  <c r="AA17" i="64" s="1"/>
  <c r="O17" i="63" s="1"/>
  <c r="Q17" i="63" s="1"/>
  <c r="Z18" i="64"/>
  <c r="AA18" i="64" s="1"/>
  <c r="O18" i="63" s="1"/>
  <c r="Q16" i="64"/>
  <c r="O15" i="64"/>
  <c r="O24" i="64" s="1"/>
  <c r="H67" i="125"/>
  <c r="E30" i="58"/>
  <c r="H30" i="58" s="1"/>
  <c r="O30" i="58" s="1"/>
  <c r="Q30" i="58" s="1"/>
  <c r="R30" i="58" s="1"/>
  <c r="S30" i="58" s="1"/>
  <c r="S12" i="57"/>
  <c r="AH11" i="113"/>
  <c r="E25" i="58"/>
  <c r="H25" i="58" s="1"/>
  <c r="O25" i="58" s="1"/>
  <c r="Q25" i="58" s="1"/>
  <c r="R25" i="58" s="1"/>
  <c r="S25" i="58" s="1"/>
  <c r="F12" i="78"/>
  <c r="L69" i="3"/>
  <c r="G65" i="114" s="1"/>
  <c r="D21" i="63"/>
  <c r="H159" i="125"/>
  <c r="C310" i="125"/>
  <c r="D310" i="125" s="1"/>
  <c r="H80" i="3"/>
  <c r="F76" i="114" s="1"/>
  <c r="F81" i="114"/>
  <c r="H281" i="125"/>
  <c r="H21" i="91"/>
  <c r="J21" i="91" s="1"/>
  <c r="H24" i="125"/>
  <c r="I24" i="125" s="1"/>
  <c r="H22" i="3"/>
  <c r="F18" i="114" s="1"/>
  <c r="L22" i="3"/>
  <c r="I26" i="125" s="1"/>
  <c r="H302" i="125"/>
  <c r="L26" i="3"/>
  <c r="H301" i="125"/>
  <c r="H86" i="125"/>
  <c r="I86" i="125" s="1"/>
  <c r="H34" i="3"/>
  <c r="H201" i="125"/>
  <c r="H291" i="125"/>
  <c r="H87" i="125"/>
  <c r="H271" i="125"/>
  <c r="C291" i="125"/>
  <c r="C25" i="125"/>
  <c r="M49" i="5"/>
  <c r="N49" i="5" s="1"/>
  <c r="P49" i="5" s="1"/>
  <c r="S49" i="5" s="1"/>
  <c r="L52" i="91"/>
  <c r="G50" i="5"/>
  <c r="I16" i="89"/>
  <c r="C292" i="125"/>
  <c r="H25" i="3"/>
  <c r="C44" i="125"/>
  <c r="D44" i="125" s="1"/>
  <c r="H47" i="3"/>
  <c r="H46" i="91"/>
  <c r="J46" i="91" s="1"/>
  <c r="C158" i="125"/>
  <c r="D158" i="125" s="1"/>
  <c r="H23" i="89"/>
  <c r="I23" i="89" s="1"/>
  <c r="L23" i="89" s="1"/>
  <c r="N23" i="89" s="1"/>
  <c r="C270" i="125"/>
  <c r="D270" i="125" s="1"/>
  <c r="H72" i="3"/>
  <c r="C311" i="125"/>
  <c r="C341" i="125"/>
  <c r="H27" i="3"/>
  <c r="C54" i="125"/>
  <c r="D54" i="125" s="1"/>
  <c r="H26" i="91"/>
  <c r="J26" i="91" s="1"/>
  <c r="H24" i="91"/>
  <c r="J24" i="91" s="1"/>
  <c r="H53" i="3"/>
  <c r="H52" i="91"/>
  <c r="F66" i="114"/>
  <c r="H84" i="114"/>
  <c r="K50" i="5"/>
  <c r="K84" i="5" s="1"/>
  <c r="K92" i="5" s="1"/>
  <c r="G12" i="5"/>
  <c r="K68" i="5"/>
  <c r="G67" i="5"/>
  <c r="L45" i="3"/>
  <c r="R89" i="3" l="1"/>
  <c r="D30" i="71" s="1"/>
  <c r="G30" i="71" s="1"/>
  <c r="R35" i="146"/>
  <c r="S34" i="146"/>
  <c r="Q64" i="3"/>
  <c r="Q62" i="3"/>
  <c r="H58" i="114" s="1"/>
  <c r="L22" i="110"/>
  <c r="L18" i="110"/>
  <c r="L31" i="110"/>
  <c r="R31" i="110" s="1"/>
  <c r="G87" i="3"/>
  <c r="G31" i="110"/>
  <c r="H31" i="110" s="1"/>
  <c r="H61" i="3"/>
  <c r="F57" i="114" s="1"/>
  <c r="O33" i="110"/>
  <c r="H58" i="3"/>
  <c r="F54" i="114" s="1"/>
  <c r="H55" i="125"/>
  <c r="H69" i="3"/>
  <c r="F65" i="114" s="1"/>
  <c r="H22" i="90"/>
  <c r="I22" i="90" s="1"/>
  <c r="H24" i="90"/>
  <c r="I24" i="90" s="1"/>
  <c r="H62" i="3"/>
  <c r="F58" i="114" s="1"/>
  <c r="H29" i="91"/>
  <c r="J29" i="91" s="1"/>
  <c r="Q28" i="3"/>
  <c r="Q25" i="108" s="1"/>
  <c r="Q32" i="3"/>
  <c r="I77" i="125" s="1"/>
  <c r="C220" i="125"/>
  <c r="D220" i="125" s="1"/>
  <c r="H36" i="3"/>
  <c r="F32" i="114" s="1"/>
  <c r="Q52" i="3"/>
  <c r="I179" i="125" s="1"/>
  <c r="U83" i="3"/>
  <c r="V83" i="3" s="1"/>
  <c r="Q33" i="3"/>
  <c r="H29" i="114" s="1"/>
  <c r="U85" i="3"/>
  <c r="V85" i="3" s="1"/>
  <c r="C210" i="125"/>
  <c r="D210" i="125" s="1"/>
  <c r="H241" i="125"/>
  <c r="O54" i="3"/>
  <c r="C241" i="125"/>
  <c r="L33" i="108"/>
  <c r="U84" i="3"/>
  <c r="V84" i="3" s="1"/>
  <c r="L26" i="110"/>
  <c r="L30" i="146"/>
  <c r="L24" i="110"/>
  <c r="L29" i="110"/>
  <c r="L25" i="110"/>
  <c r="L20" i="110"/>
  <c r="L22" i="146"/>
  <c r="L21" i="146"/>
  <c r="H65" i="3"/>
  <c r="F61" i="114" s="1"/>
  <c r="H29" i="90"/>
  <c r="I29" i="90" s="1"/>
  <c r="L17" i="110"/>
  <c r="L19" i="110"/>
  <c r="L21" i="110"/>
  <c r="Q61" i="3"/>
  <c r="M57" i="5" s="1"/>
  <c r="L28" i="146"/>
  <c r="H66" i="3"/>
  <c r="F62" i="114" s="1"/>
  <c r="H59" i="3"/>
  <c r="F55" i="114" s="1"/>
  <c r="L23" i="110"/>
  <c r="L30" i="110"/>
  <c r="R30" i="110" s="1"/>
  <c r="L27" i="110"/>
  <c r="L32" i="146"/>
  <c r="L31" i="146"/>
  <c r="L33" i="146"/>
  <c r="C45" i="125"/>
  <c r="H34" i="91"/>
  <c r="J34" i="91" s="1"/>
  <c r="Q59" i="3"/>
  <c r="L19" i="90" s="1"/>
  <c r="H68" i="3"/>
  <c r="F64" i="114" s="1"/>
  <c r="H18" i="90"/>
  <c r="I18" i="90" s="1"/>
  <c r="H46" i="3"/>
  <c r="F42" i="114" s="1"/>
  <c r="H78" i="3"/>
  <c r="F74" i="114" s="1"/>
  <c r="L43" i="3"/>
  <c r="D140" i="125" s="1"/>
  <c r="H66" i="125"/>
  <c r="I66" i="125" s="1"/>
  <c r="H148" i="125"/>
  <c r="I148" i="125" s="1"/>
  <c r="H250" i="125"/>
  <c r="I250" i="125" s="1"/>
  <c r="H35" i="91"/>
  <c r="J35" i="91" s="1"/>
  <c r="Q55" i="3"/>
  <c r="K35" i="146"/>
  <c r="H77" i="125"/>
  <c r="C300" i="125"/>
  <c r="D300" i="125" s="1"/>
  <c r="Q57" i="3"/>
  <c r="L17" i="90" s="1"/>
  <c r="Q68" i="3"/>
  <c r="H64" i="114" s="1"/>
  <c r="N54" i="3"/>
  <c r="L23" i="146"/>
  <c r="Z17" i="146"/>
  <c r="Z16" i="146"/>
  <c r="AA16" i="146" s="1"/>
  <c r="Z18" i="146"/>
  <c r="Z15" i="146"/>
  <c r="AA15" i="146" s="1"/>
  <c r="Z19" i="146"/>
  <c r="T34" i="146"/>
  <c r="U34" i="146" s="1"/>
  <c r="L25" i="146"/>
  <c r="L26" i="146"/>
  <c r="L29" i="146"/>
  <c r="T27" i="146"/>
  <c r="U27" i="146" s="1"/>
  <c r="L20" i="146"/>
  <c r="L24" i="146"/>
  <c r="Q31" i="146"/>
  <c r="C211" i="125"/>
  <c r="Q25" i="146"/>
  <c r="N35" i="146"/>
  <c r="Q19" i="146"/>
  <c r="Q27" i="3"/>
  <c r="Q24" i="108" s="1"/>
  <c r="T24" i="108" s="1"/>
  <c r="U24" i="108" s="1"/>
  <c r="L28" i="110"/>
  <c r="O71" i="3"/>
  <c r="J35" i="146"/>
  <c r="L19" i="146"/>
  <c r="Q22" i="3"/>
  <c r="H18" i="114" s="1"/>
  <c r="Q24" i="3"/>
  <c r="H20" i="114" s="1"/>
  <c r="H230" i="125"/>
  <c r="I230" i="125" s="1"/>
  <c r="C240" i="125"/>
  <c r="D240" i="125" s="1"/>
  <c r="H35" i="146"/>
  <c r="H26" i="90"/>
  <c r="I26" i="90" s="1"/>
  <c r="G35" i="146"/>
  <c r="V24" i="117"/>
  <c r="W24" i="117" s="1"/>
  <c r="M85" i="57"/>
  <c r="G35" i="108"/>
  <c r="H35" i="108" s="1"/>
  <c r="G38" i="3"/>
  <c r="G48" i="108"/>
  <c r="H48" i="108" s="1"/>
  <c r="G51" i="3"/>
  <c r="K16" i="91"/>
  <c r="Q56" i="3"/>
  <c r="L16" i="90" s="1"/>
  <c r="H35" i="3"/>
  <c r="F31" i="114" s="1"/>
  <c r="C139" i="125"/>
  <c r="C320" i="125"/>
  <c r="D320" i="125" s="1"/>
  <c r="C331" i="125"/>
  <c r="H4" i="125"/>
  <c r="I4" i="125" s="1"/>
  <c r="H18" i="3"/>
  <c r="F14" i="114" s="1"/>
  <c r="O22" i="132"/>
  <c r="O21" i="132"/>
  <c r="O11" i="132" s="1"/>
  <c r="O61" i="132" s="1"/>
  <c r="G32" i="3"/>
  <c r="G29" i="108"/>
  <c r="H29" i="108" s="1"/>
  <c r="G71" i="3"/>
  <c r="C340" i="125"/>
  <c r="N33" i="110"/>
  <c r="G37" i="108"/>
  <c r="H37" i="108" s="1"/>
  <c r="G40" i="3"/>
  <c r="G19" i="3"/>
  <c r="G16" i="108"/>
  <c r="H16" i="108" s="1"/>
  <c r="M51" i="120"/>
  <c r="AP60" i="4"/>
  <c r="O13" i="1"/>
  <c r="U13" i="1" s="1"/>
  <c r="I272" i="125"/>
  <c r="J21" i="89"/>
  <c r="I15" i="6"/>
  <c r="K12" i="6"/>
  <c r="K33" i="110"/>
  <c r="I33" i="110"/>
  <c r="T34" i="108"/>
  <c r="U34" i="108" s="1"/>
  <c r="M33" i="110"/>
  <c r="L16" i="110"/>
  <c r="J33" i="110"/>
  <c r="L42" i="108"/>
  <c r="H36" i="91"/>
  <c r="J36" i="91" s="1"/>
  <c r="H17" i="90"/>
  <c r="I17" i="90" s="1"/>
  <c r="D241" i="125"/>
  <c r="C250" i="125"/>
  <c r="D250" i="125" s="1"/>
  <c r="Q22" i="108"/>
  <c r="T22" i="108" s="1"/>
  <c r="U22" i="108" s="1"/>
  <c r="Q44" i="108"/>
  <c r="T44" i="108" s="1"/>
  <c r="U44" i="108" s="1"/>
  <c r="L29" i="91"/>
  <c r="Q38" i="108"/>
  <c r="Q31" i="108"/>
  <c r="T31" i="108" s="1"/>
  <c r="U31" i="108" s="1"/>
  <c r="H128" i="125"/>
  <c r="I128" i="125" s="1"/>
  <c r="H62" i="114"/>
  <c r="C34" i="125"/>
  <c r="D34" i="125" s="1"/>
  <c r="H23" i="3"/>
  <c r="F19" i="114" s="1"/>
  <c r="M62" i="5"/>
  <c r="L47" i="91"/>
  <c r="M44" i="5"/>
  <c r="C290" i="125"/>
  <c r="D290" i="125" s="1"/>
  <c r="P54" i="3"/>
  <c r="Q45" i="108"/>
  <c r="H190" i="125"/>
  <c r="I190" i="125" s="1"/>
  <c r="H20" i="89"/>
  <c r="I20" i="89" s="1"/>
  <c r="C191" i="125"/>
  <c r="C149" i="125"/>
  <c r="C4" i="125"/>
  <c r="D4" i="125" s="1"/>
  <c r="M26" i="5"/>
  <c r="Q27" i="108"/>
  <c r="T27" i="108" s="1"/>
  <c r="U27" i="108" s="1"/>
  <c r="D25" i="125"/>
  <c r="H211" i="125"/>
  <c r="C138" i="125"/>
  <c r="D138" i="125" s="1"/>
  <c r="H42" i="3"/>
  <c r="F38" i="114" s="1"/>
  <c r="H27" i="90"/>
  <c r="I27" i="90" s="1"/>
  <c r="I211" i="125"/>
  <c r="C330" i="125"/>
  <c r="D330" i="125" s="1"/>
  <c r="Q50" i="3"/>
  <c r="H46" i="114" s="1"/>
  <c r="C106" i="125"/>
  <c r="D106" i="125" s="1"/>
  <c r="K66" i="114"/>
  <c r="L65" i="3"/>
  <c r="L61" i="5" s="1"/>
  <c r="N61" i="5" s="1"/>
  <c r="P61" i="5" s="1"/>
  <c r="S61" i="5" s="1"/>
  <c r="H33" i="114"/>
  <c r="H251" i="125"/>
  <c r="Q26" i="108"/>
  <c r="H38" i="91"/>
  <c r="J38" i="91" s="1"/>
  <c r="Q40" i="3"/>
  <c r="H36" i="114" s="1"/>
  <c r="Q20" i="3"/>
  <c r="H5" i="125"/>
  <c r="Q18" i="3"/>
  <c r="H210" i="125"/>
  <c r="I210" i="125" s="1"/>
  <c r="Q35" i="3"/>
  <c r="H31" i="114" s="1"/>
  <c r="Q36" i="3"/>
  <c r="I97" i="125" s="1"/>
  <c r="Q39" i="3"/>
  <c r="L38" i="91" s="1"/>
  <c r="Q43" i="3"/>
  <c r="H39" i="114" s="1"/>
  <c r="C169" i="125"/>
  <c r="Q49" i="3"/>
  <c r="Q42" i="3"/>
  <c r="Q41" i="108"/>
  <c r="L45" i="91"/>
  <c r="Q42" i="108"/>
  <c r="C251" i="125"/>
  <c r="Q67" i="3"/>
  <c r="D251" i="125" s="1"/>
  <c r="Q31" i="3"/>
  <c r="Q19" i="3"/>
  <c r="Q16" i="108" s="1"/>
  <c r="Q17" i="3"/>
  <c r="L16" i="91" s="1"/>
  <c r="H60" i="3"/>
  <c r="F56" i="114" s="1"/>
  <c r="H43" i="3"/>
  <c r="F39" i="114" s="1"/>
  <c r="H280" i="125"/>
  <c r="I280" i="125" s="1"/>
  <c r="H50" i="3"/>
  <c r="F46" i="114" s="1"/>
  <c r="H31" i="3"/>
  <c r="F27" i="114" s="1"/>
  <c r="H75" i="3"/>
  <c r="U75" i="3" s="1"/>
  <c r="V75" i="3" s="1"/>
  <c r="H21" i="3"/>
  <c r="F17" i="114" s="1"/>
  <c r="Q26" i="3"/>
  <c r="H22" i="114" s="1"/>
  <c r="H169" i="125"/>
  <c r="Q69" i="3"/>
  <c r="C231" i="125"/>
  <c r="Q63" i="3"/>
  <c r="Q23" i="3"/>
  <c r="Q20" i="108" s="1"/>
  <c r="T20" i="108" s="1"/>
  <c r="U20" i="108" s="1"/>
  <c r="Q51" i="3"/>
  <c r="Q48" i="108" s="1"/>
  <c r="G54" i="3"/>
  <c r="H16" i="91"/>
  <c r="J16" i="91" s="1"/>
  <c r="H168" i="125"/>
  <c r="I168" i="125" s="1"/>
  <c r="H320" i="125"/>
  <c r="I320" i="125" s="1"/>
  <c r="C200" i="125"/>
  <c r="D200" i="125" s="1"/>
  <c r="H97" i="125"/>
  <c r="H56" i="3"/>
  <c r="F52" i="114" s="1"/>
  <c r="H30" i="91"/>
  <c r="J30" i="91" s="1"/>
  <c r="L28" i="3"/>
  <c r="K27" i="91" s="1"/>
  <c r="L64" i="3"/>
  <c r="I232" i="125" s="1"/>
  <c r="C261" i="125"/>
  <c r="H129" i="125"/>
  <c r="L48" i="108"/>
  <c r="C97" i="125"/>
  <c r="L23" i="3"/>
  <c r="D36" i="125" s="1"/>
  <c r="M16" i="3"/>
  <c r="L50" i="3"/>
  <c r="I170" i="125" s="1"/>
  <c r="G26" i="114"/>
  <c r="I68" i="125"/>
  <c r="L26" i="5"/>
  <c r="L52" i="5"/>
  <c r="L16" i="108"/>
  <c r="L24" i="3"/>
  <c r="I36" i="125" s="1"/>
  <c r="K16" i="90"/>
  <c r="L60" i="3"/>
  <c r="K20" i="90" s="1"/>
  <c r="L67" i="3"/>
  <c r="K27" i="90" s="1"/>
  <c r="G52" i="114"/>
  <c r="L19" i="3"/>
  <c r="K18" i="91" s="1"/>
  <c r="L59" i="3"/>
  <c r="L55" i="5" s="1"/>
  <c r="L20" i="3"/>
  <c r="L16" i="5" s="1"/>
  <c r="L55" i="3"/>
  <c r="AE44" i="57"/>
  <c r="L78" i="3"/>
  <c r="G74" i="114" s="1"/>
  <c r="I292" i="125"/>
  <c r="C321" i="125"/>
  <c r="L73" i="5"/>
  <c r="M54" i="3"/>
  <c r="L68" i="3"/>
  <c r="I252" i="125" s="1"/>
  <c r="C201" i="125"/>
  <c r="H15" i="90"/>
  <c r="I15" i="90" s="1"/>
  <c r="C190" i="125"/>
  <c r="D190" i="125" s="1"/>
  <c r="H55" i="3"/>
  <c r="F51" i="114" s="1"/>
  <c r="H48" i="91"/>
  <c r="J48" i="91" s="1"/>
  <c r="H49" i="3"/>
  <c r="F45" i="114" s="1"/>
  <c r="L46" i="108"/>
  <c r="C116" i="125"/>
  <c r="D116" i="125" s="1"/>
  <c r="H68" i="125"/>
  <c r="L27" i="3"/>
  <c r="K26" i="91" s="1"/>
  <c r="L23" i="108"/>
  <c r="C15" i="125"/>
  <c r="C24" i="125"/>
  <c r="D24" i="125" s="1"/>
  <c r="T18" i="108"/>
  <c r="U18" i="108" s="1"/>
  <c r="K16" i="3"/>
  <c r="L39" i="108"/>
  <c r="L49" i="108"/>
  <c r="P51" i="108"/>
  <c r="H331" i="125"/>
  <c r="C55" i="125"/>
  <c r="K54" i="3"/>
  <c r="E17" i="141" s="1"/>
  <c r="O16" i="3"/>
  <c r="H322" i="125"/>
  <c r="J71" i="3"/>
  <c r="L82" i="3"/>
  <c r="G78" i="114" s="1"/>
  <c r="L81" i="3"/>
  <c r="G77" i="114" s="1"/>
  <c r="G26" i="3"/>
  <c r="G23" i="108"/>
  <c r="H23" i="108" s="1"/>
  <c r="G38" i="108"/>
  <c r="H38" i="108" s="1"/>
  <c r="G41" i="3"/>
  <c r="H45" i="125"/>
  <c r="L58" i="3"/>
  <c r="I202" i="125" s="1"/>
  <c r="L51" i="3"/>
  <c r="G47" i="114" s="1"/>
  <c r="I71" i="3"/>
  <c r="J54" i="3"/>
  <c r="W25" i="117"/>
  <c r="G25" i="108"/>
  <c r="H25" i="108" s="1"/>
  <c r="G28" i="3"/>
  <c r="G33" i="3"/>
  <c r="G30" i="108"/>
  <c r="H30" i="108" s="1"/>
  <c r="G49" i="108"/>
  <c r="H49" i="108" s="1"/>
  <c r="G52" i="3"/>
  <c r="T14" i="131"/>
  <c r="S15" i="131" s="1"/>
  <c r="R16" i="131"/>
  <c r="R17" i="131" s="1"/>
  <c r="G26" i="108"/>
  <c r="H26" i="108" s="1"/>
  <c r="G29" i="3"/>
  <c r="P16" i="3"/>
  <c r="U31" i="118"/>
  <c r="V36" i="118"/>
  <c r="V37" i="118" s="1"/>
  <c r="S53" i="118"/>
  <c r="L30" i="108"/>
  <c r="Y15" i="129"/>
  <c r="AE14" i="129"/>
  <c r="AE15" i="129" s="1"/>
  <c r="E18" i="141"/>
  <c r="C140" i="125"/>
  <c r="G41" i="108"/>
  <c r="H41" i="108" s="1"/>
  <c r="G44" i="3"/>
  <c r="E20" i="141"/>
  <c r="I54" i="3"/>
  <c r="G45" i="108"/>
  <c r="H45" i="108" s="1"/>
  <c r="G48" i="3"/>
  <c r="H73" i="3"/>
  <c r="F69" i="114" s="1"/>
  <c r="H270" i="125"/>
  <c r="I270" i="125" s="1"/>
  <c r="H17" i="89"/>
  <c r="I17" i="89" s="1"/>
  <c r="L18" i="3"/>
  <c r="K17" i="91" s="1"/>
  <c r="Q15" i="64"/>
  <c r="U16" i="64"/>
  <c r="V16" i="64"/>
  <c r="V15" i="64" s="1"/>
  <c r="V24" i="64" s="1"/>
  <c r="L74" i="3"/>
  <c r="G70" i="114" s="1"/>
  <c r="J46" i="3"/>
  <c r="J16" i="3" s="1"/>
  <c r="C35" i="125"/>
  <c r="N51" i="108"/>
  <c r="N15" i="1"/>
  <c r="O12" i="1"/>
  <c r="O20" i="118"/>
  <c r="K12" i="57"/>
  <c r="K85" i="57" s="1"/>
  <c r="R16" i="57"/>
  <c r="I16" i="3"/>
  <c r="N71" i="3"/>
  <c r="H117" i="125"/>
  <c r="P71" i="3"/>
  <c r="F13" i="114"/>
  <c r="N16" i="3"/>
  <c r="M71" i="3"/>
  <c r="X85" i="57"/>
  <c r="H79" i="114"/>
  <c r="C230" i="125"/>
  <c r="D230" i="125" s="1"/>
  <c r="H63" i="3"/>
  <c r="F59" i="114" s="1"/>
  <c r="H23" i="90"/>
  <c r="I23" i="90" s="1"/>
  <c r="H24" i="3"/>
  <c r="F20" i="114" s="1"/>
  <c r="H23" i="91"/>
  <c r="J23" i="91" s="1"/>
  <c r="H34" i="125"/>
  <c r="I34" i="125" s="1"/>
  <c r="H140" i="125"/>
  <c r="H139" i="125"/>
  <c r="C160" i="125"/>
  <c r="C159" i="125"/>
  <c r="C272" i="125"/>
  <c r="C271" i="125"/>
  <c r="J29" i="108"/>
  <c r="L29" i="108" s="1"/>
  <c r="U67" i="57"/>
  <c r="K35" i="91"/>
  <c r="H15" i="125"/>
  <c r="D16" i="63"/>
  <c r="D15" i="63" s="1"/>
  <c r="D24" i="63" s="1"/>
  <c r="L32" i="5"/>
  <c r="K51" i="108"/>
  <c r="I98" i="125"/>
  <c r="E22" i="71"/>
  <c r="G22" i="71" s="1"/>
  <c r="I87" i="125"/>
  <c r="I231" i="125"/>
  <c r="U25" i="3"/>
  <c r="V25" i="3" s="1"/>
  <c r="I139" i="125"/>
  <c r="M42" i="5"/>
  <c r="M40" i="5"/>
  <c r="Q43" i="108"/>
  <c r="O51" i="108"/>
  <c r="C301" i="125"/>
  <c r="L18" i="90"/>
  <c r="M54" i="5"/>
  <c r="M30" i="5"/>
  <c r="K41" i="91"/>
  <c r="L44" i="3"/>
  <c r="G40" i="114" s="1"/>
  <c r="L72" i="3"/>
  <c r="G68" i="114" s="1"/>
  <c r="E19" i="71"/>
  <c r="G19" i="71" s="1"/>
  <c r="G35" i="114"/>
  <c r="C107" i="125"/>
  <c r="K31" i="91"/>
  <c r="L28" i="5"/>
  <c r="G38" i="114"/>
  <c r="L34" i="5"/>
  <c r="G28" i="114"/>
  <c r="U12" i="57"/>
  <c r="E18" i="71"/>
  <c r="H18" i="71" s="1"/>
  <c r="C281" i="125"/>
  <c r="E64" i="133"/>
  <c r="D63" i="133"/>
  <c r="K19" i="89"/>
  <c r="M71" i="5"/>
  <c r="I130" i="125"/>
  <c r="M73" i="5"/>
  <c r="K21" i="89"/>
  <c r="D118" i="125"/>
  <c r="H54" i="114"/>
  <c r="O12" i="58"/>
  <c r="Q12" i="58" s="1"/>
  <c r="R12" i="58" s="1"/>
  <c r="S12" i="58" s="1"/>
  <c r="I12" i="58"/>
  <c r="L12" i="58" s="1"/>
  <c r="Y85" i="57"/>
  <c r="M34" i="5"/>
  <c r="L37" i="91"/>
  <c r="Q35" i="108"/>
  <c r="K37" i="91"/>
  <c r="H37" i="114"/>
  <c r="L33" i="91"/>
  <c r="I11" i="58"/>
  <c r="L11" i="58" s="1"/>
  <c r="O11" i="58"/>
  <c r="Q11" i="58" s="1"/>
  <c r="R11" i="58" s="1"/>
  <c r="S11" i="58" s="1"/>
  <c r="E48" i="133"/>
  <c r="D47" i="133"/>
  <c r="I13" i="58"/>
  <c r="L13" i="58" s="1"/>
  <c r="O13" i="58"/>
  <c r="Q13" i="58" s="1"/>
  <c r="R13" i="58" s="1"/>
  <c r="S13" i="58" s="1"/>
  <c r="I14" i="58"/>
  <c r="L14" i="58" s="1"/>
  <c r="O14" i="58"/>
  <c r="Q14" i="58" s="1"/>
  <c r="R14" i="58" s="1"/>
  <c r="S14" i="58" s="1"/>
  <c r="V85" i="57"/>
  <c r="K39" i="91"/>
  <c r="K38" i="91"/>
  <c r="G34" i="114"/>
  <c r="L36" i="5"/>
  <c r="G36" i="114"/>
  <c r="W85" i="57"/>
  <c r="I301" i="125"/>
  <c r="H321" i="125"/>
  <c r="S85" i="57"/>
  <c r="K22" i="90"/>
  <c r="C77" i="125"/>
  <c r="L62" i="5"/>
  <c r="I107" i="125"/>
  <c r="A188" i="125"/>
  <c r="F188" i="125" s="1"/>
  <c r="F166" i="125"/>
  <c r="A176" i="125" s="1"/>
  <c r="K24" i="63"/>
  <c r="K27" i="63" s="1"/>
  <c r="Q18" i="63"/>
  <c r="AB17" i="64"/>
  <c r="AB18" i="64"/>
  <c r="U30" i="3"/>
  <c r="V30" i="3" s="1"/>
  <c r="I67" i="125"/>
  <c r="L13" i="5"/>
  <c r="E25" i="133"/>
  <c r="D10" i="133"/>
  <c r="C78" i="125"/>
  <c r="L31" i="3"/>
  <c r="G12" i="78"/>
  <c r="D6" i="125"/>
  <c r="G13" i="114"/>
  <c r="K29" i="90"/>
  <c r="K26" i="90"/>
  <c r="L65" i="5"/>
  <c r="D262" i="125"/>
  <c r="G62" i="114"/>
  <c r="D232" i="125"/>
  <c r="L57" i="5"/>
  <c r="U70" i="3"/>
  <c r="V70" i="3" s="1"/>
  <c r="G59" i="114"/>
  <c r="L58" i="5"/>
  <c r="L59" i="5"/>
  <c r="G58" i="114"/>
  <c r="L31" i="5"/>
  <c r="G31" i="114"/>
  <c r="K47" i="91"/>
  <c r="K21" i="90"/>
  <c r="G57" i="114"/>
  <c r="K40" i="91"/>
  <c r="I322" i="125"/>
  <c r="G44" i="114"/>
  <c r="L44" i="5"/>
  <c r="L37" i="5"/>
  <c r="L69" i="5"/>
  <c r="N69" i="5" s="1"/>
  <c r="P69" i="5" s="1"/>
  <c r="S69" i="5" s="1"/>
  <c r="H34" i="114"/>
  <c r="G18" i="114"/>
  <c r="K21" i="91"/>
  <c r="L18" i="5"/>
  <c r="J17" i="89"/>
  <c r="D312" i="125"/>
  <c r="D342" i="125"/>
  <c r="F30" i="114"/>
  <c r="K34" i="91"/>
  <c r="J19" i="89"/>
  <c r="I282" i="125"/>
  <c r="L71" i="5"/>
  <c r="I159" i="125"/>
  <c r="H44" i="114"/>
  <c r="H71" i="114"/>
  <c r="I281" i="125"/>
  <c r="F53" i="114"/>
  <c r="I271" i="125"/>
  <c r="H69" i="114"/>
  <c r="L30" i="5"/>
  <c r="I88" i="125"/>
  <c r="G30" i="114"/>
  <c r="K33" i="91"/>
  <c r="I291" i="125"/>
  <c r="H73" i="114"/>
  <c r="U77" i="3"/>
  <c r="V77" i="3" s="1"/>
  <c r="G48" i="114"/>
  <c r="K51" i="91"/>
  <c r="L48" i="5"/>
  <c r="I180" i="125"/>
  <c r="D202" i="125"/>
  <c r="L53" i="5"/>
  <c r="K17" i="90"/>
  <c r="G53" i="114"/>
  <c r="F79" i="114"/>
  <c r="F63" i="114"/>
  <c r="D130" i="125"/>
  <c r="L25" i="90"/>
  <c r="G22" i="114"/>
  <c r="L22" i="5"/>
  <c r="K25" i="91"/>
  <c r="I46" i="125"/>
  <c r="K75" i="114"/>
  <c r="I302" i="125"/>
  <c r="U79" i="3"/>
  <c r="V79" i="3" s="1"/>
  <c r="L43" i="91"/>
  <c r="F33" i="114"/>
  <c r="L40" i="91"/>
  <c r="M37" i="5"/>
  <c r="H82" i="114"/>
  <c r="D341" i="125"/>
  <c r="D26" i="125"/>
  <c r="L17" i="5"/>
  <c r="G17" i="114"/>
  <c r="K20" i="91"/>
  <c r="F84" i="114"/>
  <c r="M58" i="5"/>
  <c r="L22" i="90"/>
  <c r="J50" i="108"/>
  <c r="I51" i="108"/>
  <c r="F43" i="114"/>
  <c r="J20" i="89"/>
  <c r="L72" i="5"/>
  <c r="U76" i="3"/>
  <c r="V76" i="3" s="1"/>
  <c r="D292" i="125"/>
  <c r="M70" i="5"/>
  <c r="H70" i="114"/>
  <c r="D281" i="125"/>
  <c r="K18" i="89"/>
  <c r="K24" i="91"/>
  <c r="G21" i="114"/>
  <c r="L21" i="5"/>
  <c r="D46" i="125"/>
  <c r="F23" i="114"/>
  <c r="M41" i="5"/>
  <c r="H41" i="114"/>
  <c r="D149" i="125"/>
  <c r="L44" i="91"/>
  <c r="D108" i="125"/>
  <c r="G33" i="114"/>
  <c r="K36" i="91"/>
  <c r="L33" i="5"/>
  <c r="L29" i="5"/>
  <c r="D88" i="125"/>
  <c r="G29" i="114"/>
  <c r="K32" i="91"/>
  <c r="H50" i="108"/>
  <c r="L20" i="91"/>
  <c r="M17" i="5"/>
  <c r="F49" i="114"/>
  <c r="U53" i="3"/>
  <c r="V53" i="3" s="1"/>
  <c r="U45" i="3"/>
  <c r="V45" i="3" s="1"/>
  <c r="G41" i="114"/>
  <c r="D150" i="125"/>
  <c r="K44" i="91"/>
  <c r="L41" i="5"/>
  <c r="F35" i="114"/>
  <c r="H74" i="114"/>
  <c r="M74" i="5"/>
  <c r="D301" i="125"/>
  <c r="K22" i="89"/>
  <c r="K28" i="91"/>
  <c r="G25" i="114"/>
  <c r="L25" i="5"/>
  <c r="D68" i="125"/>
  <c r="M56" i="5"/>
  <c r="L20" i="90"/>
  <c r="L36" i="91"/>
  <c r="M33" i="5"/>
  <c r="F21" i="114"/>
  <c r="D321" i="125"/>
  <c r="H78" i="114"/>
  <c r="M60" i="5"/>
  <c r="L24" i="90"/>
  <c r="D291" i="125"/>
  <c r="K20" i="89"/>
  <c r="H72" i="114"/>
  <c r="M72" i="5"/>
  <c r="G45" i="114"/>
  <c r="K48" i="91"/>
  <c r="D170" i="125"/>
  <c r="L45" i="5"/>
  <c r="J52" i="91"/>
  <c r="M52" i="91" s="1"/>
  <c r="O52" i="91" s="1"/>
  <c r="G20" i="86"/>
  <c r="H20" i="86" s="1"/>
  <c r="L20" i="86" s="1"/>
  <c r="P20" i="86" s="1"/>
  <c r="S20" i="86" s="1"/>
  <c r="V20" i="86" s="1"/>
  <c r="M25" i="5"/>
  <c r="L28" i="91"/>
  <c r="H76" i="114"/>
  <c r="D311" i="125"/>
  <c r="U80" i="3"/>
  <c r="V80" i="3" s="1"/>
  <c r="M43" i="5"/>
  <c r="L46" i="91"/>
  <c r="F68" i="114"/>
  <c r="F60" i="114"/>
  <c r="L24" i="91"/>
  <c r="M21" i="5"/>
  <c r="R22" i="110" l="1"/>
  <c r="S22" i="110" s="1"/>
  <c r="R18" i="110"/>
  <c r="S18" i="110" s="1"/>
  <c r="Y18" i="110" s="1"/>
  <c r="H83" i="114"/>
  <c r="H340" i="125"/>
  <c r="I340" i="125" s="1"/>
  <c r="I346" i="125" s="1"/>
  <c r="H87" i="3"/>
  <c r="F83" i="114" s="1"/>
  <c r="T30" i="146"/>
  <c r="U30" i="146" s="1"/>
  <c r="R27" i="110"/>
  <c r="S27" i="110" s="1"/>
  <c r="R19" i="110"/>
  <c r="S19" i="110" s="1"/>
  <c r="Y19" i="110" s="1"/>
  <c r="R29" i="110"/>
  <c r="S29" i="110" s="1"/>
  <c r="R16" i="110"/>
  <c r="S16" i="110" s="1"/>
  <c r="R17" i="110"/>
  <c r="S17" i="110" s="1"/>
  <c r="Y17" i="110" s="1"/>
  <c r="R24" i="110"/>
  <c r="S24" i="110" s="1"/>
  <c r="R23" i="110"/>
  <c r="S23" i="110" s="1"/>
  <c r="R20" i="110"/>
  <c r="S20" i="110" s="1"/>
  <c r="Y20" i="110" s="1"/>
  <c r="R28" i="110"/>
  <c r="S28" i="110" s="1"/>
  <c r="R21" i="110"/>
  <c r="S21" i="110" s="1"/>
  <c r="R25" i="110"/>
  <c r="S25" i="110" s="1"/>
  <c r="R26" i="110"/>
  <c r="S26" i="110" s="1"/>
  <c r="S30" i="110"/>
  <c r="L33" i="110"/>
  <c r="E20" i="71"/>
  <c r="G20" i="71" s="1"/>
  <c r="E19" i="141"/>
  <c r="E21" i="71"/>
  <c r="H21" i="71" s="1"/>
  <c r="E21" i="141"/>
  <c r="E22" i="141"/>
  <c r="Q30" i="108"/>
  <c r="T30" i="108" s="1"/>
  <c r="U30" i="108" s="1"/>
  <c r="L27" i="91"/>
  <c r="I55" i="125"/>
  <c r="M48" i="5"/>
  <c r="N48" i="5" s="1"/>
  <c r="P48" i="5" s="1"/>
  <c r="S48" i="5" s="1"/>
  <c r="L32" i="91"/>
  <c r="M29" i="5"/>
  <c r="N29" i="5" s="1"/>
  <c r="P29" i="5" s="1"/>
  <c r="S29" i="5" s="1"/>
  <c r="H81" i="114"/>
  <c r="K81" i="114" s="1"/>
  <c r="M29" i="91"/>
  <c r="O29" i="91" s="1"/>
  <c r="H33" i="110"/>
  <c r="M28" i="5"/>
  <c r="N28" i="5" s="1"/>
  <c r="P28" i="5" s="1"/>
  <c r="S28" i="5" s="1"/>
  <c r="L31" i="91"/>
  <c r="T25" i="108"/>
  <c r="U25" i="108" s="1"/>
  <c r="Q29" i="108"/>
  <c r="T29" i="108" s="1"/>
  <c r="U29" i="108" s="1"/>
  <c r="M24" i="5"/>
  <c r="L51" i="91"/>
  <c r="Q49" i="108"/>
  <c r="T49" i="108" s="1"/>
  <c r="U49" i="108" s="1"/>
  <c r="I221" i="125"/>
  <c r="I226" i="125" s="1"/>
  <c r="U62" i="3"/>
  <c r="V62" i="3" s="1"/>
  <c r="L21" i="90"/>
  <c r="M21" i="90" s="1"/>
  <c r="O21" i="90" s="1"/>
  <c r="T21" i="146"/>
  <c r="U21" i="146" s="1"/>
  <c r="D221" i="125"/>
  <c r="D226" i="125" s="1"/>
  <c r="D331" i="125"/>
  <c r="T29" i="146"/>
  <c r="U29" i="146" s="1"/>
  <c r="O89" i="3"/>
  <c r="D26" i="141" s="1"/>
  <c r="T28" i="146"/>
  <c r="U28" i="146" s="1"/>
  <c r="T22" i="146"/>
  <c r="U22" i="146" s="1"/>
  <c r="T33" i="146"/>
  <c r="U33" i="146" s="1"/>
  <c r="T31" i="146"/>
  <c r="U31" i="146" s="1"/>
  <c r="T32" i="146"/>
  <c r="U32" i="146" s="1"/>
  <c r="T23" i="146"/>
  <c r="U23" i="146" s="1"/>
  <c r="N89" i="3"/>
  <c r="M89" i="3"/>
  <c r="P89" i="3"/>
  <c r="D27" i="71" s="1"/>
  <c r="I89" i="3"/>
  <c r="I35" i="125"/>
  <c r="I40" i="125" s="1"/>
  <c r="G13" i="78"/>
  <c r="I13" i="78" s="1"/>
  <c r="N20" i="64" s="1"/>
  <c r="J89" i="3"/>
  <c r="G39" i="114"/>
  <c r="K39" i="114" s="1"/>
  <c r="L39" i="5"/>
  <c r="D211" i="125"/>
  <c r="M55" i="5"/>
  <c r="N55" i="5" s="1"/>
  <c r="P55" i="5" s="1"/>
  <c r="S55" i="5" s="1"/>
  <c r="L21" i="91"/>
  <c r="M21" i="91" s="1"/>
  <c r="O21" i="91" s="1"/>
  <c r="M13" i="5"/>
  <c r="N13" i="5" s="1"/>
  <c r="P13" i="5" s="1"/>
  <c r="K42" i="91"/>
  <c r="M26" i="90"/>
  <c r="O26" i="90" s="1"/>
  <c r="L21" i="89"/>
  <c r="N21" i="89" s="1"/>
  <c r="L26" i="91"/>
  <c r="M26" i="91" s="1"/>
  <c r="O26" i="91" s="1"/>
  <c r="T24" i="146"/>
  <c r="U24" i="146" s="1"/>
  <c r="M64" i="5"/>
  <c r="I25" i="125"/>
  <c r="I30" i="125" s="1"/>
  <c r="L28" i="90"/>
  <c r="H53" i="114"/>
  <c r="K53" i="114" s="1"/>
  <c r="D25" i="71"/>
  <c r="G25" i="71" s="1"/>
  <c r="U27" i="3"/>
  <c r="V27" i="3" s="1"/>
  <c r="M53" i="5"/>
  <c r="N53" i="5" s="1"/>
  <c r="P53" i="5" s="1"/>
  <c r="S53" i="5" s="1"/>
  <c r="M23" i="5"/>
  <c r="T26" i="146"/>
  <c r="U26" i="146" s="1"/>
  <c r="L35" i="146"/>
  <c r="T25" i="146"/>
  <c r="U25" i="146" s="1"/>
  <c r="T20" i="146"/>
  <c r="U20" i="146" s="1"/>
  <c r="Q35" i="146"/>
  <c r="M18" i="5"/>
  <c r="N18" i="5" s="1"/>
  <c r="P18" i="5" s="1"/>
  <c r="S18" i="5" s="1"/>
  <c r="I286" i="125"/>
  <c r="U22" i="3"/>
  <c r="V22" i="3" s="1"/>
  <c r="Q19" i="108"/>
  <c r="T19" i="108" s="1"/>
  <c r="U19" i="108" s="1"/>
  <c r="L23" i="91"/>
  <c r="M20" i="5"/>
  <c r="Q21" i="108"/>
  <c r="T21" i="108" s="1"/>
  <c r="U21" i="108" s="1"/>
  <c r="L39" i="91"/>
  <c r="L35" i="91"/>
  <c r="M35" i="91" s="1"/>
  <c r="O35" i="91" s="1"/>
  <c r="M52" i="5"/>
  <c r="N52" i="5" s="1"/>
  <c r="P52" i="5" s="1"/>
  <c r="S52" i="5" s="1"/>
  <c r="I276" i="125"/>
  <c r="H52" i="114"/>
  <c r="K52" i="114" s="1"/>
  <c r="H80" i="114"/>
  <c r="K80" i="114" s="1"/>
  <c r="H17" i="114"/>
  <c r="K17" i="114" s="1"/>
  <c r="I306" i="125"/>
  <c r="H37" i="91"/>
  <c r="J37" i="91" s="1"/>
  <c r="M37" i="91" s="1"/>
  <c r="O37" i="91" s="1"/>
  <c r="H106" i="125"/>
  <c r="I106" i="125" s="1"/>
  <c r="I112" i="125" s="1"/>
  <c r="H38" i="3"/>
  <c r="H51" i="3"/>
  <c r="F47" i="114" s="1"/>
  <c r="C178" i="125"/>
  <c r="D178" i="125" s="1"/>
  <c r="H50" i="91"/>
  <c r="J50" i="91" s="1"/>
  <c r="M36" i="5"/>
  <c r="N36" i="5" s="1"/>
  <c r="P36" i="5" s="1"/>
  <c r="S36" i="5" s="1"/>
  <c r="I332" i="125"/>
  <c r="D322" i="125"/>
  <c r="D326" i="125" s="1"/>
  <c r="K78" i="114"/>
  <c r="J22" i="89"/>
  <c r="L22" i="89" s="1"/>
  <c r="N22" i="89" s="1"/>
  <c r="K74" i="114"/>
  <c r="K15" i="6"/>
  <c r="N12" i="6"/>
  <c r="N15" i="6" s="1"/>
  <c r="H18" i="91"/>
  <c r="J18" i="91" s="1"/>
  <c r="H19" i="3"/>
  <c r="F15" i="114" s="1"/>
  <c r="C14" i="125"/>
  <c r="D14" i="125" s="1"/>
  <c r="Y16" i="64"/>
  <c r="L70" i="5"/>
  <c r="N70" i="5" s="1"/>
  <c r="P70" i="5" s="1"/>
  <c r="S70" i="5" s="1"/>
  <c r="H39" i="91"/>
  <c r="J39" i="91" s="1"/>
  <c r="H40" i="3"/>
  <c r="F36" i="114" s="1"/>
  <c r="K36" i="114" s="1"/>
  <c r="H116" i="125"/>
  <c r="I116" i="125" s="1"/>
  <c r="G33" i="110"/>
  <c r="D340" i="125"/>
  <c r="D346" i="125" s="1"/>
  <c r="F82" i="114"/>
  <c r="K82" i="114" s="1"/>
  <c r="H18" i="89"/>
  <c r="I18" i="89" s="1"/>
  <c r="I24" i="89" s="1"/>
  <c r="C280" i="125"/>
  <c r="D280" i="125" s="1"/>
  <c r="H74" i="3"/>
  <c r="F70" i="114" s="1"/>
  <c r="T42" i="108"/>
  <c r="U42" i="108" s="1"/>
  <c r="S31" i="110"/>
  <c r="P33" i="110"/>
  <c r="L19" i="91"/>
  <c r="N44" i="5"/>
  <c r="P44" i="5" s="1"/>
  <c r="S44" i="5" s="1"/>
  <c r="M32" i="5"/>
  <c r="N32" i="5" s="1"/>
  <c r="P32" i="5" s="1"/>
  <c r="S32" i="5" s="1"/>
  <c r="M35" i="5"/>
  <c r="N35" i="5" s="1"/>
  <c r="P35" i="5" s="1"/>
  <c r="S35" i="5" s="1"/>
  <c r="H61" i="114"/>
  <c r="U66" i="3"/>
  <c r="V66" i="3" s="1"/>
  <c r="Q47" i="108"/>
  <c r="T47" i="108" s="1"/>
  <c r="U47" i="108" s="1"/>
  <c r="D242" i="125"/>
  <c r="D246" i="125" s="1"/>
  <c r="T38" i="108"/>
  <c r="U38" i="108" s="1"/>
  <c r="N26" i="5"/>
  <c r="P26" i="5" s="1"/>
  <c r="S26" i="5" s="1"/>
  <c r="U65" i="3"/>
  <c r="V65" i="3" s="1"/>
  <c r="I241" i="125"/>
  <c r="I246" i="125" s="1"/>
  <c r="M15" i="5"/>
  <c r="N62" i="5"/>
  <c r="P62" i="5" s="1"/>
  <c r="S62" i="5" s="1"/>
  <c r="M16" i="5"/>
  <c r="N16" i="5" s="1"/>
  <c r="P16" i="5" s="1"/>
  <c r="S16" i="5" s="1"/>
  <c r="Q37" i="108"/>
  <c r="T37" i="108" s="1"/>
  <c r="U37" i="108" s="1"/>
  <c r="T45" i="108"/>
  <c r="U45" i="108" s="1"/>
  <c r="U21" i="3"/>
  <c r="V21" i="3" s="1"/>
  <c r="M39" i="5"/>
  <c r="L49" i="91"/>
  <c r="Q17" i="108"/>
  <c r="Q33" i="108"/>
  <c r="T33" i="108" s="1"/>
  <c r="U33" i="108" s="1"/>
  <c r="Q39" i="108"/>
  <c r="T39" i="108" s="1"/>
  <c r="U39" i="108" s="1"/>
  <c r="L48" i="91"/>
  <c r="M48" i="91" s="1"/>
  <c r="O48" i="91" s="1"/>
  <c r="D107" i="125"/>
  <c r="D112" i="125" s="1"/>
  <c r="H56" i="114"/>
  <c r="L22" i="91"/>
  <c r="F71" i="114"/>
  <c r="K71" i="114" s="1"/>
  <c r="G61" i="114"/>
  <c r="K61" i="114" s="1"/>
  <c r="M19" i="5"/>
  <c r="U37" i="3"/>
  <c r="V37" i="3" s="1"/>
  <c r="G60" i="114"/>
  <c r="M16" i="91"/>
  <c r="O16" i="91" s="1"/>
  <c r="M31" i="5"/>
  <c r="N31" i="5" s="1"/>
  <c r="P31" i="5" s="1"/>
  <c r="S31" i="5" s="1"/>
  <c r="Q23" i="108"/>
  <c r="T23" i="108" s="1"/>
  <c r="U23" i="108" s="1"/>
  <c r="M46" i="5"/>
  <c r="M45" i="5"/>
  <c r="N45" i="5" s="1"/>
  <c r="P45" i="5" s="1"/>
  <c r="S45" i="5" s="1"/>
  <c r="M22" i="5"/>
  <c r="N22" i="5" s="1"/>
  <c r="P22" i="5" s="1"/>
  <c r="S22" i="5" s="1"/>
  <c r="L25" i="91"/>
  <c r="Q46" i="108"/>
  <c r="T46" i="108" s="1"/>
  <c r="U46" i="108" s="1"/>
  <c r="Q40" i="108"/>
  <c r="T40" i="108" s="1"/>
  <c r="U40" i="108" s="1"/>
  <c r="K25" i="90"/>
  <c r="M25" i="90" s="1"/>
  <c r="O25" i="90" s="1"/>
  <c r="M14" i="5"/>
  <c r="T26" i="108"/>
  <c r="U26" i="108" s="1"/>
  <c r="L17" i="91"/>
  <c r="M17" i="91" s="1"/>
  <c r="O17" i="91" s="1"/>
  <c r="M47" i="5"/>
  <c r="Q15" i="108"/>
  <c r="T15" i="108" s="1"/>
  <c r="U15" i="108" s="1"/>
  <c r="K41" i="114"/>
  <c r="Q54" i="3"/>
  <c r="G19" i="114"/>
  <c r="L50" i="91"/>
  <c r="D231" i="125"/>
  <c r="D236" i="125" s="1"/>
  <c r="K58" i="114"/>
  <c r="K79" i="114"/>
  <c r="L18" i="91"/>
  <c r="K76" i="114"/>
  <c r="K18" i="114"/>
  <c r="K73" i="114"/>
  <c r="K72" i="114"/>
  <c r="H19" i="114"/>
  <c r="U42" i="3"/>
  <c r="V42" i="3" s="1"/>
  <c r="H38" i="114"/>
  <c r="K38" i="114" s="1"/>
  <c r="I129" i="125"/>
  <c r="I134" i="125" s="1"/>
  <c r="I15" i="125"/>
  <c r="H16" i="114"/>
  <c r="L34" i="91"/>
  <c r="M34" i="91" s="1"/>
  <c r="O34" i="91" s="1"/>
  <c r="L42" i="91"/>
  <c r="K19" i="91"/>
  <c r="T35" i="108"/>
  <c r="U35" i="108" s="1"/>
  <c r="K69" i="114"/>
  <c r="M65" i="5"/>
  <c r="N65" i="5" s="1"/>
  <c r="P65" i="5" s="1"/>
  <c r="S65" i="5" s="1"/>
  <c r="L29" i="90"/>
  <c r="M29" i="90" s="1"/>
  <c r="O29" i="90" s="1"/>
  <c r="Q16" i="3"/>
  <c r="Q89" i="3" s="1"/>
  <c r="Q14" i="108"/>
  <c r="T14" i="108" s="1"/>
  <c r="U14" i="108" s="1"/>
  <c r="M63" i="5"/>
  <c r="L27" i="90"/>
  <c r="M27" i="90" s="1"/>
  <c r="O27" i="90" s="1"/>
  <c r="L63" i="5"/>
  <c r="I236" i="125"/>
  <c r="H15" i="114"/>
  <c r="D179" i="125"/>
  <c r="Q36" i="108"/>
  <c r="T36" i="108" s="1"/>
  <c r="U36" i="108" s="1"/>
  <c r="Q32" i="108"/>
  <c r="T32" i="108" s="1"/>
  <c r="U32" i="108" s="1"/>
  <c r="K31" i="114"/>
  <c r="D252" i="125"/>
  <c r="D256" i="125" s="1"/>
  <c r="K24" i="90"/>
  <c r="M24" i="90" s="1"/>
  <c r="O24" i="90" s="1"/>
  <c r="L60" i="5"/>
  <c r="N60" i="5" s="1"/>
  <c r="P60" i="5" s="1"/>
  <c r="S60" i="5" s="1"/>
  <c r="T43" i="108"/>
  <c r="U43" i="108" s="1"/>
  <c r="L23" i="90"/>
  <c r="M23" i="90" s="1"/>
  <c r="O23" i="90" s="1"/>
  <c r="M59" i="5"/>
  <c r="N59" i="5" s="1"/>
  <c r="P59" i="5" s="1"/>
  <c r="S59" i="5" s="1"/>
  <c r="L41" i="91"/>
  <c r="M41" i="91" s="1"/>
  <c r="O41" i="91" s="1"/>
  <c r="M38" i="5"/>
  <c r="N38" i="5" s="1"/>
  <c r="P38" i="5" s="1"/>
  <c r="S38" i="5" s="1"/>
  <c r="E15" i="71"/>
  <c r="G15" i="71" s="1"/>
  <c r="K62" i="114"/>
  <c r="K49" i="114"/>
  <c r="K84" i="114"/>
  <c r="K33" i="114"/>
  <c r="K26" i="114"/>
  <c r="L51" i="108"/>
  <c r="N19" i="86" s="1"/>
  <c r="T48" i="108"/>
  <c r="U48" i="108" s="1"/>
  <c r="I56" i="125"/>
  <c r="T41" i="108"/>
  <c r="U41" i="108" s="1"/>
  <c r="L19" i="5"/>
  <c r="I45" i="125"/>
  <c r="U73" i="3"/>
  <c r="V73" i="3" s="1"/>
  <c r="U49" i="3"/>
  <c r="V49" i="3" s="1"/>
  <c r="L24" i="5"/>
  <c r="G24" i="114"/>
  <c r="G23" i="114"/>
  <c r="K22" i="91"/>
  <c r="D56" i="125"/>
  <c r="U60" i="3"/>
  <c r="V60" i="3" s="1"/>
  <c r="G56" i="114"/>
  <c r="D212" i="125"/>
  <c r="I296" i="125"/>
  <c r="K28" i="90"/>
  <c r="K19" i="90"/>
  <c r="M19" i="90" s="1"/>
  <c r="O19" i="90" s="1"/>
  <c r="L56" i="5"/>
  <c r="N56" i="5" s="1"/>
  <c r="P56" i="5" s="1"/>
  <c r="S56" i="5" s="1"/>
  <c r="L54" i="3"/>
  <c r="M20" i="90"/>
  <c r="O20" i="90" s="1"/>
  <c r="G55" i="114"/>
  <c r="D24" i="141"/>
  <c r="K49" i="91"/>
  <c r="G63" i="114"/>
  <c r="I16" i="125"/>
  <c r="L46" i="5"/>
  <c r="G20" i="114"/>
  <c r="K20" i="114" s="1"/>
  <c r="G16" i="114"/>
  <c r="G46" i="114"/>
  <c r="I72" i="125"/>
  <c r="I212" i="125"/>
  <c r="I216" i="125" s="1"/>
  <c r="L23" i="5"/>
  <c r="G51" i="114"/>
  <c r="T16" i="108"/>
  <c r="U16" i="108" s="1"/>
  <c r="J51" i="108"/>
  <c r="U36" i="110" s="1"/>
  <c r="G64" i="114"/>
  <c r="K64" i="114" s="1"/>
  <c r="L15" i="5"/>
  <c r="K23" i="91"/>
  <c r="L64" i="5"/>
  <c r="D192" i="125"/>
  <c r="G15" i="114"/>
  <c r="K15" i="90"/>
  <c r="U78" i="3"/>
  <c r="V78" i="3" s="1"/>
  <c r="L20" i="5"/>
  <c r="L51" i="5"/>
  <c r="D16" i="125"/>
  <c r="L74" i="5"/>
  <c r="N74" i="5" s="1"/>
  <c r="P74" i="5" s="1"/>
  <c r="S74" i="5" s="1"/>
  <c r="D302" i="125"/>
  <c r="D306" i="125" s="1"/>
  <c r="I312" i="125"/>
  <c r="D332" i="125"/>
  <c r="N73" i="5"/>
  <c r="P73" i="5" s="1"/>
  <c r="S73" i="5" s="1"/>
  <c r="U85" i="57"/>
  <c r="D316" i="125"/>
  <c r="E16" i="141"/>
  <c r="E17" i="71"/>
  <c r="G17" i="71" s="1"/>
  <c r="E16" i="71"/>
  <c r="G16" i="71" s="1"/>
  <c r="D296" i="125"/>
  <c r="L17" i="89"/>
  <c r="N17" i="89" s="1"/>
  <c r="L14" i="5"/>
  <c r="D29" i="141"/>
  <c r="K18" i="90"/>
  <c r="D25" i="141"/>
  <c r="L54" i="5"/>
  <c r="G54" i="114"/>
  <c r="U82" i="3"/>
  <c r="V82" i="3" s="1"/>
  <c r="R15" i="1"/>
  <c r="T15" i="1"/>
  <c r="W15" i="1"/>
  <c r="U15" i="1"/>
  <c r="H28" i="91"/>
  <c r="J28" i="91" s="1"/>
  <c r="M28" i="91" s="1"/>
  <c r="O28" i="91" s="1"/>
  <c r="H29" i="3"/>
  <c r="F25" i="114" s="1"/>
  <c r="C66" i="125"/>
  <c r="D66" i="125" s="1"/>
  <c r="H27" i="91"/>
  <c r="J27" i="91" s="1"/>
  <c r="H54" i="125"/>
  <c r="I54" i="125" s="1"/>
  <c r="H28" i="3"/>
  <c r="I6" i="125"/>
  <c r="J18" i="89"/>
  <c r="K50" i="91"/>
  <c r="H150" i="125"/>
  <c r="H48" i="3"/>
  <c r="H47" i="91"/>
  <c r="J47" i="91" s="1"/>
  <c r="M47" i="91" s="1"/>
  <c r="O47" i="91" s="1"/>
  <c r="H158" i="125"/>
  <c r="I158" i="125" s="1"/>
  <c r="I164" i="125" s="1"/>
  <c r="H44" i="3"/>
  <c r="F40" i="114" s="1"/>
  <c r="H138" i="125"/>
  <c r="I138" i="125" s="1"/>
  <c r="H43" i="91"/>
  <c r="J43" i="91" s="1"/>
  <c r="H40" i="91"/>
  <c r="J40" i="91" s="1"/>
  <c r="M40" i="91" s="1"/>
  <c r="O40" i="91" s="1"/>
  <c r="H41" i="3"/>
  <c r="F37" i="114" s="1"/>
  <c r="K37" i="114" s="1"/>
  <c r="C128" i="125"/>
  <c r="D128" i="125" s="1"/>
  <c r="H178" i="125"/>
  <c r="I178" i="125" s="1"/>
  <c r="I184" i="125" s="1"/>
  <c r="H52" i="3"/>
  <c r="F48" i="114" s="1"/>
  <c r="H51" i="91"/>
  <c r="J51" i="91" s="1"/>
  <c r="H25" i="91"/>
  <c r="J25" i="91" s="1"/>
  <c r="H26" i="3"/>
  <c r="H44" i="125"/>
  <c r="I44" i="125" s="1"/>
  <c r="K31" i="63"/>
  <c r="D180" i="125"/>
  <c r="U15" i="64"/>
  <c r="U24" i="64" s="1"/>
  <c r="T15" i="64"/>
  <c r="T24" i="64" s="1"/>
  <c r="G17" i="108"/>
  <c r="H17" i="108" s="1"/>
  <c r="G20" i="3"/>
  <c r="R12" i="57"/>
  <c r="R85" i="57" s="1"/>
  <c r="G14" i="114"/>
  <c r="D282" i="125"/>
  <c r="U24" i="3"/>
  <c r="V24" i="3" s="1"/>
  <c r="L47" i="5"/>
  <c r="L46" i="3"/>
  <c r="I150" i="125" s="1"/>
  <c r="E15" i="141"/>
  <c r="O15" i="1"/>
  <c r="U12" i="1"/>
  <c r="C86" i="125"/>
  <c r="D86" i="125" s="1"/>
  <c r="H33" i="3"/>
  <c r="F29" i="114" s="1"/>
  <c r="K29" i="114" s="1"/>
  <c r="H32" i="91"/>
  <c r="J32" i="91" s="1"/>
  <c r="U67" i="3"/>
  <c r="V67" i="3" s="1"/>
  <c r="H63" i="114"/>
  <c r="I102" i="125"/>
  <c r="H54" i="3"/>
  <c r="I5" i="125"/>
  <c r="D272" i="125"/>
  <c r="L71" i="3"/>
  <c r="H48" i="114"/>
  <c r="I321" i="125"/>
  <c r="I326" i="125" s="1"/>
  <c r="I30" i="90"/>
  <c r="H30" i="90"/>
  <c r="G22" i="86" s="1"/>
  <c r="G21" i="86" s="1"/>
  <c r="M51" i="108"/>
  <c r="L47" i="3"/>
  <c r="G43" i="114" s="1"/>
  <c r="H149" i="125"/>
  <c r="H30" i="114"/>
  <c r="K30" i="114" s="1"/>
  <c r="U34" i="3"/>
  <c r="V34" i="3" s="1"/>
  <c r="H20" i="71"/>
  <c r="H22" i="71"/>
  <c r="H60" i="114"/>
  <c r="H28" i="114"/>
  <c r="D87" i="125"/>
  <c r="U18" i="3"/>
  <c r="H14" i="114"/>
  <c r="D45" i="125"/>
  <c r="D50" i="125" s="1"/>
  <c r="U64" i="3"/>
  <c r="V64" i="3" s="1"/>
  <c r="H21" i="114"/>
  <c r="H40" i="114"/>
  <c r="D159" i="125"/>
  <c r="H43" i="114"/>
  <c r="I331" i="125"/>
  <c r="D97" i="125"/>
  <c r="D102" i="125" s="1"/>
  <c r="U35" i="3"/>
  <c r="V35" i="3" s="1"/>
  <c r="U68" i="3"/>
  <c r="V68" i="3" s="1"/>
  <c r="I251" i="125"/>
  <c r="I256" i="125" s="1"/>
  <c r="L68" i="5"/>
  <c r="N30" i="5"/>
  <c r="P30" i="5" s="1"/>
  <c r="S30" i="5" s="1"/>
  <c r="D30" i="125"/>
  <c r="L40" i="5"/>
  <c r="N40" i="5" s="1"/>
  <c r="P40" i="5" s="1"/>
  <c r="S40" i="5" s="1"/>
  <c r="U50" i="3"/>
  <c r="V50" i="3" s="1"/>
  <c r="I169" i="125"/>
  <c r="I174" i="125" s="1"/>
  <c r="L19" i="89"/>
  <c r="N19" i="89" s="1"/>
  <c r="J16" i="89"/>
  <c r="N22" i="86"/>
  <c r="N21" i="86" s="1"/>
  <c r="M33" i="91"/>
  <c r="O33" i="91" s="1"/>
  <c r="H19" i="71"/>
  <c r="I140" i="125"/>
  <c r="U58" i="3"/>
  <c r="V58" i="3" s="1"/>
  <c r="D139" i="125"/>
  <c r="D144" i="125" s="1"/>
  <c r="K43" i="91"/>
  <c r="U43" i="3"/>
  <c r="V43" i="3" s="1"/>
  <c r="I201" i="125"/>
  <c r="I206" i="125" s="1"/>
  <c r="N34" i="5"/>
  <c r="P34" i="5" s="1"/>
  <c r="S34" i="5" s="1"/>
  <c r="G18" i="71"/>
  <c r="N71" i="5"/>
  <c r="P71" i="5" s="1"/>
  <c r="S71" i="5" s="1"/>
  <c r="F64" i="133"/>
  <c r="E63" i="133"/>
  <c r="D79" i="133"/>
  <c r="U81" i="3"/>
  <c r="V81" i="3" s="1"/>
  <c r="I311" i="125"/>
  <c r="H77" i="114"/>
  <c r="K77" i="114" s="1"/>
  <c r="D129" i="125"/>
  <c r="H45" i="114"/>
  <c r="D67" i="125"/>
  <c r="U36" i="3"/>
  <c r="V36" i="3" s="1"/>
  <c r="D169" i="125"/>
  <c r="D174" i="125" s="1"/>
  <c r="I117" i="125"/>
  <c r="N57" i="5"/>
  <c r="P57" i="5" s="1"/>
  <c r="S57" i="5" s="1"/>
  <c r="H25" i="114"/>
  <c r="M38" i="91"/>
  <c r="O38" i="91" s="1"/>
  <c r="H32" i="114"/>
  <c r="F48" i="133"/>
  <c r="E47" i="133"/>
  <c r="H76" i="125"/>
  <c r="I76" i="125" s="1"/>
  <c r="I82" i="125" s="1"/>
  <c r="H31" i="91"/>
  <c r="H32" i="3"/>
  <c r="D29" i="71"/>
  <c r="H29" i="71" s="1"/>
  <c r="M22" i="90"/>
  <c r="O22" i="90" s="1"/>
  <c r="F176" i="125"/>
  <c r="A198" i="125"/>
  <c r="F198" i="125" s="1"/>
  <c r="AD18" i="64"/>
  <c r="AF18" i="64" s="1"/>
  <c r="R18" i="63" s="1"/>
  <c r="S18" i="63" s="1"/>
  <c r="AC18" i="64"/>
  <c r="AD17" i="64"/>
  <c r="AF17" i="64" s="1"/>
  <c r="R17" i="63" s="1"/>
  <c r="S17" i="63" s="1"/>
  <c r="AC17" i="64"/>
  <c r="Z16" i="64"/>
  <c r="AB16" i="64" s="1"/>
  <c r="Y15" i="64"/>
  <c r="M24" i="91"/>
  <c r="O24" i="91" s="1"/>
  <c r="F25" i="133"/>
  <c r="E10" i="133"/>
  <c r="G17" i="79"/>
  <c r="I12" i="78"/>
  <c r="G27" i="114"/>
  <c r="D78" i="125"/>
  <c r="L27" i="5"/>
  <c r="K30" i="91"/>
  <c r="N37" i="5"/>
  <c r="P37" i="5" s="1"/>
  <c r="S37" i="5" s="1"/>
  <c r="N58" i="5"/>
  <c r="P58" i="5" s="1"/>
  <c r="S58" i="5" s="1"/>
  <c r="I92" i="125"/>
  <c r="N24" i="86"/>
  <c r="N23" i="86" s="1"/>
  <c r="M44" i="91"/>
  <c r="O44" i="91" s="1"/>
  <c r="N25" i="5"/>
  <c r="P25" i="5" s="1"/>
  <c r="S25" i="5" s="1"/>
  <c r="N17" i="5"/>
  <c r="P17" i="5" s="1"/>
  <c r="S17" i="5" s="1"/>
  <c r="N41" i="5"/>
  <c r="P41" i="5" s="1"/>
  <c r="S41" i="5" s="1"/>
  <c r="M17" i="90"/>
  <c r="O17" i="90" s="1"/>
  <c r="D154" i="125"/>
  <c r="N72" i="5"/>
  <c r="P72" i="5" s="1"/>
  <c r="S72" i="5" s="1"/>
  <c r="N21" i="5"/>
  <c r="P21" i="5" s="1"/>
  <c r="S21" i="5" s="1"/>
  <c r="L20" i="89"/>
  <c r="N20" i="89" s="1"/>
  <c r="F50" i="114"/>
  <c r="T50" i="108"/>
  <c r="M16" i="90"/>
  <c r="M36" i="91"/>
  <c r="O36" i="91" s="1"/>
  <c r="N33" i="5"/>
  <c r="P33" i="5" s="1"/>
  <c r="S33" i="5" s="1"/>
  <c r="M20" i="91"/>
  <c r="O20" i="91" s="1"/>
  <c r="K83" i="114" l="1"/>
  <c r="U87" i="3"/>
  <c r="V87" i="3" s="1"/>
  <c r="R33" i="110"/>
  <c r="G21" i="71"/>
  <c r="M27" i="91"/>
  <c r="O27" i="91" s="1"/>
  <c r="H24" i="114"/>
  <c r="M32" i="91"/>
  <c r="O32" i="91" s="1"/>
  <c r="M51" i="91"/>
  <c r="O51" i="91" s="1"/>
  <c r="D336" i="125"/>
  <c r="N24" i="5"/>
  <c r="P24" i="5" s="1"/>
  <c r="S24" i="5" s="1"/>
  <c r="L13" i="78"/>
  <c r="H57" i="114"/>
  <c r="K57" i="114" s="1"/>
  <c r="U61" i="3"/>
  <c r="V61" i="3" s="1"/>
  <c r="N23" i="5"/>
  <c r="P23" i="5" s="1"/>
  <c r="S23" i="5" s="1"/>
  <c r="D216" i="125"/>
  <c r="H34" i="134"/>
  <c r="I34" i="134" s="1"/>
  <c r="I31" i="134" s="1"/>
  <c r="U59" i="3"/>
  <c r="V59" i="3" s="1"/>
  <c r="H71" i="3"/>
  <c r="F14" i="78"/>
  <c r="G14" i="78" s="1"/>
  <c r="U74" i="3"/>
  <c r="V74" i="3" s="1"/>
  <c r="H55" i="114"/>
  <c r="K55" i="114" s="1"/>
  <c r="I336" i="125"/>
  <c r="N39" i="5"/>
  <c r="P39" i="5" s="1"/>
  <c r="S39" i="5" s="1"/>
  <c r="U40" i="3"/>
  <c r="V40" i="3" s="1"/>
  <c r="D201" i="125"/>
  <c r="D206" i="125" s="1"/>
  <c r="M42" i="91"/>
  <c r="O42" i="91" s="1"/>
  <c r="D286" i="125"/>
  <c r="K70" i="114"/>
  <c r="M39" i="91"/>
  <c r="O39" i="91" s="1"/>
  <c r="H23" i="114"/>
  <c r="K23" i="114" s="1"/>
  <c r="D26" i="71"/>
  <c r="G26" i="71" s="1"/>
  <c r="H25" i="71"/>
  <c r="U57" i="3"/>
  <c r="V57" i="3" s="1"/>
  <c r="N64" i="5"/>
  <c r="P64" i="5" s="1"/>
  <c r="S64" i="5" s="1"/>
  <c r="M23" i="91"/>
  <c r="O23" i="91" s="1"/>
  <c r="D55" i="125"/>
  <c r="D60" i="125" s="1"/>
  <c r="M28" i="90"/>
  <c r="O28" i="90" s="1"/>
  <c r="N20" i="5"/>
  <c r="P20" i="5" s="1"/>
  <c r="S20" i="5" s="1"/>
  <c r="S35" i="146"/>
  <c r="W35" i="146" s="1"/>
  <c r="T19" i="146"/>
  <c r="I191" i="125"/>
  <c r="I196" i="125" s="1"/>
  <c r="U56" i="3"/>
  <c r="V56" i="3" s="1"/>
  <c r="M22" i="91"/>
  <c r="O22" i="91" s="1"/>
  <c r="H24" i="89"/>
  <c r="G24" i="86" s="1"/>
  <c r="G23" i="86" s="1"/>
  <c r="H23" i="86" s="1"/>
  <c r="F34" i="114"/>
  <c r="K34" i="114" s="1"/>
  <c r="U38" i="3"/>
  <c r="V38" i="3" s="1"/>
  <c r="D5" i="125"/>
  <c r="D10" i="125" s="1"/>
  <c r="U17" i="3"/>
  <c r="V17" i="3" s="1"/>
  <c r="L18" i="89"/>
  <c r="N18" i="89" s="1"/>
  <c r="I122" i="125"/>
  <c r="K15" i="114"/>
  <c r="H13" i="114"/>
  <c r="K13" i="114" s="1"/>
  <c r="M18" i="91"/>
  <c r="O18" i="91" s="1"/>
  <c r="T17" i="108"/>
  <c r="U17" i="108" s="1"/>
  <c r="U19" i="3"/>
  <c r="V19" i="3" s="1"/>
  <c r="D92" i="125"/>
  <c r="N15" i="5"/>
  <c r="P15" i="5" s="1"/>
  <c r="S15" i="5" s="1"/>
  <c r="K19" i="114"/>
  <c r="H47" i="114"/>
  <c r="K47" i="114" s="1"/>
  <c r="N47" i="5"/>
  <c r="P47" i="5" s="1"/>
  <c r="S47" i="5" s="1"/>
  <c r="N14" i="5"/>
  <c r="P14" i="5" s="1"/>
  <c r="S14" i="5" s="1"/>
  <c r="F67" i="114"/>
  <c r="R376" i="135" s="1"/>
  <c r="K60" i="114"/>
  <c r="U51" i="3"/>
  <c r="V51" i="3" s="1"/>
  <c r="M25" i="91"/>
  <c r="O25" i="91" s="1"/>
  <c r="M49" i="91"/>
  <c r="O49" i="91" s="1"/>
  <c r="D15" i="125"/>
  <c r="D20" i="125" s="1"/>
  <c r="N46" i="5"/>
  <c r="P46" i="5" s="1"/>
  <c r="S46" i="5" s="1"/>
  <c r="U63" i="3"/>
  <c r="V63" i="3" s="1"/>
  <c r="K56" i="114"/>
  <c r="H59" i="114"/>
  <c r="K59" i="114" s="1"/>
  <c r="I50" i="125"/>
  <c r="M50" i="91"/>
  <c r="O50" i="91" s="1"/>
  <c r="N19" i="5"/>
  <c r="P19" i="5" s="1"/>
  <c r="S19" i="5" s="1"/>
  <c r="D35" i="125"/>
  <c r="D40" i="125" s="1"/>
  <c r="U29" i="3"/>
  <c r="V29" i="3" s="1"/>
  <c r="D184" i="125"/>
  <c r="U23" i="3"/>
  <c r="V23" i="3" s="1"/>
  <c r="U69" i="3"/>
  <c r="V69" i="3" s="1"/>
  <c r="H65" i="114"/>
  <c r="K65" i="114" s="1"/>
  <c r="D261" i="125"/>
  <c r="D266" i="125" s="1"/>
  <c r="S16" i="3"/>
  <c r="Y16" i="110"/>
  <c r="S33" i="110"/>
  <c r="H35" i="114"/>
  <c r="K35" i="114" s="1"/>
  <c r="U39" i="3"/>
  <c r="V39" i="3" s="1"/>
  <c r="D117" i="125"/>
  <c r="D122" i="125" s="1"/>
  <c r="U41" i="3"/>
  <c r="V41" i="3" s="1"/>
  <c r="U44" i="3"/>
  <c r="V44" i="3" s="1"/>
  <c r="N63" i="5"/>
  <c r="P63" i="5" s="1"/>
  <c r="S63" i="5" s="1"/>
  <c r="U52" i="3"/>
  <c r="V52" i="3" s="1"/>
  <c r="K43" i="114"/>
  <c r="K63" i="114"/>
  <c r="K14" i="114"/>
  <c r="K40" i="114"/>
  <c r="K25" i="114"/>
  <c r="K32" i="114"/>
  <c r="K48" i="114"/>
  <c r="K46" i="114"/>
  <c r="K21" i="114"/>
  <c r="K45" i="114"/>
  <c r="K54" i="114"/>
  <c r="U33" i="3"/>
  <c r="V33" i="3" s="1"/>
  <c r="D72" i="125"/>
  <c r="I60" i="125"/>
  <c r="K30" i="90"/>
  <c r="J24" i="89"/>
  <c r="L50" i="5"/>
  <c r="G50" i="114"/>
  <c r="R266" i="135" s="1"/>
  <c r="E14" i="141"/>
  <c r="E35" i="141" s="1"/>
  <c r="L67" i="5"/>
  <c r="I316" i="125"/>
  <c r="H16" i="71"/>
  <c r="H17" i="71"/>
  <c r="H51" i="108"/>
  <c r="M43" i="91"/>
  <c r="O43" i="91" s="1"/>
  <c r="N54" i="5"/>
  <c r="P54" i="5" s="1"/>
  <c r="S54" i="5" s="1"/>
  <c r="L42" i="5"/>
  <c r="N42" i="5" s="1"/>
  <c r="P42" i="5" s="1"/>
  <c r="S42" i="5" s="1"/>
  <c r="G42" i="114"/>
  <c r="G12" i="114" s="1"/>
  <c r="R16" i="135" s="1"/>
  <c r="U46" i="3"/>
  <c r="V46" i="3" s="1"/>
  <c r="H27" i="71"/>
  <c r="G27" i="71"/>
  <c r="D27" i="141"/>
  <c r="D28" i="141" s="1"/>
  <c r="M18" i="90"/>
  <c r="O18" i="90" s="1"/>
  <c r="K45" i="91"/>
  <c r="M45" i="91" s="1"/>
  <c r="O45" i="91" s="1"/>
  <c r="I10" i="125"/>
  <c r="E14" i="71"/>
  <c r="E37" i="71" s="1"/>
  <c r="H15" i="71"/>
  <c r="G51" i="108"/>
  <c r="I144" i="125"/>
  <c r="F44" i="114"/>
  <c r="U48" i="3"/>
  <c r="V48" i="3" s="1"/>
  <c r="G67" i="114"/>
  <c r="R377" i="135" s="1"/>
  <c r="R381" i="135" s="1"/>
  <c r="D134" i="125"/>
  <c r="H14" i="125"/>
  <c r="I14" i="125" s="1"/>
  <c r="I20" i="125" s="1"/>
  <c r="H20" i="3"/>
  <c r="H16" i="3" s="1"/>
  <c r="H19" i="91"/>
  <c r="J19" i="91" s="1"/>
  <c r="M19" i="91" s="1"/>
  <c r="O19" i="91" s="1"/>
  <c r="G16" i="3"/>
  <c r="G89" i="3" s="1"/>
  <c r="F22" i="114"/>
  <c r="U26" i="3"/>
  <c r="V26" i="3" s="1"/>
  <c r="F24" i="114"/>
  <c r="U28" i="3"/>
  <c r="V28" i="3" s="1"/>
  <c r="V18" i="3"/>
  <c r="L16" i="3"/>
  <c r="L89" i="3" s="1"/>
  <c r="D24" i="71"/>
  <c r="H22" i="86"/>
  <c r="L22" i="86" s="1"/>
  <c r="L21" i="86" s="1"/>
  <c r="K46" i="91"/>
  <c r="M46" i="91" s="1"/>
  <c r="O46" i="91" s="1"/>
  <c r="U47" i="3"/>
  <c r="V47" i="3" s="1"/>
  <c r="L43" i="5"/>
  <c r="N43" i="5" s="1"/>
  <c r="P43" i="5" s="1"/>
  <c r="S43" i="5" s="1"/>
  <c r="D160" i="125"/>
  <c r="D164" i="125" s="1"/>
  <c r="I149" i="125"/>
  <c r="I154" i="125" s="1"/>
  <c r="H42" i="114"/>
  <c r="C34" i="134"/>
  <c r="N21" i="64"/>
  <c r="P21" i="64" s="1"/>
  <c r="Q21" i="64" s="1"/>
  <c r="F63" i="133"/>
  <c r="F47" i="133"/>
  <c r="F28" i="114"/>
  <c r="K28" i="114" s="1"/>
  <c r="U32" i="3"/>
  <c r="V32" i="3" s="1"/>
  <c r="J31" i="91"/>
  <c r="G29" i="71"/>
  <c r="F208" i="125"/>
  <c r="A208" i="125"/>
  <c r="AD16" i="64"/>
  <c r="AC16" i="64"/>
  <c r="AC15" i="64" s="1"/>
  <c r="AB15" i="64"/>
  <c r="AA16" i="64"/>
  <c r="Z15" i="64"/>
  <c r="E79" i="133"/>
  <c r="J79" i="133" s="1"/>
  <c r="K13" i="133"/>
  <c r="F10" i="133"/>
  <c r="I14" i="78"/>
  <c r="P20" i="64"/>
  <c r="H20" i="63"/>
  <c r="N19" i="64"/>
  <c r="N24" i="64" s="1"/>
  <c r="M17" i="79"/>
  <c r="N17" i="79"/>
  <c r="N16" i="79" s="1"/>
  <c r="S13" i="5"/>
  <c r="H21" i="86"/>
  <c r="U50" i="108"/>
  <c r="O16" i="90"/>
  <c r="H31" i="134" l="1"/>
  <c r="H40" i="134" s="1"/>
  <c r="I41" i="134" s="1"/>
  <c r="L14" i="78"/>
  <c r="H24" i="86"/>
  <c r="L24" i="86" s="1"/>
  <c r="H89" i="3"/>
  <c r="D28" i="71"/>
  <c r="G28" i="71" s="1"/>
  <c r="H26" i="71"/>
  <c r="G27" i="86"/>
  <c r="H27" i="86" s="1"/>
  <c r="L27" i="86" s="1"/>
  <c r="P27" i="86" s="1"/>
  <c r="S27" i="86" s="1"/>
  <c r="V27" i="86" s="1"/>
  <c r="U19" i="146"/>
  <c r="U35" i="146" s="1"/>
  <c r="T35" i="146"/>
  <c r="K42" i="114"/>
  <c r="K24" i="114"/>
  <c r="K22" i="114"/>
  <c r="K44" i="114"/>
  <c r="D23" i="141"/>
  <c r="H14" i="71"/>
  <c r="H53" i="91"/>
  <c r="G19" i="86" s="1"/>
  <c r="G18" i="86" s="1"/>
  <c r="H18" i="86" s="1"/>
  <c r="H17" i="86" s="1"/>
  <c r="H30" i="86" s="1"/>
  <c r="G99" i="114"/>
  <c r="G101" i="114" s="1"/>
  <c r="D31" i="71"/>
  <c r="G31" i="71" s="1"/>
  <c r="D30" i="141"/>
  <c r="F16" i="114"/>
  <c r="U20" i="3"/>
  <c r="G24" i="71"/>
  <c r="G23" i="71" s="1"/>
  <c r="H24" i="71"/>
  <c r="L12" i="5"/>
  <c r="L84" i="5" s="1"/>
  <c r="L92" i="5" s="1"/>
  <c r="K53" i="91"/>
  <c r="N18" i="86" s="1"/>
  <c r="N17" i="86" s="1"/>
  <c r="N30" i="86" s="1"/>
  <c r="F79" i="133"/>
  <c r="P19" i="64"/>
  <c r="P24" i="64" s="1"/>
  <c r="D34" i="134"/>
  <c r="C31" i="134"/>
  <c r="S71" i="3"/>
  <c r="K16" i="89"/>
  <c r="M68" i="5"/>
  <c r="S54" i="3"/>
  <c r="M51" i="5"/>
  <c r="L15" i="90"/>
  <c r="M31" i="91"/>
  <c r="O31" i="91" s="1"/>
  <c r="J53" i="91"/>
  <c r="F218" i="125"/>
  <c r="A228" i="125" s="1"/>
  <c r="F228" i="125" s="1"/>
  <c r="A238" i="125" s="1"/>
  <c r="F238" i="125" s="1"/>
  <c r="A248" i="125" s="1"/>
  <c r="F248" i="125" s="1"/>
  <c r="A258" i="125" s="1"/>
  <c r="A268" i="125" s="1"/>
  <c r="F268" i="125" s="1"/>
  <c r="A278" i="125" s="1"/>
  <c r="F278" i="125" s="1"/>
  <c r="A218" i="125"/>
  <c r="AA15" i="64"/>
  <c r="O16" i="63"/>
  <c r="AF16" i="64"/>
  <c r="R16" i="63" s="1"/>
  <c r="R15" i="63" s="1"/>
  <c r="AD15" i="64"/>
  <c r="Q28" i="108"/>
  <c r="L30" i="91"/>
  <c r="M27" i="5"/>
  <c r="J20" i="63"/>
  <c r="H19" i="63"/>
  <c r="Q20" i="64"/>
  <c r="Q19" i="64" s="1"/>
  <c r="Q24" i="64" s="1"/>
  <c r="O17" i="79"/>
  <c r="M16" i="79"/>
  <c r="L23" i="86"/>
  <c r="S89" i="3" l="1"/>
  <c r="K16" i="114"/>
  <c r="V20" i="3"/>
  <c r="G14" i="71"/>
  <c r="G13" i="71" s="1"/>
  <c r="F12" i="114"/>
  <c r="H19" i="86"/>
  <c r="L19" i="86" s="1"/>
  <c r="L18" i="86" s="1"/>
  <c r="L17" i="86" s="1"/>
  <c r="L30" i="86" s="1"/>
  <c r="U14" i="106"/>
  <c r="H31" i="71"/>
  <c r="V92" i="5"/>
  <c r="D23" i="71"/>
  <c r="H28" i="71"/>
  <c r="C40" i="134"/>
  <c r="D41" i="134" s="1"/>
  <c r="L42" i="134"/>
  <c r="D31" i="134"/>
  <c r="D40" i="134"/>
  <c r="K24" i="89"/>
  <c r="L16" i="89"/>
  <c r="D271" i="125"/>
  <c r="H68" i="114"/>
  <c r="K68" i="114" s="1"/>
  <c r="U72" i="3"/>
  <c r="M67" i="5"/>
  <c r="N68" i="5"/>
  <c r="N51" i="5"/>
  <c r="M50" i="5"/>
  <c r="H51" i="114"/>
  <c r="K51" i="114" s="1"/>
  <c r="K50" i="114" s="1"/>
  <c r="U55" i="3"/>
  <c r="U54" i="3" s="1"/>
  <c r="D191" i="125"/>
  <c r="D196" i="125" s="1"/>
  <c r="K187" i="125" s="1"/>
  <c r="M15" i="90"/>
  <c r="L30" i="90"/>
  <c r="G17" i="86"/>
  <c r="G30" i="86" s="1"/>
  <c r="F288" i="125"/>
  <c r="A288" i="125"/>
  <c r="O15" i="63"/>
  <c r="Q16" i="63"/>
  <c r="AF15" i="64"/>
  <c r="AE15" i="64"/>
  <c r="AE24" i="64" s="1"/>
  <c r="M12" i="5"/>
  <c r="N27" i="5"/>
  <c r="L53" i="91"/>
  <c r="O18" i="86" s="1"/>
  <c r="M30" i="91"/>
  <c r="Q51" i="108"/>
  <c r="D77" i="125"/>
  <c r="H27" i="114"/>
  <c r="K27" i="114" s="1"/>
  <c r="U31" i="3"/>
  <c r="U16" i="3" s="1"/>
  <c r="Y20" i="64"/>
  <c r="AB30" i="64"/>
  <c r="O16" i="79"/>
  <c r="P17" i="79"/>
  <c r="P16" i="79" s="1"/>
  <c r="N20" i="63"/>
  <c r="J19" i="63"/>
  <c r="J24" i="63" s="1"/>
  <c r="J31" i="63" s="1"/>
  <c r="AB72" i="3" l="1"/>
  <c r="D276" i="125"/>
  <c r="K268" i="125" s="1"/>
  <c r="F99" i="114"/>
  <c r="F101" i="114" s="1"/>
  <c r="K67" i="114"/>
  <c r="K12" i="114"/>
  <c r="M42" i="134"/>
  <c r="L44" i="134"/>
  <c r="M44" i="134" s="1"/>
  <c r="O44" i="134"/>
  <c r="V72" i="3"/>
  <c r="V71" i="3" s="1"/>
  <c r="N16" i="89"/>
  <c r="N24" i="89" s="1"/>
  <c r="L24" i="89"/>
  <c r="P68" i="5"/>
  <c r="N67" i="5"/>
  <c r="M84" i="5"/>
  <c r="M92" i="5" s="1"/>
  <c r="O24" i="86"/>
  <c r="H67" i="114"/>
  <c r="R379" i="135" s="1"/>
  <c r="V55" i="3"/>
  <c r="V54" i="3" s="1"/>
  <c r="H50" i="114"/>
  <c r="R267" i="135" s="1"/>
  <c r="O22" i="86"/>
  <c r="O21" i="86" s="1"/>
  <c r="O15" i="90"/>
  <c r="O30" i="90" s="1"/>
  <c r="M30" i="90"/>
  <c r="P22" i="86" s="1"/>
  <c r="P51" i="5"/>
  <c r="N50" i="5"/>
  <c r="D82" i="125"/>
  <c r="K2" i="125" s="1"/>
  <c r="F298" i="125"/>
  <c r="A308" i="125" s="1"/>
  <c r="F308" i="125" s="1"/>
  <c r="A318" i="125" s="1"/>
  <c r="F318" i="125" s="1"/>
  <c r="A328" i="125" s="1"/>
  <c r="F328" i="125" s="1"/>
  <c r="A338" i="125" s="1"/>
  <c r="A298" i="125"/>
  <c r="S16" i="63"/>
  <c r="S15" i="63" s="1"/>
  <c r="Q15" i="63"/>
  <c r="V31" i="3"/>
  <c r="V16" i="3" s="1"/>
  <c r="T28" i="108"/>
  <c r="S51" i="108"/>
  <c r="O19" i="86" s="1"/>
  <c r="P19" i="86" s="1"/>
  <c r="S19" i="86" s="1"/>
  <c r="V19" i="86" s="1"/>
  <c r="P27" i="5"/>
  <c r="N12" i="5"/>
  <c r="H23" i="71"/>
  <c r="H12" i="114"/>
  <c r="O30" i="91"/>
  <c r="O53" i="91" s="1"/>
  <c r="S18" i="86" s="1"/>
  <c r="V18" i="86" s="1"/>
  <c r="M53" i="91"/>
  <c r="P18" i="86" s="1"/>
  <c r="N19" i="63"/>
  <c r="N24" i="63" s="1"/>
  <c r="Y19" i="64"/>
  <c r="Y24" i="64" s="1"/>
  <c r="N25" i="63" s="1"/>
  <c r="N26" i="63" s="1"/>
  <c r="Z20" i="64"/>
  <c r="U71" i="3" l="1"/>
  <c r="V89" i="3"/>
  <c r="H13" i="71"/>
  <c r="H12" i="71" s="1"/>
  <c r="H37" i="71" s="1"/>
  <c r="K99" i="114"/>
  <c r="F338" i="125"/>
  <c r="F366" i="125" s="1"/>
  <c r="A366" i="125"/>
  <c r="K27" i="71"/>
  <c r="H99" i="114"/>
  <c r="H101" i="114" s="1"/>
  <c r="Q100" i="114" s="1"/>
  <c r="O67" i="114"/>
  <c r="P67" i="114" s="1"/>
  <c r="O23" i="86"/>
  <c r="O17" i="86" s="1"/>
  <c r="O30" i="86" s="1"/>
  <c r="P24" i="86"/>
  <c r="S68" i="5"/>
  <c r="S67" i="5" s="1"/>
  <c r="P67" i="5"/>
  <c r="O50" i="114"/>
  <c r="N84" i="5"/>
  <c r="N92" i="5" s="1"/>
  <c r="S51" i="5"/>
  <c r="S50" i="5" s="1"/>
  <c r="P50" i="5"/>
  <c r="P21" i="86"/>
  <c r="S22" i="86"/>
  <c r="U28" i="108"/>
  <c r="U51" i="108" s="1"/>
  <c r="U33" i="110" s="1"/>
  <c r="T51" i="108"/>
  <c r="S27" i="5"/>
  <c r="S12" i="5" s="1"/>
  <c r="P12" i="5"/>
  <c r="Z19" i="64"/>
  <c r="Z24" i="64" s="1"/>
  <c r="O25" i="63" s="1"/>
  <c r="O26" i="63" s="1"/>
  <c r="AA20" i="64"/>
  <c r="N31" i="63"/>
  <c r="N27" i="63"/>
  <c r="AB20" i="64"/>
  <c r="X92" i="3" l="1"/>
  <c r="K29" i="71"/>
  <c r="K37" i="71" s="1"/>
  <c r="K101" i="114"/>
  <c r="Q101" i="114"/>
  <c r="G12" i="71"/>
  <c r="G37" i="71" s="1"/>
  <c r="U89" i="3"/>
  <c r="X91" i="3"/>
  <c r="K9" i="125"/>
  <c r="W51" i="108"/>
  <c r="A377" i="125"/>
  <c r="F388" i="125"/>
  <c r="A388" i="125"/>
  <c r="F377" i="125"/>
  <c r="U50" i="5"/>
  <c r="P23" i="86"/>
  <c r="P17" i="86" s="1"/>
  <c r="P30" i="86" s="1"/>
  <c r="S24" i="86"/>
  <c r="P84" i="5"/>
  <c r="P92" i="5" s="1"/>
  <c r="V22" i="86"/>
  <c r="S21" i="86"/>
  <c r="V12" i="5"/>
  <c r="S84" i="5"/>
  <c r="AA19" i="64"/>
  <c r="AA24" i="64" s="1"/>
  <c r="O20" i="63"/>
  <c r="AD20" i="64"/>
  <c r="AB19" i="64"/>
  <c r="AB24" i="64" s="1"/>
  <c r="Q25" i="63" s="1"/>
  <c r="Q26" i="63" s="1"/>
  <c r="AC20" i="64"/>
  <c r="AC19" i="64" s="1"/>
  <c r="AC24" i="64" s="1"/>
  <c r="M32" i="141" l="1"/>
  <c r="N32" i="141" s="1"/>
  <c r="V24" i="86"/>
  <c r="S23" i="86"/>
  <c r="V23" i="86" s="1"/>
  <c r="Z23" i="86" s="1"/>
  <c r="V21" i="86"/>
  <c r="S92" i="5"/>
  <c r="W84" i="5"/>
  <c r="AD19" i="64"/>
  <c r="AD24" i="64" s="1"/>
  <c r="R25" i="63" s="1"/>
  <c r="R26" i="63" s="1"/>
  <c r="AF20" i="64"/>
  <c r="AF19" i="64" s="1"/>
  <c r="AF24" i="64" s="1"/>
  <c r="O19" i="63"/>
  <c r="O24" i="63" s="1"/>
  <c r="Q20" i="63"/>
  <c r="S17" i="86" l="1"/>
  <c r="S30" i="86" s="1"/>
  <c r="Q19" i="63"/>
  <c r="Q24" i="63" s="1"/>
  <c r="R20" i="63"/>
  <c r="R19" i="63" s="1"/>
  <c r="R24" i="63" s="1"/>
  <c r="O31" i="63"/>
  <c r="O27" i="63"/>
  <c r="V17" i="86" l="1"/>
  <c r="V30" i="86" s="1"/>
  <c r="S20" i="63"/>
  <c r="S19" i="63" s="1"/>
  <c r="S24" i="63" s="1"/>
  <c r="S31" i="63" s="1"/>
  <c r="R31" i="63"/>
  <c r="R27" i="63"/>
  <c r="Q27" i="63"/>
  <c r="Q31" i="63"/>
</calcChain>
</file>

<file path=xl/comments1.xml><?xml version="1.0" encoding="utf-8"?>
<comments xmlns="http://schemas.openxmlformats.org/spreadsheetml/2006/main">
  <authors>
    <author>Administrator</author>
  </authors>
  <commentList>
    <comment ref="B19" authorId="0">
      <text>
        <r>
          <rPr>
            <sz val="9"/>
            <color indexed="81"/>
            <rFont val="Tahoma"/>
            <family val="2"/>
          </rPr>
          <t xml:space="preserve">
tổ 3</t>
        </r>
      </text>
    </comment>
    <comment ref="B20" authorId="0">
      <text>
        <r>
          <rPr>
            <sz val="9"/>
            <color indexed="81"/>
            <rFont val="Tahoma"/>
            <family val="2"/>
          </rPr>
          <t xml:space="preserve">
tổ 3</t>
        </r>
      </text>
    </comment>
    <comment ref="B21" authorId="0">
      <text>
        <r>
          <rPr>
            <sz val="9"/>
            <color indexed="81"/>
            <rFont val="Tahoma"/>
            <family val="2"/>
          </rPr>
          <t xml:space="preserve">
tổ 3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B19" authorId="0">
      <text>
        <r>
          <rPr>
            <sz val="9"/>
            <color indexed="81"/>
            <rFont val="Tahoma"/>
            <family val="2"/>
          </rPr>
          <t xml:space="preserve">
tổ 3</t>
        </r>
      </text>
    </comment>
    <comment ref="B20" authorId="0">
      <text>
        <r>
          <rPr>
            <sz val="9"/>
            <color indexed="81"/>
            <rFont val="Tahoma"/>
            <family val="2"/>
          </rPr>
          <t xml:space="preserve">
tổ 3</t>
        </r>
      </text>
    </comment>
    <comment ref="B21" authorId="0">
      <text>
        <r>
          <rPr>
            <sz val="9"/>
            <color indexed="81"/>
            <rFont val="Tahoma"/>
            <family val="2"/>
          </rPr>
          <t xml:space="preserve">
tổ 3</t>
        </r>
      </text>
    </comment>
  </commentList>
</comments>
</file>

<file path=xl/comments3.xml><?xml version="1.0" encoding="utf-8"?>
<comments xmlns="http://schemas.openxmlformats.org/spreadsheetml/2006/main">
  <authors>
    <author>Admin</author>
  </authors>
  <commentList>
    <comment ref="U31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pc</author>
  </authors>
  <commentList>
    <comment ref="C11" authorId="0">
      <text>
        <r>
          <rPr>
            <b/>
            <sz val="9"/>
            <color indexed="81"/>
            <rFont val="Tahoma"/>
            <family val="2"/>
            <charset val="163"/>
          </rPr>
          <t>Điền số năm vào đây</t>
        </r>
      </text>
    </comment>
    <comment ref="C12" authorId="0">
      <text>
        <r>
          <rPr>
            <b/>
            <sz val="9"/>
            <color indexed="81"/>
            <rFont val="Tahoma"/>
            <family val="2"/>
            <charset val="163"/>
          </rPr>
          <t>Điền số tháng vào đây</t>
        </r>
      </text>
    </comment>
  </commentList>
</comments>
</file>

<file path=xl/comments5.xml><?xml version="1.0" encoding="utf-8"?>
<comments xmlns="http://schemas.openxmlformats.org/spreadsheetml/2006/main">
  <authors>
    <author>pc</author>
  </authors>
  <commentList>
    <comment ref="C11" authorId="0">
      <text>
        <r>
          <rPr>
            <b/>
            <sz val="9"/>
            <color indexed="81"/>
            <rFont val="Tahoma"/>
            <family val="2"/>
            <charset val="163"/>
          </rPr>
          <t>Điền số năm vào đây</t>
        </r>
      </text>
    </comment>
    <comment ref="C12" authorId="0">
      <text>
        <r>
          <rPr>
            <b/>
            <sz val="9"/>
            <color indexed="81"/>
            <rFont val="Tahoma"/>
            <family val="2"/>
            <charset val="163"/>
          </rPr>
          <t>Điền số tháng vào đây</t>
        </r>
      </text>
    </comment>
  </commentList>
</comments>
</file>

<file path=xl/comments6.xml><?xml version="1.0" encoding="utf-8"?>
<comments xmlns="http://schemas.openxmlformats.org/spreadsheetml/2006/main">
  <authors>
    <author>pc</author>
  </authors>
  <commentList>
    <comment ref="C8" authorId="0">
      <text>
        <r>
          <rPr>
            <b/>
            <sz val="9"/>
            <color indexed="81"/>
            <rFont val="Tahoma"/>
            <family val="2"/>
            <charset val="163"/>
          </rPr>
          <t>Điền số năm vào đây</t>
        </r>
      </text>
    </comment>
    <comment ref="C9" authorId="0">
      <text>
        <r>
          <rPr>
            <b/>
            <sz val="9"/>
            <color indexed="81"/>
            <rFont val="Tahoma"/>
            <family val="2"/>
            <charset val="163"/>
          </rPr>
          <t>Điền số tháng vào đây</t>
        </r>
      </text>
    </comment>
  </commentList>
</comments>
</file>

<file path=xl/comments7.xml><?xml version="1.0" encoding="utf-8"?>
<comments xmlns="http://schemas.openxmlformats.org/spreadsheetml/2006/main">
  <authors>
    <author>Administrator</author>
  </authors>
  <commentList>
    <comment ref="F3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272/22 qd-qsg</t>
        </r>
      </text>
    </comment>
  </commentList>
</comments>
</file>

<file path=xl/comments8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9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Thanh 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<sst xmlns="http://schemas.openxmlformats.org/spreadsheetml/2006/main" count="11499" uniqueCount="1862">
  <si>
    <t>CÔNG TY TNHH CỔ PHẦN QUASA - GERUCO</t>
  </si>
  <si>
    <t>STT</t>
  </si>
  <si>
    <t>Họ và Tên</t>
  </si>
  <si>
    <t>Lào</t>
  </si>
  <si>
    <t>Việt Nam</t>
  </si>
  <si>
    <t>Chức vụ</t>
  </si>
  <si>
    <t>Lương</t>
  </si>
  <si>
    <t>ĐVT</t>
  </si>
  <si>
    <t>BHXH</t>
  </si>
  <si>
    <t>Ký nhận</t>
  </si>
  <si>
    <t>Tổng cộng 
thu nhập</t>
  </si>
  <si>
    <t>Thuế
 TNCN</t>
  </si>
  <si>
    <t>Trích KP
 Công Đoàn</t>
  </si>
  <si>
    <t>Ngày 
Công</t>
  </si>
  <si>
    <t>Đơn 
Giá</t>
  </si>
  <si>
    <t>Thành
 Tiền</t>
  </si>
  <si>
    <t>Thực 
Nhận</t>
  </si>
  <si>
    <t>Ký 
Nhận</t>
  </si>
  <si>
    <t>USD</t>
  </si>
  <si>
    <t>Stt</t>
  </si>
  <si>
    <t>Họ và tên</t>
  </si>
  <si>
    <t>Tổng</t>
  </si>
  <si>
    <t>Hệ số</t>
  </si>
  <si>
    <t>Phụ cấp</t>
  </si>
  <si>
    <t>Thành tiền</t>
  </si>
  <si>
    <t>Tổng lương quy đổi
 USD - Kip</t>
  </si>
  <si>
    <t>Chức
 vụ</t>
  </si>
  <si>
    <t>LƯƠNG</t>
  </si>
  <si>
    <t xml:space="preserve">Thuế TNCN </t>
  </si>
  <si>
    <t>Thực nhận</t>
  </si>
  <si>
    <t>Lương chăm sóc</t>
  </si>
  <si>
    <t>Lương sản lượng</t>
  </si>
  <si>
    <t>Phụ cấp khai thác</t>
  </si>
  <si>
    <t xml:space="preserve">Lào </t>
  </si>
  <si>
    <t>Đơn
 giá</t>
  </si>
  <si>
    <t>Thành 
tiền</t>
  </si>
  <si>
    <t xml:space="preserve">Mủ tạp
 quy
khô
</t>
  </si>
  <si>
    <t xml:space="preserve">Hạng
kỹ
thuật
</t>
  </si>
  <si>
    <t>Thành
tiền</t>
  </si>
  <si>
    <t>Phụ cấp ngày công (25.000)</t>
  </si>
  <si>
    <t>CNKT</t>
  </si>
  <si>
    <t>Grand Total</t>
  </si>
  <si>
    <t>NGƯỜI LẬP</t>
  </si>
  <si>
    <t>Tổng  
công</t>
  </si>
  <si>
    <t>PHÒNG TC - HC</t>
  </si>
  <si>
    <t>PHÒNG TC - KT</t>
  </si>
  <si>
    <t>TỔNG GIÁM ĐỐC</t>
  </si>
  <si>
    <t>Tổng công</t>
  </si>
  <si>
    <t xml:space="preserve">Quy Khô </t>
  </si>
  <si>
    <t>Mủ tạp</t>
  </si>
  <si>
    <t>Ngày công</t>
  </si>
  <si>
    <t>Xác Nhận</t>
  </si>
  <si>
    <t>A</t>
  </si>
  <si>
    <t>C</t>
  </si>
  <si>
    <t>Xếp loại KT tính lương</t>
  </si>
  <si>
    <t>Hòa Bình - Độc Lập - Dân Chủ - Thống Nhất - Thịnh Vượng</t>
  </si>
  <si>
    <t>Lương 
sản lượng</t>
  </si>
  <si>
    <t>Phụ cấp 
khai thác</t>
  </si>
  <si>
    <t>VPNT Total</t>
  </si>
  <si>
    <t>ĐVT: Kip</t>
  </si>
  <si>
    <t>Tổng 
lương 
=(8)+(11)+(14)</t>
  </si>
  <si>
    <t xml:space="preserve">Tổng cộng 
thu nhập
 </t>
  </si>
  <si>
    <t>Bảo Vệ Total</t>
  </si>
  <si>
    <t xml:space="preserve">Tỷ giá: USD qua Kíp </t>
  </si>
  <si>
    <t xml:space="preserve">Tỷ giá Việt qua Kip </t>
  </si>
  <si>
    <t xml:space="preserve">Tỷ giá USD qua Kíp </t>
  </si>
  <si>
    <t>ì©</t>
  </si>
  <si>
    <t>§ˆ²¾¦¾ì¾¸</t>
  </si>
  <si>
    <t>§ˆ²¾¦¾¹¸¼©</t>
  </si>
  <si>
    <t>ª¿ÁÎÈ¤</t>
  </si>
  <si>
    <t>¸ñ­¤¾­</t>
  </si>
  <si>
    <t>À¤ò­Â©ì¾</t>
  </si>
  <si>
    <t>¹ö¸ÎÈ¸¨</t>
  </si>
  <si>
    <t>À¯ñ­À¤ò­</t>
  </si>
  <si>
    <t>À¤ò­À©õº­£ò©À¯ñ­À¤ò­¡ó®</t>
  </si>
  <si>
    <t>¦½¹¸ñ©©ó¡¾­</t>
  </si>
  <si>
    <t>ì¸´À¤ò­»ñ®</t>
  </si>
  <si>
    <t>º¾¡º­ì¾¨Ä©É</t>
  </si>
  <si>
    <t>À¤ò­£ñ¤¡¿´½®¾­</t>
  </si>
  <si>
    <t>À¤ò­»ñ®ªö¸¥ò¤</t>
  </si>
  <si>
    <t>À§ñ­»ñ®</t>
  </si>
  <si>
    <t>§ˆ²¾¦¾¹¸¼©­¾´</t>
  </si>
  <si>
    <t>ì¸´ì¾¨»ñ®</t>
  </si>
  <si>
    <t>£ñ¤¡¿´½®¾­</t>
  </si>
  <si>
    <t>»ñ®ªö¸¥ò¤</t>
  </si>
  <si>
    <t>ì¾£¾</t>
  </si>
  <si>
    <t>µ¾¤­Õ£ò©
ª¾´ºñ©ª¾
Á¹É¤</t>
  </si>
  <si>
    <t>§˜­Àªñ¡ ­ò¡</t>
  </si>
  <si>
    <t>º÷©Îø­ ¸ñ­¤¾­</t>
  </si>
  <si>
    <t>º÷©Îø­ ¸ñ­º¾êò©</t>
  </si>
  <si>
    <t xml:space="preserve">ì¸´À¤ò­
À©õº­ </t>
  </si>
  <si>
    <t>º¾¡º­ ì¾¨Ä©É</t>
  </si>
  <si>
    <t>B</t>
  </si>
  <si>
    <t>D</t>
  </si>
  <si>
    <t>Phạm Vũ Khiêm</t>
  </si>
  <si>
    <t>Lê Đinh Thanh Tuấn</t>
  </si>
  <si>
    <t>Dương Văn Việt</t>
  </si>
  <si>
    <t>Phạm Thị Hảo</t>
  </si>
  <si>
    <t>Lê Phước Thịnh</t>
  </si>
  <si>
    <t>Cấp dưỡng</t>
  </si>
  <si>
    <t>Văn Ma</t>
  </si>
  <si>
    <t>Thảo Xúc</t>
  </si>
  <si>
    <t>Lay</t>
  </si>
  <si>
    <t>Khăm</t>
  </si>
  <si>
    <t>Vắt Đi</t>
  </si>
  <si>
    <t>Bố Toong</t>
  </si>
  <si>
    <t>A Khên</t>
  </si>
  <si>
    <t xml:space="preserve">A Hôm </t>
  </si>
  <si>
    <t>La Nôi</t>
  </si>
  <si>
    <t>A Cơ</t>
  </si>
  <si>
    <t>A Tôn</t>
  </si>
  <si>
    <t>A Khay</t>
  </si>
  <si>
    <t xml:space="preserve">Chăn </t>
  </si>
  <si>
    <t xml:space="preserve">Hạng </t>
  </si>
  <si>
    <t>NÔNG TRƯỜNG 4 - ĐỘI SX SÊPON</t>
  </si>
  <si>
    <t>PHIẾU KIỂM TRA QUY TRÌNH KỸ THUẬT CẠO NGỮA VỎ NGUYÊN SINH THÁNG 08/2016</t>
  </si>
  <si>
    <t>Độ sâu
3 điểm xăm</t>
  </si>
  <si>
    <t>Lỗi và mức độ vi phạm kỹ thuật</t>
  </si>
  <si>
    <t>Tổng số
điểm bị trừ
(xếp hạng)</t>
  </si>
  <si>
    <t>Cạo
 sát</t>
  </si>
  <si>
    <t>Cạo phạm</t>
  </si>
  <si>
    <t>Cạo cạn</t>
  </si>
  <si>
    <t>Hao dăm</t>
  </si>
  <si>
    <t>Miệng cạo</t>
  </si>
  <si>
    <t>Vệ 
sinh
kém</t>
  </si>
  <si>
    <t>Cây
bỏ
cạo</t>
  </si>
  <si>
    <t>Tận
thu
kém</t>
  </si>
  <si>
    <t>Trang bi
chăm sóc
cây cạo
kém</t>
  </si>
  <si>
    <t>Trang bị
dụng cụ CN
không
đầy đủ</t>
  </si>
  <si>
    <t>Nặng</t>
  </si>
  <si>
    <t>Nhẹ</t>
  </si>
  <si>
    <t>Mỏng
dăm</t>
  </si>
  <si>
    <t>Dày
dăm
nhẹ</t>
  </si>
  <si>
    <t>Dày
dăm
nặng</t>
  </si>
  <si>
    <t>Không vuông</t>
  </si>
  <si>
    <t>Lệch</t>
  </si>
  <si>
    <t>Gợn
sóng</t>
  </si>
  <si>
    <t>Không
lòng
máng</t>
  </si>
  <si>
    <t>//</t>
  </si>
  <si>
    <t>Λ</t>
  </si>
  <si>
    <t>V</t>
  </si>
  <si>
    <t>o</t>
  </si>
  <si>
    <t>x</t>
  </si>
  <si>
    <t>W</t>
  </si>
  <si>
    <t>∆</t>
  </si>
  <si>
    <t>s</t>
  </si>
  <si>
    <t>Điểm lỗi kỹ thuật bị trừ</t>
  </si>
  <si>
    <t>I</t>
  </si>
  <si>
    <t>II</t>
  </si>
  <si>
    <t>III</t>
  </si>
  <si>
    <t>X</t>
  </si>
  <si>
    <t>8B</t>
  </si>
  <si>
    <t>0-5</t>
  </si>
  <si>
    <t>6-10</t>
  </si>
  <si>
    <t>11-15</t>
  </si>
  <si>
    <t>16-20</t>
  </si>
  <si>
    <t>21-</t>
  </si>
  <si>
    <t>E</t>
  </si>
  <si>
    <t>3A</t>
  </si>
  <si>
    <t>2A</t>
  </si>
  <si>
    <t>4A</t>
  </si>
  <si>
    <t>PT. Nông Nghiệp</t>
  </si>
  <si>
    <t>Tổ trưởng</t>
  </si>
  <si>
    <t>Lô/ Số phần</t>
  </si>
  <si>
    <t>CÔNG TY TNHH CP QUASA - GERUCO</t>
  </si>
  <si>
    <t>CỘNG HÒA DÂN CHỦ NHÂN DÂN LÀO</t>
  </si>
  <si>
    <t>Ghi chú:</t>
  </si>
  <si>
    <t>THỦ TRƯỞNG ĐƠN VỊ</t>
  </si>
  <si>
    <t>TỔ TRƯỞNG</t>
  </si>
  <si>
    <t>Thiết kế miệng cạo</t>
  </si>
  <si>
    <t xml:space="preserve">CỘNG HÒA DÂN CHỦ NHÂN DÂN LÀO </t>
  </si>
  <si>
    <t>Hòa bình - Độc lập - Dân chủ - Thống nhất - Thịnh vượng</t>
  </si>
  <si>
    <t>( Từ ngày 01 tháng 08 năm 2016 đến ngày 25 tháng 08 năm 2016)</t>
  </si>
  <si>
    <t>Tên công nhân</t>
  </si>
  <si>
    <t>Địa chỉ</t>
  </si>
  <si>
    <t>Chi tiết công việc trong tháng</t>
  </si>
  <si>
    <t xml:space="preserve">Tổng tiền
ĐVT: Kíp </t>
  </si>
  <si>
    <t>Holua</t>
  </si>
  <si>
    <t>Keng Cốc</t>
  </si>
  <si>
    <t>K.Nhang</t>
  </si>
  <si>
    <t>B. Neo</t>
  </si>
  <si>
    <t>B. Rức</t>
  </si>
  <si>
    <t>B.Neo</t>
  </si>
  <si>
    <t>K.Cooc</t>
  </si>
  <si>
    <t>Tổng cộng</t>
  </si>
  <si>
    <t>PT. KẾ HOẠCH - V.TƯ</t>
  </si>
  <si>
    <t>Phụ cấp chủ nhật 
(10.000)</t>
  </si>
  <si>
    <t>TỔNG</t>
  </si>
  <si>
    <t>Công sản phẩm
30.000 Kíp</t>
  </si>
  <si>
    <t>Bằng chữ: Một triệu, hai trăm chín mươi ngàn, sáu trăm kíp</t>
  </si>
  <si>
    <t>CN KTCB Total</t>
  </si>
  <si>
    <t>Thủ Trưởng Đơn Vị</t>
  </si>
  <si>
    <t>Tổng xếp hạng KT tháng 8 năm 2016</t>
  </si>
  <si>
    <t>Sêpon, ngày 25  tháng 08  năm 2016</t>
  </si>
  <si>
    <t>ຟາມທິຮ່າວ</t>
  </si>
  <si>
    <t>ວັນມາ</t>
  </si>
  <si>
    <t>ຫວັດດີ</t>
  </si>
  <si>
    <t>ເລດ້າວ</t>
  </si>
  <si>
    <t>Bố Stoong</t>
  </si>
  <si>
    <t>A Ký</t>
  </si>
  <si>
    <t>A Hôm</t>
  </si>
  <si>
    <t>A Lý</t>
  </si>
  <si>
    <t>A Ngăn</t>
  </si>
  <si>
    <t>Chăn</t>
  </si>
  <si>
    <t>Bôi thuốc kích thích</t>
  </si>
  <si>
    <t>BẢNG TỔNG HỢP CÔNG SẢN XUẤT THEO TỪNG CÔNG NHÂN THÁNG 09 -2016 (VCKD)</t>
  </si>
  <si>
    <t>7B</t>
  </si>
  <si>
    <t>10B</t>
  </si>
  <si>
    <t>5A</t>
  </si>
  <si>
    <t>9B</t>
  </si>
  <si>
    <t>Ngày Tháng</t>
  </si>
  <si>
    <t>Mủ Nước để đông</t>
  </si>
  <si>
    <t>Mủ Tạp</t>
  </si>
  <si>
    <t>Mủ Đông Chén</t>
  </si>
  <si>
    <t>Tổng Quy khô
(kg)</t>
  </si>
  <si>
    <t>Ghi Chú</t>
  </si>
  <si>
    <t>Số lượng (kg)</t>
  </si>
  <si>
    <t>DRC (%)</t>
  </si>
  <si>
    <t>Quy khô NT</t>
  </si>
  <si>
    <t>Quy khô (kg)</t>
  </si>
  <si>
    <t>PT. NÔNG NGHIỆP</t>
  </si>
  <si>
    <t>Trang bị vật tư</t>
  </si>
  <si>
    <t>Cạo xã miệng</t>
  </si>
  <si>
    <t>BÁO CÁO SẢN LƯỢNG MỦ HÀNG NGÀY THÁNG 09 NĂM 2016</t>
  </si>
  <si>
    <t>Ký tên Công nhân</t>
  </si>
  <si>
    <t>Ly</t>
  </si>
  <si>
    <t>(Từ ngày 01 tháng 09 đến ngày 30 tháng 09 năm 2016)</t>
  </si>
  <si>
    <t>Ngày…01… Tháng…10…. Năm 2016</t>
  </si>
  <si>
    <t>Mưa nghĩ</t>
  </si>
  <si>
    <t>Mưa trôi mủ</t>
  </si>
  <si>
    <t>Chưa trút</t>
  </si>
  <si>
    <t>CN Khoán</t>
  </si>
  <si>
    <t>ĐƠN VỊ: ĐỘI SẢN XUẤT SÊPON</t>
  </si>
  <si>
    <t>Tổng lương</t>
  </si>
  <si>
    <t xml:space="preserve"> ĐƠN VỊ: ĐỘI SẢN XUẤT SÊPON</t>
  </si>
  <si>
    <t>ĐƠN VỊ:  ĐỘI SẢN XUẤT SÊPON</t>
  </si>
  <si>
    <t>ĐỘI SẢN XUẤT SÊPON</t>
  </si>
  <si>
    <t>CN</t>
  </si>
  <si>
    <t>Đội Trưởng</t>
  </si>
  <si>
    <t>MSNV</t>
  </si>
  <si>
    <t>00480</t>
  </si>
  <si>
    <t>00482</t>
  </si>
  <si>
    <t>00483</t>
  </si>
  <si>
    <t>00490</t>
  </si>
  <si>
    <t>00491</t>
  </si>
  <si>
    <t>00493</t>
  </si>
  <si>
    <t>00495</t>
  </si>
  <si>
    <t>Kíp</t>
  </si>
  <si>
    <t>Thành 
tiền
(Kíp)</t>
  </si>
  <si>
    <t>Phụ trách NN - KHVT</t>
  </si>
  <si>
    <t>Hòa bình- Độc lập-Dân chủ-Thống nhất-Thịnh vượng</t>
  </si>
  <si>
    <t>Đội sản xuất SêPôn</t>
  </si>
  <si>
    <t>00501</t>
  </si>
  <si>
    <t>Phụ cấp CN</t>
  </si>
  <si>
    <t>Mon</t>
  </si>
  <si>
    <t>Phêng</t>
  </si>
  <si>
    <t>VC KTCB</t>
  </si>
  <si>
    <t>PHÒNG TC-HC</t>
  </si>
  <si>
    <t xml:space="preserve">Bảo vệ </t>
  </si>
  <si>
    <t>CNK</t>
  </si>
  <si>
    <t xml:space="preserve">Bảo vệ vườn cây Total </t>
  </si>
  <si>
    <t>Đinh</t>
  </si>
  <si>
    <t>ĐỘI SẢN XUÁT SÊPON</t>
  </si>
  <si>
    <t>CN khoán</t>
  </si>
  <si>
    <t>Chanh</t>
  </si>
  <si>
    <t>VC tái canh</t>
  </si>
  <si>
    <t>Stoong</t>
  </si>
  <si>
    <t>Quốc</t>
  </si>
  <si>
    <t>Rạng</t>
  </si>
  <si>
    <t>Phông</t>
  </si>
  <si>
    <t>Hăm</t>
  </si>
  <si>
    <t>Loon</t>
  </si>
  <si>
    <t>Tổ 1</t>
  </si>
  <si>
    <t>Tổ 2</t>
  </si>
  <si>
    <t>Thảo Chanh</t>
  </si>
  <si>
    <t>Phò Đan</t>
  </si>
  <si>
    <t>Phò Viu</t>
  </si>
  <si>
    <t>Phan Đình Hùng</t>
  </si>
  <si>
    <t>Văt Đi</t>
  </si>
  <si>
    <t>Gà</t>
  </si>
  <si>
    <t>Chăn Đi</t>
  </si>
  <si>
    <t>Savan</t>
  </si>
  <si>
    <t>Đêng</t>
  </si>
  <si>
    <t>Thông la</t>
  </si>
  <si>
    <t>00739</t>
  </si>
  <si>
    <t>00742</t>
  </si>
  <si>
    <t>00745</t>
  </si>
  <si>
    <t>00748</t>
  </si>
  <si>
    <t>00749</t>
  </si>
  <si>
    <t>00750</t>
  </si>
  <si>
    <t>00751</t>
  </si>
  <si>
    <t>00753</t>
  </si>
  <si>
    <t>00754</t>
  </si>
  <si>
    <t>00755</t>
  </si>
  <si>
    <t>00758</t>
  </si>
  <si>
    <t>00759</t>
  </si>
  <si>
    <t>00760</t>
  </si>
  <si>
    <t>00761</t>
  </si>
  <si>
    <t>00762</t>
  </si>
  <si>
    <r>
      <t xml:space="preserve">Hòa bình - </t>
    </r>
    <r>
      <rPr>
        <u/>
        <sz val="12"/>
        <rFont val="Times New Roman"/>
        <family val="1"/>
      </rPr>
      <t>Độc lập - Dân chủ - Thống nhất</t>
    </r>
    <r>
      <rPr>
        <sz val="12"/>
        <rFont val="Times New Roman"/>
        <family val="1"/>
      </rPr>
      <t xml:space="preserve"> - Thịnh vượng</t>
    </r>
  </si>
  <si>
    <t xml:space="preserve">Số ngày công </t>
  </si>
  <si>
    <t>Phép bệnh</t>
  </si>
  <si>
    <t>Không cạo</t>
  </si>
  <si>
    <t>Chuyên cần</t>
  </si>
  <si>
    <t>Điểm theo ngày công</t>
  </si>
  <si>
    <t>ABC Theo Hạng kỹ thuật</t>
  </si>
  <si>
    <t>Điểm quy trình kỹ thuật</t>
  </si>
  <si>
    <t xml:space="preserve"> Tổng điểm</t>
  </si>
  <si>
    <t>Xếp loại trong tháng</t>
  </si>
  <si>
    <t>Ghi chú</t>
  </si>
  <si>
    <t>Hạng kỹ thuật</t>
  </si>
  <si>
    <t>Điểm</t>
  </si>
  <si>
    <t>Tổng xếp loại</t>
  </si>
  <si>
    <t>Loại A</t>
  </si>
  <si>
    <t>Loại A 95-&gt;100</t>
  </si>
  <si>
    <t>Loại B</t>
  </si>
  <si>
    <t>Loại B 81-&gt;94</t>
  </si>
  <si>
    <t>Loại C</t>
  </si>
  <si>
    <t>Họ tên</t>
  </si>
  <si>
    <t>Nàng Cu lạp</t>
  </si>
  <si>
    <t>Thảo Pon</t>
  </si>
  <si>
    <t>TỔ 1</t>
  </si>
  <si>
    <t>TỔ 2</t>
  </si>
  <si>
    <t>Loại C 70-&gt;80</t>
  </si>
  <si>
    <t>ĐỘI SX SÊPON</t>
  </si>
  <si>
    <t>Chức
 Vụ</t>
  </si>
  <si>
    <t>00895</t>
  </si>
  <si>
    <t>00897</t>
  </si>
  <si>
    <t>00898</t>
  </si>
  <si>
    <t>00900</t>
  </si>
  <si>
    <t>NV PHÒNG KT - NN</t>
  </si>
  <si>
    <t>00756</t>
  </si>
  <si>
    <t>Thong</t>
  </si>
  <si>
    <t>Vườn cây kinh doanh</t>
  </si>
  <si>
    <t>00050</t>
  </si>
  <si>
    <t>ê ¹¤¸¼­ ´ò¤ ÁêÈÈ¤</t>
  </si>
  <si>
    <t>Nguyễn Minh Thành</t>
  </si>
  <si>
    <t>Lê Tấn Đắc Toại</t>
  </si>
  <si>
    <t>ດັກ ຕວ່າຍ</t>
  </si>
  <si>
    <t>00521</t>
  </si>
  <si>
    <t>Phụ trách NN-LĐTL</t>
  </si>
  <si>
    <t>Nguyễn Phạm Mỹ</t>
  </si>
  <si>
    <t>TỔNG CÔNG</t>
  </si>
  <si>
    <t>ĐƠN GIÁ (25,000 Kíp)</t>
  </si>
  <si>
    <t>THÀNH TIỀN</t>
  </si>
  <si>
    <t>GHI CHÚ</t>
  </si>
  <si>
    <t>HẠNG MỤC CÔNG VIỆC</t>
  </si>
  <si>
    <t>ly</t>
  </si>
  <si>
    <t>1</t>
  </si>
  <si>
    <t>2</t>
  </si>
  <si>
    <t>3</t>
  </si>
  <si>
    <t>5</t>
  </si>
  <si>
    <t>7</t>
  </si>
  <si>
    <t>Thay</t>
  </si>
  <si>
    <t>55</t>
  </si>
  <si>
    <t>Đào hố trồng mới</t>
  </si>
  <si>
    <t>Vận chuyển phân ra lô</t>
  </si>
  <si>
    <t>Bốc phân ra lô</t>
  </si>
  <si>
    <t>Vi la</t>
  </si>
  <si>
    <t>BẢN NGHIỆM THU KHỐI LƯỢNG CHI TIẾT THEO TỪNG CÔNG NHÂN</t>
  </si>
  <si>
    <t>Bôi thuốc KT
(Phần)</t>
  </si>
  <si>
    <t>Định mức</t>
  </si>
  <si>
    <t>Công</t>
  </si>
  <si>
    <t>Trang bi VT</t>
  </si>
  <si>
    <t>Xã miệng 
rong mương</t>
  </si>
  <si>
    <t>thiết kế đầu mùa cạo</t>
  </si>
  <si>
    <t>Tổng
 công</t>
  </si>
  <si>
    <t>Sepon , ngày26 tháng 08 năm 2017</t>
  </si>
  <si>
    <t>PHỤ TRÁCH NN</t>
  </si>
  <si>
    <t>NHÂN VIÊN NN</t>
  </si>
  <si>
    <t>Người Lập</t>
  </si>
  <si>
    <t>TỔ 3</t>
  </si>
  <si>
    <t>Nguyễn Văn Quang</t>
  </si>
  <si>
    <t>Nàng Chanh</t>
  </si>
  <si>
    <t>Vườn ươm</t>
  </si>
  <si>
    <t>Bón phân , thêm đất vào bầu</t>
  </si>
  <si>
    <t>Nhổ cỏ bầu</t>
  </si>
  <si>
    <t>Kg</t>
  </si>
  <si>
    <t>Thảo Chộ</t>
  </si>
  <si>
    <t>Nàng Khăm</t>
  </si>
  <si>
    <t>Thảo Vi</t>
  </si>
  <si>
    <t>Nàng Thong</t>
  </si>
  <si>
    <t>Thảo Súc</t>
  </si>
  <si>
    <t>Phun diêt cỏ</t>
  </si>
  <si>
    <t>Phun diệt cỏ đại trà</t>
  </si>
  <si>
    <t>Đào hố trồng dặm</t>
  </si>
  <si>
    <t>bốc bầu xuông xe , bứng bầu</t>
  </si>
  <si>
    <t>Sêpôn, Ngày 01 tháng 08 năm 2018</t>
  </si>
  <si>
    <t>BẢNG LƯƠNG CÔNG NHÂN CHĂM SÓC VƯỜN ƯƠM THÁNG 07 NĂM 2018</t>
  </si>
  <si>
    <t>(Bằng chữ: Tám trăm bốn tám ngàn, bảy trăm năm mươi kíp)</t>
  </si>
  <si>
    <t>Bón phân rãi</t>
  </si>
  <si>
    <t>tỉa chồi cắt dây leo</t>
  </si>
  <si>
    <t>CÔNG TY CỔ PHẦN QUASA - GERUCO</t>
  </si>
  <si>
    <t>Tổ 1,2,3</t>
  </si>
  <si>
    <t>Sêpôn, Ngày 01 tháng 11 năm 2018</t>
  </si>
  <si>
    <t>BẢNG LƯƠNG CÔNG NHÂN VƯỜN CÂY TÁI CANH THÁNG 10 NĂM 2018</t>
  </si>
  <si>
    <t>(Bằng chữ: bốn trăm bốn mươi mốt ngàn, hai trăm năm mươi kíp)</t>
  </si>
  <si>
    <t xml:space="preserve">                                                                                                                                                                                                          </t>
  </si>
  <si>
    <t>Phụ cấp bóc mủ</t>
  </si>
  <si>
    <t>Bi</t>
  </si>
  <si>
    <t>Nàng Ven</t>
  </si>
  <si>
    <t>Thảo Chôm</t>
  </si>
  <si>
    <t>Nàng Na</t>
  </si>
  <si>
    <t>Thảo Kỉ</t>
  </si>
  <si>
    <t>Thảo Sun Thon</t>
  </si>
  <si>
    <t>Thảo Kok</t>
  </si>
  <si>
    <t>Nàng Bun Non</t>
  </si>
  <si>
    <t>Thảo Khút</t>
  </si>
  <si>
    <t>Nàng Savan</t>
  </si>
  <si>
    <t>Thảo Vàng</t>
  </si>
  <si>
    <t>Thảo Quốc</t>
  </si>
  <si>
    <t>Nàng ly</t>
  </si>
  <si>
    <t>Thảo Rạng</t>
  </si>
  <si>
    <t>Thảo Vi la</t>
  </si>
  <si>
    <t>Nàng Thay</t>
  </si>
  <si>
    <t>Thảo Chăn Đi</t>
  </si>
  <si>
    <t>Thảo Sum</t>
  </si>
  <si>
    <t>Thảo Chứ</t>
  </si>
  <si>
    <t>mủ dây</t>
  </si>
  <si>
    <t>01871</t>
  </si>
  <si>
    <t>ທ ສຸກ</t>
  </si>
  <si>
    <t>01872</t>
  </si>
  <si>
    <t>ນ ນາ</t>
  </si>
  <si>
    <t>01892</t>
  </si>
  <si>
    <t>01875</t>
  </si>
  <si>
    <t>ທ ກອກ</t>
  </si>
  <si>
    <t>01874</t>
  </si>
  <si>
    <t>ເພັງ</t>
  </si>
  <si>
    <t>01873</t>
  </si>
  <si>
    <t>ສະຕອງ</t>
  </si>
  <si>
    <t>01876</t>
  </si>
  <si>
    <t>ມອນ</t>
  </si>
  <si>
    <t>01877</t>
  </si>
  <si>
    <t>ເງິນ</t>
  </si>
  <si>
    <t>ລອນ</t>
  </si>
  <si>
    <t>01879</t>
  </si>
  <si>
    <t>ທ ກີ່</t>
  </si>
  <si>
    <t>01880</t>
  </si>
  <si>
    <t>ທ ສົມ</t>
  </si>
  <si>
    <t>01894</t>
  </si>
  <si>
    <t>ທ ດິນ</t>
  </si>
  <si>
    <t>01895</t>
  </si>
  <si>
    <t>ທ ຫວ່າງ</t>
  </si>
  <si>
    <t>01896</t>
  </si>
  <si>
    <t>ທ ຈັນ</t>
  </si>
  <si>
    <t>01897</t>
  </si>
  <si>
    <t>ທ ກວັກ</t>
  </si>
  <si>
    <t>01898</t>
  </si>
  <si>
    <t>ທ ຈັນດີ</t>
  </si>
  <si>
    <t>01899</t>
  </si>
  <si>
    <t>ທ ຫລັ່ງ</t>
  </si>
  <si>
    <t>01900</t>
  </si>
  <si>
    <t>ນ ສະຫວັນ</t>
  </si>
  <si>
    <t>01901</t>
  </si>
  <si>
    <t>ທ ສູນທອນ</t>
  </si>
  <si>
    <t>01882</t>
  </si>
  <si>
    <t>ນ ລີ</t>
  </si>
  <si>
    <t>01902</t>
  </si>
  <si>
    <t>ພົງ</t>
  </si>
  <si>
    <t>01883</t>
  </si>
  <si>
    <t>ທອງລາ</t>
  </si>
  <si>
    <t>01884</t>
  </si>
  <si>
    <t>ຫຳ</t>
  </si>
  <si>
    <t>01885</t>
  </si>
  <si>
    <t>ທ ຄຸດ</t>
  </si>
  <si>
    <t>01886</t>
  </si>
  <si>
    <t>ນ ວັນ</t>
  </si>
  <si>
    <t>ທ ຈາບ</t>
  </si>
  <si>
    <t>ນ ກຸຫລາບ</t>
  </si>
  <si>
    <t>01889</t>
  </si>
  <si>
    <t>ທ ປອນ</t>
  </si>
  <si>
    <t>01890</t>
  </si>
  <si>
    <t>01891</t>
  </si>
  <si>
    <t>ນ ບຸນນອງ</t>
  </si>
  <si>
    <t>01893</t>
  </si>
  <si>
    <t>ທ ວັນ</t>
  </si>
  <si>
    <t>01903</t>
  </si>
  <si>
    <t>ທ ວີລະ</t>
  </si>
  <si>
    <t>01904</t>
  </si>
  <si>
    <t>ນ ໄທ</t>
  </si>
  <si>
    <t>01905</t>
  </si>
  <si>
    <t>Nàng Đôm</t>
  </si>
  <si>
    <t>ທ ໂຈ້</t>
  </si>
  <si>
    <t>01906</t>
  </si>
  <si>
    <t>ນ ຄຳ</t>
  </si>
  <si>
    <t>01907</t>
  </si>
  <si>
    <t>ທ ວີ</t>
  </si>
  <si>
    <t>01908</t>
  </si>
  <si>
    <t>ນ ທອງ</t>
  </si>
  <si>
    <t>01909</t>
  </si>
  <si>
    <t>ທ ຕາ</t>
  </si>
  <si>
    <t>01910</t>
  </si>
  <si>
    <t>ທ ຈື່</t>
  </si>
  <si>
    <t>01911</t>
  </si>
  <si>
    <t>ທ ທອງ</t>
  </si>
  <si>
    <t>01912</t>
  </si>
  <si>
    <t>ທ ເຢັນ</t>
  </si>
  <si>
    <t>ນ ຈັນ</t>
  </si>
  <si>
    <t>01914</t>
  </si>
  <si>
    <t>ທ ດຳດີ</t>
  </si>
  <si>
    <t>ທ ໂຈມ</t>
  </si>
  <si>
    <t>01916</t>
  </si>
  <si>
    <t>ນ ແວ່ນ</t>
  </si>
  <si>
    <t>01917</t>
  </si>
  <si>
    <t>ນ ດົມ</t>
  </si>
  <si>
    <t>01918</t>
  </si>
  <si>
    <t>Tên Lào</t>
  </si>
  <si>
    <t>Dò</t>
  </si>
  <si>
    <t>DANH SÁCH CÔNG NHÂN TỔ 1,2,3</t>
  </si>
  <si>
    <t>HỌ VÀ TÊN</t>
  </si>
  <si>
    <t>TÊN LÀO</t>
  </si>
  <si>
    <t>NĂM SINH</t>
  </si>
  <si>
    <t xml:space="preserve">BẢN </t>
  </si>
  <si>
    <t>HUYỆN</t>
  </si>
  <si>
    <t>TỈNH</t>
  </si>
  <si>
    <t>Ken Giang</t>
  </si>
  <si>
    <t>Se Pon</t>
  </si>
  <si>
    <t>Savanakhet</t>
  </si>
  <si>
    <t>Tổ1</t>
  </si>
  <si>
    <t>Hơ loa</t>
  </si>
  <si>
    <t>Phon Thon</t>
  </si>
  <si>
    <t>Champasak</t>
  </si>
  <si>
    <t>Bản Neo</t>
  </si>
  <si>
    <t>Kenh nhao</t>
  </si>
  <si>
    <t>Lon Xã</t>
  </si>
  <si>
    <t>Tổ2</t>
  </si>
  <si>
    <t>Thảo Đinh</t>
  </si>
  <si>
    <t>Nàng Ly</t>
  </si>
  <si>
    <t>Lon Sắc</t>
  </si>
  <si>
    <t>Thảo Văn</t>
  </si>
  <si>
    <t>Thảo vi la</t>
  </si>
  <si>
    <t>Nàng thay</t>
  </si>
  <si>
    <t>Tổ3</t>
  </si>
  <si>
    <t>Thảo Ta</t>
  </si>
  <si>
    <t>Nủn Cung</t>
  </si>
  <si>
    <t xml:space="preserve">Thảo Thong </t>
  </si>
  <si>
    <t>Cường</t>
  </si>
  <si>
    <t>vét rãnh, cuốc lổ bón phân</t>
  </si>
  <si>
    <t>Đào hố trồng dặm, chở bầu ra lô</t>
  </si>
  <si>
    <t>48 công nhân chính đứng phần chính</t>
  </si>
  <si>
    <t>CÔNG TY TNHH CỔ PHẦN  QUASA - GERUCO</t>
  </si>
  <si>
    <t>ĐỘI SẢN XUẤT SEPON</t>
  </si>
  <si>
    <t>TÊN BẢN</t>
  </si>
  <si>
    <t>CHỨC VỤ</t>
  </si>
  <si>
    <t>SỐ CÔNG NHÂN</t>
  </si>
  <si>
    <t>THỰC NHẬN</t>
  </si>
  <si>
    <t>KÝ NHẬN</t>
  </si>
  <si>
    <t>A Liệt</t>
  </si>
  <si>
    <t>Hơ Lua</t>
  </si>
  <si>
    <t>Trưởng bản</t>
  </si>
  <si>
    <t>Phò Kíc</t>
  </si>
  <si>
    <t>Keng Nhang</t>
  </si>
  <si>
    <t>Buôn Tiêm</t>
  </si>
  <si>
    <t>Keng Cóc</t>
  </si>
  <si>
    <t>Buôn Ma</t>
  </si>
  <si>
    <t>Rức</t>
  </si>
  <si>
    <t>Thông Xi</t>
  </si>
  <si>
    <t>Neo</t>
  </si>
  <si>
    <t>A Nhuôm</t>
  </si>
  <si>
    <t>Sung</t>
  </si>
  <si>
    <t>Phò Vừng</t>
  </si>
  <si>
    <t>A Xin</t>
  </si>
  <si>
    <t>La Hợi</t>
  </si>
  <si>
    <t>Sa Mun</t>
  </si>
  <si>
    <t>Khăm Son</t>
  </si>
  <si>
    <t>Hu San</t>
  </si>
  <si>
    <t>(Bằng chữ: Một triệu ba trăm năm mươi ngàn kíp)</t>
  </si>
  <si>
    <t xml:space="preserve">   PHÒNG TC -KT</t>
  </si>
  <si>
    <t xml:space="preserve">           PHÒNG TC - HC</t>
  </si>
  <si>
    <t>phát chồi</t>
  </si>
  <si>
    <t>Cắt dọn cây dưới đường dây điện</t>
  </si>
  <si>
    <t>(Bằng chữ: Hai triệu, bảy trăm ngàn kíp)</t>
  </si>
  <si>
    <t>( Bằng chữ: Năm trăm ngàn kíp)</t>
  </si>
  <si>
    <t xml:space="preserve">           TỔNG GIÁM ĐỐC                               PHÒNG TC-KT                                PHÒNG TC- HC                             THỦ TRƯỞNG ĐƠN VỊ                             NGƯỜI LẬP            </t>
  </si>
  <si>
    <t>CÔNG TY TNHH CỔ PHẦN QUASA - GERUCO LÀO</t>
  </si>
  <si>
    <t>BẢNG TỔNG HỢP CÔNG CÔNG VIỆC KHÁC THÁNG 06 NĂM 2020</t>
  </si>
  <si>
    <t xml:space="preserve"> ( Từ ngày 01/06/2020 đến ngày 30/06/2020)</t>
  </si>
  <si>
    <t>Huyện Sepon, ngày 01 tháng 07 năm 2020</t>
  </si>
  <si>
    <t>Nàng Lạ</t>
  </si>
  <si>
    <t>Thảo Pôn</t>
  </si>
  <si>
    <t>Thảo Khăm Phẩy</t>
  </si>
  <si>
    <t>Nàng Khỏn</t>
  </si>
  <si>
    <t>Thảo Toong</t>
  </si>
  <si>
    <t>Thảo Tùy</t>
  </si>
  <si>
    <t>BẢNG TỔNG HỢP CÔNG THỰC HIỆN THÁNG 07  NĂM 2020</t>
  </si>
  <si>
    <t xml:space="preserve">Phun diệt cỏ </t>
  </si>
  <si>
    <t>Bôi thuốc kích thich</t>
  </si>
  <si>
    <t>Sêpôn, Ngày 01 tháng 08 năm 2020</t>
  </si>
  <si>
    <t>BẢNG LƯƠNG CÁN BỘ NHÂN VIÊN THÁNG 07 NĂM 2020</t>
  </si>
  <si>
    <t>BẢNG LƯƠNG BẢO VỆ THÁNG 07 NĂM 2020</t>
  </si>
  <si>
    <t>BẢNG ĐỀ NGHỊ THANH TOÁN TIỀN HỖ TRỢ CHO TRƯỞNG BẢN THÁNG 07 NĂM 2020</t>
  </si>
  <si>
    <t>THÁNG 07</t>
  </si>
  <si>
    <t xml:space="preserve">                            Huyện sepon, ngày 01 tháng 08 năm 2020</t>
  </si>
  <si>
    <t>BẢNG PHÂN HẠNG KỸ THUẬT THÁNG 07 NĂM 2020</t>
  </si>
  <si>
    <t>Sepon , ngày 26 tháng 07 năm 2020</t>
  </si>
  <si>
    <t>(Bằng chữ: Mười bốn triệu, hai trăm ba mươi tám ngàn, ba trăm ba mươi kíp)</t>
  </si>
  <si>
    <t>Vệ sinh chén nhưa</t>
  </si>
  <si>
    <t>Vệ sinh mặt cạo</t>
  </si>
  <si>
    <t>Tổng thu nhập</t>
  </si>
  <si>
    <t>Tổng thu nhập (USD)</t>
  </si>
  <si>
    <t>Nàng Phìn</t>
  </si>
  <si>
    <t>Sa Muôn</t>
  </si>
  <si>
    <t>CÔNG TY TNHH CỔ PHẦN QUASA-GERUCO LÀO</t>
  </si>
  <si>
    <t>Tỷ giá: USD qua LAK</t>
  </si>
  <si>
    <t>Tỷ giá: VND qua LAK</t>
  </si>
  <si>
    <t xml:space="preserve">Trích KP
công đoàn
</t>
  </si>
  <si>
    <t>(1)</t>
  </si>
  <si>
    <t>(2)</t>
  </si>
  <si>
    <t>(3)</t>
  </si>
  <si>
    <t>(4)</t>
  </si>
  <si>
    <t>(5)</t>
  </si>
  <si>
    <t>(6)</t>
  </si>
  <si>
    <t xml:space="preserve">TỔNG </t>
  </si>
  <si>
    <t>PHÒNG TC-KT</t>
  </si>
  <si>
    <t>NGƯỜI LẬP BIỂU</t>
  </si>
  <si>
    <t>ĐỘI TRƯỞNG</t>
  </si>
  <si>
    <t>BHXH-YT-TN
(USD)</t>
  </si>
  <si>
    <t>Tổng lương sau trừ BH
(USD)</t>
  </si>
  <si>
    <t>Thuế
TNCN
(USD)</t>
  </si>
  <si>
    <t>Truy lĩnh thuế TNCN tháng 01</t>
  </si>
  <si>
    <t>Trích KP
công đoàn
(USD)</t>
  </si>
  <si>
    <t>Thực nhận
(USD)</t>
  </si>
  <si>
    <t>Ngày
 làm việc</t>
  </si>
  <si>
    <t>Đvt</t>
  </si>
  <si>
    <t>8=(6/4)*5</t>
  </si>
  <si>
    <t>10=8-9</t>
  </si>
  <si>
    <t>12=10-11</t>
  </si>
  <si>
    <t>13=(10-11)*1%</t>
  </si>
  <si>
    <t>14=12-13</t>
  </si>
  <si>
    <t>TỔ TRƯỞNG KHAI THÁC</t>
  </si>
  <si>
    <t>CÁN BỘ QUẢN LÝ, PHỤC VỤ</t>
  </si>
  <si>
    <t>BẢNG LƯƠNG VƯỜN CÂY KTCB THÁNG 11 NĂM 2020</t>
  </si>
  <si>
    <t>Ngày 01  tháng 12 năm 2020</t>
  </si>
  <si>
    <t>(Bằng chữ: Một triệu, chín trăm chín mươi bốn ngàn kip)</t>
  </si>
  <si>
    <t>Ghi chú</t>
  </si>
  <si>
    <t>(7)</t>
  </si>
  <si>
    <t>(9)</t>
  </si>
  <si>
    <t>(10)</t>
  </si>
  <si>
    <t>Hồ Tiến Đạt</t>
  </si>
  <si>
    <t>Lái xe</t>
  </si>
  <si>
    <t>CÔNG TY TNHH CP QUASA-GERUCO</t>
  </si>
  <si>
    <t xml:space="preserve"> CỘNG HOÀ DÂN CHỦ NHÂN DÂN LÀO</t>
  </si>
  <si>
    <t>Lương ngày công</t>
  </si>
  <si>
    <t>Điểm ngày công</t>
  </si>
  <si>
    <t>Hạng kỹ thuật cạo</t>
  </si>
  <si>
    <t>Điểm kỹ thuật</t>
  </si>
  <si>
    <t>Tổng điểm</t>
  </si>
  <si>
    <t>Xếp hạng trong tháng</t>
  </si>
  <si>
    <t>Tổng mủ quy khô trong tháng</t>
  </si>
  <si>
    <t>Lương sản lượng trong tháng</t>
  </si>
  <si>
    <t>Tổng lương ngày công + sản lượng</t>
  </si>
  <si>
    <t>Khăm Bay</t>
  </si>
  <si>
    <t xml:space="preserve">On </t>
  </si>
  <si>
    <t>Thảo Thong</t>
  </si>
  <si>
    <t>Tạp vụ</t>
  </si>
  <si>
    <t>Tạp vụ Văn phòng</t>
  </si>
  <si>
    <t>Pun</t>
  </si>
  <si>
    <t>Hạng mục công việc khác</t>
  </si>
  <si>
    <t>Đơn giá
kíp</t>
  </si>
  <si>
    <t>Thành tiền
kíp</t>
  </si>
  <si>
    <t>Mủ dây</t>
  </si>
  <si>
    <t xml:space="preserve">Thảo Ken </t>
  </si>
  <si>
    <t>Thảo Sơm</t>
  </si>
  <si>
    <t>Nàng Bun Nhơn</t>
  </si>
  <si>
    <t xml:space="preserve">Thảo Khăm </t>
  </si>
  <si>
    <t xml:space="preserve">Nàng Lem </t>
  </si>
  <si>
    <t xml:space="preserve">Thảo Hen </t>
  </si>
  <si>
    <t>Thảo Khênh</t>
  </si>
  <si>
    <t>THÁNG 06</t>
  </si>
  <si>
    <t>Danh mục</t>
  </si>
  <si>
    <t>Số lượng</t>
  </si>
  <si>
    <t xml:space="preserve">Sản lượng thực hiện quy khô </t>
  </si>
  <si>
    <t>Sản lượng</t>
  </si>
  <si>
    <t>Xếp loại kỹ thuật A (đơn giá chuẩn)</t>
  </si>
  <si>
    <t>Xếp loại kỹ thuật B (đơn giá chuẩn)</t>
  </si>
  <si>
    <t>Xếp loại kỹ thuật C (đơn giá chuẩn)</t>
  </si>
  <si>
    <t>Tiền lương bảo vệ vườn cây</t>
  </si>
  <si>
    <t>TỔNG CỘNG:</t>
  </si>
  <si>
    <t xml:space="preserve">                            Huyện sepon, ngày 02 tháng 07 năm 2022</t>
  </si>
  <si>
    <t>BẢNG THANH TOÁN HỖ TRỢ TIỀN ĂN CB CNV THÁNG 05</t>
  </si>
  <si>
    <t>Đội trưởng</t>
  </si>
  <si>
    <t>PT KH - VT</t>
  </si>
  <si>
    <t>Lái Xe</t>
  </si>
  <si>
    <t>(Bằng chữ: một triệu, Không trăm năm mươi ngàn kíp)</t>
  </si>
  <si>
    <t>Hoà Bình - Độc Lập - Dân Chủ - Thống Nhất - Thịnh Vượng</t>
  </si>
  <si>
    <t>Nguyễn Thị Thùy Linh</t>
  </si>
  <si>
    <t>ĐỘI SẢN XUÁT SEPON</t>
  </si>
  <si>
    <t>ĐƠN VỊ:  ĐỘI SẢN XUẤT SEPON</t>
  </si>
  <si>
    <t>TỔNG CỘNG</t>
  </si>
  <si>
    <t>Tổng lương *80%</t>
  </si>
  <si>
    <t>mức lương bh bằng mức lương vùng nhân hệ số</t>
  </si>
  <si>
    <t>3070000*hệ số</t>
  </si>
  <si>
    <t>(8)</t>
  </si>
  <si>
    <t>(12)</t>
  </si>
  <si>
    <t>(13)</t>
  </si>
  <si>
    <t>(14)=(8)-(9)</t>
  </si>
  <si>
    <t>(16)=(11)*1%</t>
  </si>
  <si>
    <t>(17)</t>
  </si>
  <si>
    <t>(18)</t>
  </si>
  <si>
    <t>(11)=(7)-(8)-(9)</t>
  </si>
  <si>
    <t>Nguyễn Thị Thuỳ Linh</t>
  </si>
  <si>
    <t>Quy đổi</t>
  </si>
  <si>
    <t xml:space="preserve">Thuế
TNCN
</t>
  </si>
  <si>
    <t>Truy thu BHXH (USD)</t>
  </si>
  <si>
    <t>Sepon, ngày ……tháng 11 năm 2022</t>
  </si>
  <si>
    <t>Số 272 QĐ-QSG</t>
  </si>
  <si>
    <t>Sâm Mút</t>
  </si>
  <si>
    <t>Đơn giá</t>
  </si>
  <si>
    <t xml:space="preserve">      PHÒNG TC-HC                        PHÒNG KTNN</t>
  </si>
  <si>
    <t>BẢNG PHỤ CẤP CÔNG NHÂN TRỰC ĐÊM CHỐNG MẤT MỦ THÁNG 10 NĂM 2022</t>
  </si>
  <si>
    <t xml:space="preserve">    PHÒNG TC-HC</t>
  </si>
  <si>
    <t>Lâm ngân</t>
  </si>
  <si>
    <t>(Bằng chữ: Hai triệu, bốn trăm bảy mươi ba nghìn, hai trăm năm mươi kíp)</t>
  </si>
  <si>
    <t>Sâm Say</t>
  </si>
  <si>
    <t>Sepon, Ngày 01 tháng 01 năm 2023</t>
  </si>
  <si>
    <t>BẢNG LƯƠNG VƯỜN CÂY KTCB THÁNG 12 NĂM 2022</t>
  </si>
  <si>
    <t>Viết bằng chữ: Hai nghìn chín trăm lẻ năm Đô La Mỹ và mười sáu cent</t>
  </si>
  <si>
    <t>đúng</t>
  </si>
  <si>
    <t>còn trả lại cn</t>
  </si>
  <si>
    <t>sai</t>
  </si>
  <si>
    <t>cvk</t>
  </si>
  <si>
    <t>trưởng bản</t>
  </si>
  <si>
    <t>công an bản đen</t>
  </si>
  <si>
    <t>tiền đón trực tết</t>
  </si>
  <si>
    <t>tổng</t>
  </si>
  <si>
    <t xml:space="preserve"> </t>
  </si>
  <si>
    <t>-----oOo-----</t>
  </si>
  <si>
    <t>CÔNG TY TNHH CP QUASA - GERUCO LÀO</t>
  </si>
  <si>
    <t>Phước</t>
  </si>
  <si>
    <t>Nàng Khênh</t>
  </si>
  <si>
    <t>Sin Khăm</t>
  </si>
  <si>
    <t>A Kê</t>
  </si>
  <si>
    <t>A Suân</t>
  </si>
  <si>
    <t>Khỏn Savanh</t>
  </si>
  <si>
    <t>CÔNG TY TNHH CỔ PHẦN  QUASA - GERUCO LÀO</t>
  </si>
  <si>
    <t>Nàng Keo</t>
  </si>
  <si>
    <t>Truy thu BHXH tháng 1</t>
  </si>
  <si>
    <t>B.</t>
  </si>
  <si>
    <t>A.</t>
  </si>
  <si>
    <t>On</t>
  </si>
  <si>
    <t>Hăn</t>
  </si>
  <si>
    <t>H'Phơ</t>
  </si>
  <si>
    <t>Hôm</t>
  </si>
  <si>
    <t>Bơ Văn</t>
  </si>
  <si>
    <t>Đăm</t>
  </si>
  <si>
    <t>Ve</t>
  </si>
  <si>
    <t>Thảo Cơ</t>
  </si>
  <si>
    <t>Phò Đăm</t>
  </si>
  <si>
    <t>Phét</t>
  </si>
  <si>
    <t>Đao</t>
  </si>
  <si>
    <t>Say</t>
  </si>
  <si>
    <t>Khốc</t>
  </si>
  <si>
    <t>Kợt</t>
  </si>
  <si>
    <t>Thảo Xay</t>
  </si>
  <si>
    <t>Bố Em</t>
  </si>
  <si>
    <t>Truy thu</t>
  </si>
  <si>
    <t>Thảo Lay</t>
  </si>
  <si>
    <t>Nàng Lăm</t>
  </si>
  <si>
    <t>Nàng Ngột</t>
  </si>
  <si>
    <t>Thảo Linh</t>
  </si>
  <si>
    <t xml:space="preserve"> Lay</t>
  </si>
  <si>
    <t>Sao Vắt</t>
  </si>
  <si>
    <t xml:space="preserve">Nàng Chon </t>
  </si>
  <si>
    <t>Phết</t>
  </si>
  <si>
    <t xml:space="preserve">BHXH (8%)
</t>
  </si>
  <si>
    <t xml:space="preserve">BHTN (1,5%)      </t>
  </si>
  <si>
    <t>BHYT (1%)</t>
  </si>
  <si>
    <t>Thảo Tơi</t>
  </si>
  <si>
    <t>Xếp loại kỹ thuật C (đơn giá phụ cấp )</t>
  </si>
  <si>
    <t>Lương qui Kíp</t>
  </si>
  <si>
    <t>Tổng lương sau trừ BH (Kíp)</t>
  </si>
  <si>
    <t>Thảo Tôn</t>
  </si>
  <si>
    <t>(Theo Quyết định số 189/QD-QSG ngày 01/08/2023 về việc ban hành quy chế trả lương của Đội/ Tổ)</t>
  </si>
  <si>
    <t>Tổ/ Đội</t>
  </si>
  <si>
    <t>Đơn vị tính</t>
  </si>
  <si>
    <t>Tỷ lệ hoàn thành nhiệm vụ</t>
  </si>
  <si>
    <t>Mức lương hiện hưởng</t>
  </si>
  <si>
    <t>Mức lương thực hiện trong tháng</t>
  </si>
  <si>
    <t>Lao động</t>
  </si>
  <si>
    <t>Sản lượng</t>
  </si>
  <si>
    <t>Mức lương</t>
  </si>
  <si>
    <t xml:space="preserve">Phụ cấp </t>
  </si>
  <si>
    <t>Lương cơ bản</t>
  </si>
  <si>
    <t>Lương hưởng theo tỷ lệ lao động</t>
  </si>
  <si>
    <t>Phụ cấp hoàn thành sản lượng + vượt sản lượng</t>
  </si>
  <si>
    <t>(6)=(3)*50%</t>
  </si>
  <si>
    <t>(7)=(3)*50%*(1)</t>
  </si>
  <si>
    <t>(9)=(6)+(7)+(8)</t>
  </si>
  <si>
    <t>(12)=(9)-(11)</t>
  </si>
  <si>
    <t>Lương USD</t>
  </si>
  <si>
    <t>Tổ 3</t>
  </si>
  <si>
    <t xml:space="preserve">             PHÒNG TC-KT</t>
  </si>
  <si>
    <t>PHÒNG TC- HC</t>
  </si>
  <si>
    <t>Tổ/
 Đội</t>
  </si>
  <si>
    <t>Sản lượng giao kế hoạch tháng (tấn)</t>
  </si>
  <si>
    <t>Sản lượng thực hiện trong tháng (tấn)</t>
  </si>
  <si>
    <t xml:space="preserve">TỔ 1 </t>
  </si>
  <si>
    <t>Truy lãnh 
lương T7 +T8</t>
  </si>
  <si>
    <t>Lương 
tổ</t>
  </si>
  <si>
    <t>Truy lãnh
 lương T7 +T8</t>
  </si>
  <si>
    <t>THỦ TRƯỞNG ĐƠN VI</t>
  </si>
  <si>
    <t>Không hoàn thành 
kế hoạch sản lượng</t>
  </si>
  <si>
    <t>Tổng tiền lương</t>
  </si>
  <si>
    <t>Tiền lương tính thu nhập</t>
  </si>
  <si>
    <t>Tổng
 cộng</t>
  </si>
  <si>
    <t>TÊN CN</t>
  </si>
  <si>
    <t>TẠP</t>
  </si>
  <si>
    <t>TỔNG  CỘNG</t>
  </si>
  <si>
    <t xml:space="preserve">Phụ cấp bốc mủ 2 lát </t>
  </si>
  <si>
    <t>CÔNG TY TNHH CỔ PHẦN QUASA- GERUCO LÀO</t>
  </si>
  <si>
    <t>Tên công việc</t>
  </si>
  <si>
    <t>Khối lượng</t>
  </si>
  <si>
    <t>Số lần</t>
  </si>
  <si>
    <t>Ghi 
chú</t>
  </si>
  <si>
    <t>Lô</t>
  </si>
  <si>
    <t>KL</t>
  </si>
  <si>
    <t xml:space="preserve"> VƯỜN CÂY KINH DOANH</t>
  </si>
  <si>
    <t>SẢN LƯỢNG</t>
  </si>
  <si>
    <t>Tấn</t>
  </si>
  <si>
    <t>Quy khô</t>
  </si>
  <si>
    <t>PHỤ CẤP CẠO MỦ</t>
  </si>
  <si>
    <t>Phụ cấp ngày chủ nhật</t>
  </si>
  <si>
    <t>Ngày công đi cạo</t>
  </si>
  <si>
    <t>VCKD năm 7</t>
  </si>
  <si>
    <t>VCKD năm 8</t>
  </si>
  <si>
    <t>CÔNG BẢO VỆ</t>
  </si>
  <si>
    <t>Bảo vệ Lào 4 người chính thức</t>
  </si>
  <si>
    <t>ĐỘI TRƯỞNG ĐỘI SẢN XUẤT</t>
  </si>
  <si>
    <t>Đoàn nghiệm thu công ty:</t>
  </si>
  <si>
    <t>Ngày</t>
  </si>
  <si>
    <t>MS
NV</t>
  </si>
  <si>
    <t>Bộ 
phận</t>
  </si>
  <si>
    <t>P.TC -KT</t>
  </si>
  <si>
    <t>P.TC -HC</t>
  </si>
  <si>
    <t xml:space="preserve"> ĐƠN VỊ: ĐỘI SX SEPON</t>
  </si>
  <si>
    <t>Số kg qui khô đạt trong tháng</t>
  </si>
  <si>
    <t>Tiền thưởng
 (Kíp)</t>
  </si>
  <si>
    <t>1.1</t>
  </si>
  <si>
    <t>1.2</t>
  </si>
  <si>
    <t>NGƯỜI  LẬP</t>
  </si>
  <si>
    <t>Sepon,ngày 03 tháng 12 năm 2023</t>
  </si>
  <si>
    <t>TIỀN THƯỞNG  HOÀN THÀNH VƯỢT SẢN LƯỢNG 
THÁNG 11 NĂM 2023</t>
  </si>
  <si>
    <t>Cộng</t>
  </si>
  <si>
    <t>Xếp loại kỹ thuật A (đơn giá phụ cấp )</t>
  </si>
  <si>
    <t>Xếp loại kỹ thuật B (đơn giá phụ cấp )</t>
  </si>
  <si>
    <t>Xếp loại kỹ thuật D (đơn giá phụ cấp )</t>
  </si>
  <si>
    <t xml:space="preserve">BẢNG THANH TOÁN TIỀN THƯỞNG TẾT DƯƠNG LỊCH NĂM 2024 </t>
  </si>
  <si>
    <t xml:space="preserve">Tỷ giá: USD qua Kíp: </t>
  </si>
  <si>
    <t xml:space="preserve">Tỷ giá: Việt qua Kíp: </t>
  </si>
  <si>
    <t>Thành tiền (Kíp)</t>
  </si>
  <si>
    <t>Cán bộ quản lý, phục vụ</t>
  </si>
  <si>
    <t>Bảo vệ</t>
  </si>
  <si>
    <t>Huyện Noong, ngày 31 tháng 12 năm 2023</t>
  </si>
  <si>
    <t xml:space="preserve">Bộ phận </t>
  </si>
  <si>
    <t>Tạp vụ văn phòng</t>
  </si>
  <si>
    <t>BẢNG TÍNH LƯƠNG ĐỘI/TỔ TRƯỞNG, ĐỘI/TỔ PHÓ THÁNG 12/2023</t>
  </si>
  <si>
    <t>Truy lãnh lương T7 -T12</t>
  </si>
  <si>
    <t>Truy lãnh
 lương T7 -T12</t>
  </si>
  <si>
    <t>Truy lãnh lương tháng</t>
  </si>
  <si>
    <t>Tháng 7</t>
  </si>
  <si>
    <t>Tháng 9</t>
  </si>
  <si>
    <t>Tháng 10</t>
  </si>
  <si>
    <t>Tháng 11</t>
  </si>
  <si>
    <t xml:space="preserve">TỔ KHAI THÁC </t>
  </si>
  <si>
    <t>BẢNG KÊ TRUY LÃNH LƯƠNG  CB.CNV  T7 - T12  NĂM 2023</t>
  </si>
  <si>
    <t>Tháng 8</t>
  </si>
  <si>
    <t>Tháng 12</t>
  </si>
  <si>
    <t xml:space="preserve">           PHÒNG TC-KT</t>
  </si>
  <si>
    <t>Sepon, ngày 03 tháng 01  năm 2024</t>
  </si>
  <si>
    <t>Bằng chữ : Một nghìn ba trăm hai mươi ba Đô la Mỹ</t>
  </si>
  <si>
    <t>TẠP VỤ VĂN PHÒNG</t>
  </si>
  <si>
    <t>Tỷ giá: USD - LAK</t>
  </si>
  <si>
    <t>VND-LAK</t>
  </si>
  <si>
    <t>Số người</t>
  </si>
  <si>
    <t>Tổng 
lương 
(kip)</t>
  </si>
  <si>
    <t xml:space="preserve">BHXH
BHYT
BHTN 10.5%
</t>
  </si>
  <si>
    <t xml:space="preserve">Truy thu BHXH
BHYT
BHTN năm 2020
</t>
  </si>
  <si>
    <t>Tổng 
cộng 
 ( kip)</t>
  </si>
  <si>
    <t xml:space="preserve">Thuế 
TNCN </t>
  </si>
  <si>
    <t>Trích KP Công Đoàn</t>
  </si>
  <si>
    <t>Tổng thu nhập (Kíp)</t>
  </si>
  <si>
    <t>Truy lĩnh lương T7+T8</t>
  </si>
  <si>
    <t>Truy lãnh lương T8 - T12</t>
  </si>
  <si>
    <t>Tổng  lương</t>
  </si>
  <si>
    <t>Quy đổi 
USD-LAK</t>
  </si>
  <si>
    <t>Phụ cấp trách nhiệm</t>
  </si>
  <si>
    <t>BẢO VỆ</t>
  </si>
  <si>
    <t>VƯỜN CÂY KINH DOANH</t>
  </si>
  <si>
    <t>Lương công nhân  khai thác</t>
  </si>
  <si>
    <t>3.1</t>
  </si>
  <si>
    <t xml:space="preserve">TỔNG CỘNG </t>
  </si>
  <si>
    <t>PHÒNG TC- KT</t>
  </si>
  <si>
    <t>PHÒNG TC - HC</t>
  </si>
  <si>
    <t>2..1</t>
  </si>
  <si>
    <t>Tỷ giá Bath qua Kíp</t>
  </si>
  <si>
    <t>Lương (USD)</t>
  </si>
  <si>
    <t>Lương theo bậc</t>
  </si>
  <si>
    <t>Xa nhà</t>
  </si>
  <si>
    <t>Lương sản lượng thực hiện</t>
  </si>
  <si>
    <t>Sepon, ngày 03 tháng 02 năm 2024</t>
  </si>
  <si>
    <t xml:space="preserve">
Lương (USD)</t>
  </si>
  <si>
    <t xml:space="preserve">Xa nhà </t>
  </si>
  <si>
    <t>Lượng thực hiện trong tháng</t>
  </si>
  <si>
    <t>BẢNG THANH TOÁN LƯƠNG CB - CNV THÁNG 01 NĂM 2024</t>
  </si>
  <si>
    <t>Viết bằng chữ: Một nghìn bảy trăm linh bốn  Đô la Mỹ và năm cent</t>
  </si>
  <si>
    <t>BATH-LAK</t>
  </si>
  <si>
    <t>BẢNG KÊ CÁC KHOẢN TRÍCH THEO LƯƠNG THÁNG 01 NĂM 2024</t>
  </si>
  <si>
    <t xml:space="preserve">Số ngày </t>
  </si>
  <si>
    <t>Đơn giá 
( Kíp)</t>
  </si>
  <si>
    <t xml:space="preserve"> Thành tiền
( Kíp)</t>
  </si>
  <si>
    <t>CỘNG</t>
  </si>
  <si>
    <t>PHÒNG TC - KT</t>
  </si>
  <si>
    <t>NĂM</t>
  </si>
  <si>
    <t>THÁNG</t>
  </si>
  <si>
    <t>Mã NV</t>
  </si>
  <si>
    <t xml:space="preserve">                            Ngày/thứ
   Họ và tên</t>
  </si>
  <si>
    <t>NGƯƠI LẬP</t>
  </si>
  <si>
    <t>Hồ  Tiến Đạt</t>
  </si>
  <si>
    <t>Hoàng Tấn Tuận</t>
  </si>
  <si>
    <t>Nguyễn Văn Đông</t>
  </si>
  <si>
    <t>P</t>
  </si>
  <si>
    <t>ngày công đi làm</t>
  </si>
  <si>
    <t>Ngày 
công  đi làm</t>
  </si>
  <si>
    <t>Tổng ngày
công</t>
  </si>
  <si>
    <t>BẢNG CHẤM CÔNG  TIỀN XĂNG</t>
  </si>
  <si>
    <t>Thảo Mi</t>
  </si>
  <si>
    <t>Thảo Đăm</t>
  </si>
  <si>
    <t>VCKD năm 3</t>
  </si>
  <si>
    <t>VCKD năm 9</t>
  </si>
  <si>
    <t>4.1</t>
  </si>
  <si>
    <t>VƯỜN CÂY KTCB</t>
  </si>
  <si>
    <t>Lương tính theo tỷ lệ hoành thành sản lượng</t>
  </si>
  <si>
    <t>Lương thực hiện trong tháng</t>
  </si>
  <si>
    <t>IV</t>
  </si>
  <si>
    <t>Lương công nhân khoán</t>
  </si>
  <si>
    <t>P. TC - HC</t>
  </si>
  <si>
    <t>P.KT -NN</t>
  </si>
  <si>
    <t>Tỷ lệ hoàn thành sản lượng</t>
  </si>
  <si>
    <t>P.TC - KT</t>
  </si>
  <si>
    <t>(5)=250*(3)</t>
  </si>
  <si>
    <t>(3)=(2)/(1)*100%</t>
  </si>
  <si>
    <t>Huyện Nong, ngày 03 tháng 04 năm 2024</t>
  </si>
  <si>
    <t>Thảo Phét</t>
  </si>
  <si>
    <t>Thảo Hăm</t>
  </si>
  <si>
    <t>Nàng Đao</t>
  </si>
  <si>
    <t>Thảo Chòi</t>
  </si>
  <si>
    <t>Thảo Hôm</t>
  </si>
  <si>
    <t>Nàng Lam</t>
  </si>
  <si>
    <t>Thảo Khốc</t>
  </si>
  <si>
    <t>Thảo Sợt</t>
  </si>
  <si>
    <t>Thảo Tuỳ</t>
  </si>
  <si>
    <t>Nàng Chay</t>
  </si>
  <si>
    <t>Nàng Nơm</t>
  </si>
  <si>
    <t>Thảo Ây</t>
  </si>
  <si>
    <t>Thảo Âm Thong</t>
  </si>
  <si>
    <t>Thảo Phon Say</t>
  </si>
  <si>
    <t xml:space="preserve">Phụ cấp ngày công </t>
  </si>
  <si>
    <t>Phụ cấp chủ nhật</t>
  </si>
  <si>
    <t>CHĂM SÓC,TRANG BỊ</t>
  </si>
  <si>
    <t>Phần</t>
  </si>
  <si>
    <t>Nàng Hđao</t>
  </si>
  <si>
    <t>Nàng Kiên</t>
  </si>
  <si>
    <t>Thảo Ky Nọi</t>
  </si>
  <si>
    <t>Thảo Hơ Phơ</t>
  </si>
  <si>
    <t>Nàng Ọt</t>
  </si>
  <si>
    <t>Thào Tòng</t>
  </si>
  <si>
    <t>Nàng phon</t>
  </si>
  <si>
    <t>Nàng Pít</t>
  </si>
  <si>
    <t>Thảo Mai</t>
  </si>
  <si>
    <t>2.1</t>
  </si>
  <si>
    <t>3.2</t>
  </si>
  <si>
    <t>Xả miệng rong mương đóng máng</t>
  </si>
  <si>
    <t>Rút, vs máng dẫn mủ</t>
  </si>
  <si>
    <t>Phụ cấp cây non ngày BT</t>
  </si>
  <si>
    <t>Phụ cấp cây non ngày chủ nhật</t>
  </si>
  <si>
    <t>Sepon, ngày 01 tháng 05 năm 2024</t>
  </si>
  <si>
    <t>Kinh Kóc</t>
  </si>
  <si>
    <t>Nàng Nọi</t>
  </si>
  <si>
    <t>Thảo Tưng</t>
  </si>
  <si>
    <t>Phát chồi đại trà</t>
  </si>
  <si>
    <t>bôi kt</t>
  </si>
  <si>
    <t>Say Thong</t>
  </si>
  <si>
    <t>PC</t>
  </si>
  <si>
    <t>K</t>
  </si>
  <si>
    <t>BẢNG THANH TOÁN TIỀN PHỤ CẤP TIỀN XĂNG CB.CNV THÁNG 05 NĂM 2024</t>
  </si>
  <si>
    <t>Bằng chữ: tám trăm nghìn kíp</t>
  </si>
  <si>
    <t xml:space="preserve"> Nàng Ngột</t>
  </si>
  <si>
    <t>Thảo tít</t>
  </si>
  <si>
    <t>Thảo ớt</t>
  </si>
  <si>
    <t>Thảo phắt</t>
  </si>
  <si>
    <t>Thảo út</t>
  </si>
  <si>
    <t>Nàng ăm</t>
  </si>
  <si>
    <t>Thảo Lơ</t>
  </si>
  <si>
    <t>Chức  vụ</t>
  </si>
  <si>
    <t>Hòa Bình - Độc Lập - Dân Chủ -Thống Nhất - Thịnh Vượng</t>
  </si>
  <si>
    <t>-----o0o-----</t>
  </si>
  <si>
    <r>
      <t>Lưu ý</t>
    </r>
    <r>
      <rPr>
        <sz val="10"/>
        <rFont val="Times New Roman"/>
        <family val="1"/>
        <charset val="163"/>
      </rPr>
      <t>:  Các ngày nghỉ phép ( P ) được tính  như ngày làm việc</t>
    </r>
  </si>
  <si>
    <r>
      <t>Quy ước:</t>
    </r>
    <r>
      <rPr>
        <b/>
        <sz val="10"/>
        <rFont val="Times New Roman"/>
        <family val="1"/>
        <charset val="163"/>
      </rPr>
      <t xml:space="preserve">                        X</t>
    </r>
  </si>
  <si>
    <t xml:space="preserve">     Làm việc</t>
  </si>
  <si>
    <t xml:space="preserve">     Nghỉ phép</t>
  </si>
  <si>
    <t xml:space="preserve">     Nghỉ không phép (hoặc phép không lương) </t>
  </si>
  <si>
    <t>HS</t>
  </si>
  <si>
    <t xml:space="preserve">     Nghỉ khám chữa  bệnh ( 70 % lương hệ số )</t>
  </si>
  <si>
    <t>T</t>
  </si>
  <si>
    <t xml:space="preserve">     Nghĩ tết</t>
  </si>
  <si>
    <t>VN</t>
  </si>
  <si>
    <t xml:space="preserve">    Công tác VN</t>
  </si>
  <si>
    <t>TT</t>
  </si>
  <si>
    <t xml:space="preserve">   Trực tết</t>
  </si>
  <si>
    <t>ĐỘI  SẢN XUẤT SEPON</t>
  </si>
  <si>
    <t>Loại D</t>
  </si>
  <si>
    <t>Phụ cấp Chủ Nhật</t>
  </si>
  <si>
    <t>BẢNG LƯƠNG CÔNG NHÂN  TRỰC TIẾP NGƯỜI LÀO THÁNG 06 NĂM 2024</t>
  </si>
  <si>
    <t>Phạm Đắc Nhân</t>
  </si>
  <si>
    <t>Sepon, ngày 30 tháng 06 năm 2024</t>
  </si>
  <si>
    <t>Hòa bình – Độc lập – Dân chủ - Thống nhất – Thịnh vượng</t>
  </si>
  <si>
    <t>CÔNG TY TNHH CP QUASA GERUCO</t>
  </si>
  <si>
    <t>BIÊN BẢN NGHIỆM THU CHI TIẾT</t>
  </si>
  <si>
    <t>2. Hội đồng nghiệm thu :</t>
  </si>
  <si>
    <t>Tổ trưởng : Tổ 1</t>
  </si>
  <si>
    <t>Chức vụ : CNKT</t>
  </si>
  <si>
    <t xml:space="preserve">  Căn cứ vào các biên bản nghiệm thu hàng ngày (hoặc nhật ký) của nhóm ………………………………………..</t>
  </si>
  <si>
    <t>Đoàn đã tiến hành nghiệm thu hoàn thành các công việc thực hiện trong tháng cụ thể như sau :</t>
  </si>
  <si>
    <t>Ngày Nký/NT hàng ngày</t>
  </si>
  <si>
    <t>Tổng khối lượng</t>
  </si>
  <si>
    <t>ĐG công (kíp/công)</t>
  </si>
  <si>
    <t>Phụ cấp (kíp/công)</t>
  </si>
  <si>
    <t>Thành tiền (kíp)</t>
  </si>
  <si>
    <t>7=5/6</t>
  </si>
  <si>
    <t>10=7*(8+9)</t>
  </si>
  <si>
    <t>phần</t>
  </si>
  <si>
    <r>
      <t>Nhận xét, đánh giá, đề xuất của đoàn</t>
    </r>
    <r>
      <rPr>
        <sz val="12"/>
        <rFont val="Times New Roman"/>
        <family val="1"/>
      </rPr>
      <t>:</t>
    </r>
  </si>
  <si>
    <r>
      <t>1.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Công việc số 1: ……………………………………………</t>
    </r>
  </si>
  <si>
    <r>
      <t>2.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Công việc số 2: ……………………………………………</t>
    </r>
  </si>
  <si>
    <t xml:space="preserve">                                Đại diện công nhân </t>
  </si>
  <si>
    <t>4.Ông: Thảo Ê</t>
  </si>
  <si>
    <t>Tổ trưởng : Tổ 3</t>
  </si>
  <si>
    <t>Sepon, Ngày 30 tháng 06 năm 2024</t>
  </si>
  <si>
    <t>(Từ ngày 01/07/2024 đến ngày 31/07/2024)</t>
  </si>
  <si>
    <t>(59 người * 4 ngày công * 70.000 kíp/25.000 kíp)</t>
  </si>
  <si>
    <t>(59 người * 27 ngày công * 50.000 kíp/25.000 kíp)</t>
  </si>
  <si>
    <t>Phụ cấp ngày chủ nhật cạo vườn cây non</t>
  </si>
  <si>
    <t>(8 người * 4ngày công * 90.000 kíp/25.000 kíp)</t>
  </si>
  <si>
    <t>Ngày công đi cạo vườn cây non</t>
  </si>
  <si>
    <t>(8 người * 27 ngày công * 70.000 kíp/25.000 kíp)</t>
  </si>
  <si>
    <t>Gắn máng che mưa miệng cạo ngữa</t>
  </si>
  <si>
    <t>Gắn màng phủ chén</t>
  </si>
  <si>
    <t>1.3</t>
  </si>
  <si>
    <t>1.4</t>
  </si>
  <si>
    <t xml:space="preserve">Phát chồi đại trà </t>
  </si>
  <si>
    <t>Ha</t>
  </si>
  <si>
    <t>lô 1D</t>
  </si>
  <si>
    <t>lô 8A</t>
  </si>
  <si>
    <t>Lô 9</t>
  </si>
  <si>
    <t>1.5</t>
  </si>
  <si>
    <t>Bón phân (rãi)</t>
  </si>
  <si>
    <t>1D</t>
  </si>
  <si>
    <t>8A</t>
  </si>
  <si>
    <t>Đơn</t>
  </si>
  <si>
    <t>1E</t>
  </si>
  <si>
    <t>9A</t>
  </si>
  <si>
    <t>11A</t>
  </si>
  <si>
    <t>1.6</t>
  </si>
  <si>
    <t>Trộn phân đơn</t>
  </si>
  <si>
    <t>Phun thuốc diệt cỏ</t>
  </si>
  <si>
    <t>2.2</t>
  </si>
  <si>
    <t>2.3</t>
  </si>
  <si>
    <t>2.4</t>
  </si>
  <si>
    <t>2.5</t>
  </si>
  <si>
    <t>2.6</t>
  </si>
  <si>
    <t xml:space="preserve">Lô 8 </t>
  </si>
  <si>
    <t>bón phân</t>
  </si>
  <si>
    <t>2.7</t>
  </si>
  <si>
    <t>1C</t>
  </si>
  <si>
    <t>9C</t>
  </si>
  <si>
    <t>NPK</t>
  </si>
  <si>
    <t>7D</t>
  </si>
  <si>
    <t>2.8</t>
  </si>
  <si>
    <t>2.9</t>
  </si>
  <si>
    <t>3.3</t>
  </si>
  <si>
    <t>Gắn máng che mưa miệng cạo úp</t>
  </si>
  <si>
    <t>3.4</t>
  </si>
  <si>
    <t>3.5</t>
  </si>
  <si>
    <t>3.6</t>
  </si>
  <si>
    <t>Lô 10</t>
  </si>
  <si>
    <t>2B</t>
  </si>
  <si>
    <t>3B</t>
  </si>
  <si>
    <t>7C</t>
  </si>
  <si>
    <t>N1</t>
  </si>
  <si>
    <t>N4</t>
  </si>
  <si>
    <t>N2</t>
  </si>
  <si>
    <t>N5</t>
  </si>
  <si>
    <t>N3</t>
  </si>
  <si>
    <t>N6</t>
  </si>
  <si>
    <t>N8</t>
  </si>
  <si>
    <t>N7</t>
  </si>
  <si>
    <t>lô 2A</t>
  </si>
  <si>
    <t>4.2</t>
  </si>
  <si>
    <t>4.3</t>
  </si>
  <si>
    <t>1A</t>
  </si>
  <si>
    <t>5C</t>
  </si>
  <si>
    <t>1B</t>
  </si>
  <si>
    <t>5B</t>
  </si>
  <si>
    <t>CÔNG VIỆC KHÁC</t>
  </si>
  <si>
    <t>Phụ cấp vùng khó khăn</t>
  </si>
  <si>
    <t>Xếp loại kỹ thuật D (đơn giá chuẩn)</t>
  </si>
  <si>
    <t>Tiền lương chăm sóc vườn cây</t>
  </si>
  <si>
    <t>ĐỘI TRƯỞNG ĐỘI SEPON</t>
  </si>
  <si>
    <t>ĐỘI SÁN XUẤT SEPON</t>
  </si>
  <si>
    <t>PHIẾU KIỂM TRA QUY TRÌNH KỸ THUẬT CẠO NGỬA VỎ NGUYÊN SINH THÁNG 06 NĂM 2024</t>
  </si>
  <si>
    <t>Họ và tên/số phần
cây công nhân</t>
  </si>
  <si>
    <t>Tổng xếp hạng KT ngày ......tháng.......năm 2024</t>
  </si>
  <si>
    <t>Phòng KT-NN</t>
  </si>
  <si>
    <t>Đội trưởng đội Sepon</t>
  </si>
  <si>
    <t>Tổ Trưởng</t>
  </si>
  <si>
    <t>A +</t>
  </si>
  <si>
    <t>PHIẾU KIỂM TRA QUY TRÌNH KỸ THUẬT MIỆNG CẠO ÚP THÁNG......NĂM 2024</t>
  </si>
  <si>
    <t>Sepon, ngày      tháng       năm 2024</t>
  </si>
  <si>
    <t>PHIẾU KIỂM TRA QUY TRÌNH KỸ THUẬT CẠO NGỬA VỎ NGUYÊN SINH THÁNG ….. NĂM 2024</t>
  </si>
  <si>
    <t>Sepon, ngày... Tháng ... năm 2024</t>
  </si>
  <si>
    <t xml:space="preserve">  PHÒNG KT - NN</t>
  </si>
  <si>
    <t>cn1: đi cạo ngày chủ nhật vc năm 1</t>
  </si>
  <si>
    <t>x: ngày đi cạo</t>
  </si>
  <si>
    <t>cn: đi cạo ngày chủ nhật</t>
  </si>
  <si>
    <t>x1: ngày đi cạo bình thường vc năm 1</t>
  </si>
  <si>
    <t>I. Mủ Tạp</t>
  </si>
  <si>
    <t>Tổng mủ tạp</t>
  </si>
  <si>
    <t>II. Mủ Dây</t>
  </si>
  <si>
    <t>Tổng mủ dây</t>
  </si>
  <si>
    <t>Tổng mủ Tạp:</t>
  </si>
  <si>
    <t>kg</t>
  </si>
  <si>
    <t>DRC:</t>
  </si>
  <si>
    <t>%</t>
  </si>
  <si>
    <t>Tổng mủ dây:</t>
  </si>
  <si>
    <t>Quy khô:</t>
  </si>
  <si>
    <t>PHÒNG KT-NN</t>
  </si>
  <si>
    <t xml:space="preserve">TỔ </t>
  </si>
  <si>
    <t>(Bằng chữ: Một trăm lẻ hai triệu năm trăm lẻ tám nghìn tám trăm ba chín kíp)</t>
  </si>
  <si>
    <t>(Bằng chữ: Tám bốn triệu một trăm hai mươi nghìn tám trăm tám mốt kíp)</t>
  </si>
  <si>
    <t>(Bằng chữ: Hai mươi bảy triệu tám trăm năm chín nghìn chín trăm bảy lăm kíp)</t>
  </si>
  <si>
    <t>(Bằng chữ: Hai trăm hai bốn triệu một trăm tám chín nghìn sáu trăm chín lăm nghìn)</t>
  </si>
  <si>
    <t>Thảo Ê</t>
  </si>
  <si>
    <t xml:space="preserve">CNK </t>
  </si>
  <si>
    <t>Thảo e</t>
  </si>
  <si>
    <t>Tiền lương kinh doanh</t>
  </si>
  <si>
    <t>Tiền lương công nhân trực tiếp</t>
  </si>
  <si>
    <t>Lương chăm sóc (25.000 kíp/công)</t>
  </si>
  <si>
    <t>PHÒNG. KTNN</t>
  </si>
  <si>
    <t>Xếp hạng kỹ thuật</t>
  </si>
  <si>
    <t>HẠNG KỸ THUẬT</t>
  </si>
  <si>
    <t>SẢN LƯỢNG MỦ TẠP (kg)</t>
  </si>
  <si>
    <t>Mủ tạp (kg)</t>
  </si>
  <si>
    <t xml:space="preserve">Mủ tạp
 quy
khô (kg)
</t>
  </si>
  <si>
    <t>Phụ cấp ngày công 
vườn cây năm nhất</t>
  </si>
  <si>
    <t>Phụ cấp chủ nhật
vườn cây năm nhất</t>
  </si>
  <si>
    <t>Tiền lương còn lại</t>
  </si>
  <si>
    <t>BẢNG LƯƠNG CÔNG NHÂN  KHAI THÁC  THÁNG 06 NĂM 2024</t>
  </si>
  <si>
    <t>ĐVT: kíp</t>
  </si>
  <si>
    <t>Tổng tiền lương còn lại</t>
  </si>
  <si>
    <t>Ký tên</t>
  </si>
  <si>
    <t>NGÀY</t>
  </si>
  <si>
    <t>Lương chăm sóc (25000kip[/công)</t>
  </si>
  <si>
    <t>Lương chăm sóc (25000kip/công)</t>
  </si>
  <si>
    <t>Lương chăm sóc (25000kip/tháng)</t>
  </si>
  <si>
    <t>(Số tiền bẳng chữ: ba trăm ba sáu triệu tám trăm bốn lăm nghìn chín trăm bốn lăm kíp)</t>
  </si>
  <si>
    <t xml:space="preserve">Tổng 
lương 
</t>
  </si>
  <si>
    <t>----- ooOoo-----</t>
  </si>
  <si>
    <t xml:space="preserve"> Tài xế</t>
  </si>
  <si>
    <t xml:space="preserve">  PHÒNG TC - KT</t>
  </si>
  <si>
    <t xml:space="preserve">       PHÒNG TC - HC</t>
  </si>
  <si>
    <t>ĐÔI SẢN XUẤT SEPON</t>
  </si>
  <si>
    <t>Đoàn Văn Nghĩa</t>
  </si>
  <si>
    <t>Đvt: Kip</t>
  </si>
  <si>
    <t>Phụ cấp xăng xe</t>
  </si>
  <si>
    <t>BẢNG TỔNG HỢP CÔNG THỰC HIỆN THÁNG 07 NĂM 2024</t>
  </si>
  <si>
    <t>Sepon, Ngày 31 tháng 07 năm 2024</t>
  </si>
  <si>
    <t>BẢNG TỔNG HỢP SẢN LƯỢNG THÁNG 07 NĂM 2024</t>
  </si>
  <si>
    <t>Đội Sepon, ngày 31 tháng 07 năm 2024</t>
  </si>
  <si>
    <t>BẢNG LƯƠNG CÔNG NHÂN  TRỰC TIẾP NGƯỜI LÀO THÁNG 07 NĂM 2024</t>
  </si>
  <si>
    <t>BẢNG TỔNG HỢP CÔNG CẠO THÁNG 07 NĂM 2024</t>
  </si>
  <si>
    <t>BẢNG CHẤM CÔNG  BẢO VỆ  ĐỘI SX SEPON</t>
  </si>
  <si>
    <t>T Ô Vên</t>
  </si>
  <si>
    <t>Nàng Túc</t>
  </si>
  <si>
    <t>Thảo Say</t>
  </si>
  <si>
    <t>Thảo Cợt</t>
  </si>
  <si>
    <t>Nàng Túc 2</t>
  </si>
  <si>
    <t>Thong La</t>
  </si>
  <si>
    <t>Thảo kok</t>
  </si>
  <si>
    <t>Nàng Chon</t>
  </si>
  <si>
    <t>Bun han</t>
  </si>
  <si>
    <t>cn</t>
  </si>
  <si>
    <t>x1</t>
  </si>
  <si>
    <t>cn1</t>
  </si>
  <si>
    <t>May</t>
  </si>
  <si>
    <t>Mã số nhân viên</t>
  </si>
  <si>
    <t>Tiền lương</t>
  </si>
  <si>
    <r>
      <t>Tổng tiền lương</t>
    </r>
    <r>
      <rPr>
        <sz val="13"/>
        <rFont val="Times New Roman"/>
        <family val="1"/>
      </rPr>
      <t xml:space="preserve">
</t>
    </r>
  </si>
  <si>
    <t>BẢO VỆ VƯỜN CÂY</t>
  </si>
  <si>
    <t>Tổng tiền lương vườn cây kinh doanh (1)</t>
  </si>
  <si>
    <t>Tổng tiền lương bảo vệ vườn cây (2)</t>
  </si>
  <si>
    <t>ịi</t>
  </si>
  <si>
    <t>Tổng cộng (1)+(2)</t>
  </si>
  <si>
    <t>ĐỘI SX SEPON</t>
  </si>
  <si>
    <t>Hai</t>
  </si>
  <si>
    <t>Ba</t>
  </si>
  <si>
    <t>Tư</t>
  </si>
  <si>
    <t>Năm</t>
  </si>
  <si>
    <t>Sáu</t>
  </si>
  <si>
    <t>Bảy</t>
  </si>
  <si>
    <t xml:space="preserve">  Căn cứ vào các biên bản nghiệm thu hàng ngày (hoặc nhật ký) của nhóm Thảo Ê</t>
  </si>
  <si>
    <t>Xã Miệng cạo</t>
  </si>
  <si>
    <t>8=6/7</t>
  </si>
  <si>
    <t>Thảo Phết</t>
  </si>
  <si>
    <t>Bón phân</t>
  </si>
  <si>
    <t>Phát dọn vệ sinh khuôn viên đội</t>
  </si>
  <si>
    <t>KẾ HOẠCH  SẢN XUẤT THÁNG 08 NĂM 2024</t>
  </si>
  <si>
    <t>(Từ ngày 01/08/2024 đến ngày 31/08/2024)</t>
  </si>
  <si>
    <t>Danh mục</t>
  </si>
  <si>
    <t>Phát chồi</t>
  </si>
  <si>
    <t>Xịt thuốc</t>
  </si>
  <si>
    <t>Gắn mái</t>
  </si>
  <si>
    <t>gắn màng</t>
  </si>
  <si>
    <t>btkk</t>
  </si>
  <si>
    <t>xã</t>
  </si>
  <si>
    <t>ĐƠN</t>
  </si>
  <si>
    <t>kd</t>
  </si>
  <si>
    <t>ktcb</t>
  </si>
  <si>
    <t>Xả miệng cạo, rong mương, đóng máng úp (miệng mới)</t>
  </si>
  <si>
    <t>4B</t>
  </si>
  <si>
    <t>(4 người * 2.600.000 kip / 25.000 kíp)</t>
  </si>
  <si>
    <t xml:space="preserve">TỔNG CÔNG </t>
  </si>
  <si>
    <t>Sepon, ngày 01 tháng 08 năm  2024</t>
  </si>
  <si>
    <t xml:space="preserve">                    TỔNG GIÁM ĐỐC                 PHÒNG TC-KT                    PHÒNG TC-HC                   PHÒNG KH-XDCB                      PHÒNG KT-NN              </t>
  </si>
  <si>
    <t>BÁO CÁO  SẢN XUẤT THÁNG 07 NĂM 2024</t>
  </si>
  <si>
    <t>Địa điểm và khối lượng thực hiện</t>
  </si>
  <si>
    <t>Xả miệng cạo, rong mương, đóng máng  (miệng cạo mới)</t>
  </si>
  <si>
    <t>BTKK</t>
  </si>
  <si>
    <t>xã cạo</t>
  </si>
  <si>
    <t>xịt thuốc</t>
  </si>
  <si>
    <t>Thành Tiền</t>
  </si>
  <si>
    <t>Xả miệng cạo, rong mương, đóng máng miệng úp (miệng cạo mới)</t>
  </si>
  <si>
    <t>4.4</t>
  </si>
  <si>
    <t>15 công</t>
  </si>
  <si>
    <t>Đào hố phẫu diện</t>
  </si>
  <si>
    <t>1 Hố</t>
  </si>
  <si>
    <t xml:space="preserve">Cắt dọn cây rừng gãy đổ </t>
  </si>
  <si>
    <t>1 cây</t>
  </si>
  <si>
    <t>Sepon, ngày 31 tháng 07 năm  2024</t>
  </si>
  <si>
    <t xml:space="preserve">  TỔNG GIÁM ĐỐC                   PHÒNG TC-KT                     PHÒNG TC-HC                 PHÒNG KH-XDCB                  PHÒNG KT-NN        </t>
  </si>
  <si>
    <t>Kí nhận</t>
  </si>
  <si>
    <t>Tiền lương KTCB</t>
  </si>
  <si>
    <t>Vườn cây 2018</t>
  </si>
  <si>
    <t>Phụ cấp ngày công 
vườn cây non</t>
  </si>
  <si>
    <t>Phụ cấp chủ nhật
vườn cây non</t>
  </si>
  <si>
    <t>t3</t>
  </si>
  <si>
    <t xml:space="preserve">Thành 
tiền
</t>
  </si>
  <si>
    <t>(11)</t>
  </si>
  <si>
    <t>(15)</t>
  </si>
  <si>
    <t xml:space="preserve">Đơn giá </t>
  </si>
  <si>
    <t>Tổng tiền thực nhận</t>
  </si>
  <si>
    <t>Tiền lương tạm ứng theo sản lượng</t>
  </si>
  <si>
    <t>Phụ cấp chủ nhật vườn cây non</t>
  </si>
  <si>
    <t>(14)</t>
  </si>
  <si>
    <t>Truy lĩnh tháng 06</t>
  </si>
  <si>
    <t>Đvt: Usd</t>
  </si>
  <si>
    <t>Phụ cấp ngày công thường</t>
  </si>
  <si>
    <t>Phụ cấp ngày công chủ nhật</t>
  </si>
  <si>
    <t>Thảo Pheng</t>
  </si>
  <si>
    <t>Nang Lon</t>
  </si>
  <si>
    <t>Pha Xúc</t>
  </si>
  <si>
    <t>3.Ông:: Hoàng Hữu Huy</t>
  </si>
  <si>
    <t>1. Hôm nay, vào lúc 7 giờ 30 ngày 31 tháng 08 năm 2024. Tại văn phòng Đội sản xuất Sepon. Chúng tôi gồm có</t>
  </si>
  <si>
    <t>Từ 01/08 đến 31/08</t>
  </si>
  <si>
    <t>3.Ông:: Hồ Tất Minh Tâm</t>
  </si>
  <si>
    <t>Phụ trách Tổ 2</t>
  </si>
  <si>
    <t>3.Ông:: Dương Văn Việt</t>
  </si>
  <si>
    <t>Gắn máng chắn mưa</t>
  </si>
  <si>
    <t>miệng ngữa</t>
  </si>
  <si>
    <t>miệng úp</t>
  </si>
  <si>
    <t>Gia cố máng chắn mưa</t>
  </si>
  <si>
    <t>3.Ông: Hoàng Hữu Huy</t>
  </si>
  <si>
    <t>3.Ông: Dương Văn Việt</t>
  </si>
  <si>
    <t>Công sản phẩm</t>
  </si>
  <si>
    <t>PC ngày công đi cạo</t>
  </si>
  <si>
    <t>Sản lượng mủ</t>
  </si>
  <si>
    <t xml:space="preserve">Tạm ứng </t>
  </si>
  <si>
    <t>Tổng trừ:</t>
  </si>
  <si>
    <t xml:space="preserve">Còn lãnh </t>
  </si>
  <si>
    <t>BÁO CÁO  SẢN XUẤT THÁNG 08 NĂM 2024</t>
  </si>
  <si>
    <t>gắn mpc</t>
  </si>
  <si>
    <t>gắn mcm</t>
  </si>
  <si>
    <t>gia cố mcm</t>
  </si>
  <si>
    <t>Bôi thuốc KT</t>
  </si>
  <si>
    <t>Xã cạo</t>
  </si>
  <si>
    <t>diện tích/phần</t>
  </si>
  <si>
    <t>công</t>
  </si>
  <si>
    <t>thành tiền</t>
  </si>
  <si>
    <t>Phụ cấp ngày công đi cạo tổ 3</t>
  </si>
  <si>
    <t>Gia cố máng chắn mưa (miệng úp)</t>
  </si>
  <si>
    <t>2.10</t>
  </si>
  <si>
    <t xml:space="preserve">B </t>
  </si>
  <si>
    <t>Sepon, ngày 31 tháng 08 năm  2024</t>
  </si>
  <si>
    <t xml:space="preserve">                   TỔNG GIÁM ĐỐC                  PHÒNG TC-KT                        PHÒNG TC-HC                PHÒNG KH-XDCB                    PHÒNG KT-NN              </t>
  </si>
  <si>
    <t>KẾ HOẠCH  SẢN XUẤT THÁNG 09 NĂM 2024</t>
  </si>
  <si>
    <t>(Từ ngày 01/09/2024 đến ngày 30/09/2024)</t>
  </si>
  <si>
    <t>(43 người * 4 ngày công * 70.000 kíp/25.000 kíp)</t>
  </si>
  <si>
    <t>Phụ cấp ngày công đi cạo</t>
  </si>
  <si>
    <t>(43 người * 26 ngày công * 50.000 kíp/25.000 kíp)</t>
  </si>
  <si>
    <t>Phụ cấp ngày công đi cạo vườn cây non</t>
  </si>
  <si>
    <t>(8 người * 26 ngày công * 70.000 kíp/25.000 kíp)</t>
  </si>
  <si>
    <t>Phun cỏ</t>
  </si>
  <si>
    <t>gắn mái</t>
  </si>
  <si>
    <t>(16 người * 30 ngày công * 100.000 kíp/25.000 kíp)</t>
  </si>
  <si>
    <t>Phun thuốc diệt cỏ (VC 2018)</t>
  </si>
  <si>
    <t>Phun thuốc diệt cỏ (VC 2017)</t>
  </si>
  <si>
    <t>Phát chồi đại trà (VC 2018)</t>
  </si>
  <si>
    <t>Sepon, ngày 01 tháng 09 năm  2024</t>
  </si>
  <si>
    <t>Hoàng Hữu Huy</t>
  </si>
  <si>
    <t>Hồ Tất Minh Tâm</t>
  </si>
  <si>
    <t>Từ 01/08 đến 31/09</t>
  </si>
  <si>
    <t xml:space="preserve">SẢN LƯỢNG MỦ QUY KHÔ </t>
  </si>
  <si>
    <t>Phụ cấp ngày công tổ 3</t>
  </si>
  <si>
    <t>Từ 01/09 đến 30/09</t>
  </si>
  <si>
    <t>1. Hôm nay, vào lúc 7 giờ 30 ngày 30 tháng 09 năm 2024. Tại văn phòng Đội sản xuất Sepon. Chúng tôi gồm có</t>
  </si>
  <si>
    <t>Sepon, ngày 03 tháng 10 năm 2024</t>
  </si>
  <si>
    <t>Miệng ngữa</t>
  </si>
  <si>
    <t>Miệng úp</t>
  </si>
  <si>
    <t xml:space="preserve"> BẢNG LƯƠNG QUẢN  LÝ VÀ CÔNG NHÂN TRỰC TIẾP NGƯỜI LÀO THÁNG 09 NĂM 2024</t>
  </si>
  <si>
    <t xml:space="preserve">LƯƠNG THÁNG 09/2024   </t>
  </si>
  <si>
    <t>Kéo xe mắc lầy</t>
  </si>
  <si>
    <t xml:space="preserve">             CÔNG TY TNHH CỔ PHẦN QUASA - GERUCO LÀO</t>
  </si>
  <si>
    <t>Phụ trách Tổ 3</t>
  </si>
  <si>
    <t>BÁO CÁO  SẢN XUẤT THÁNG 09 NĂM 2024</t>
  </si>
  <si>
    <t>bôi thuốc</t>
  </si>
  <si>
    <t>kéo xe</t>
  </si>
  <si>
    <t>tiền</t>
  </si>
  <si>
    <t>Phát chồi đại trà ( VC 2018)</t>
  </si>
  <si>
    <t>48 công/(2 chuyến)</t>
  </si>
  <si>
    <t>Sepon, ngày 30 tháng 09 năm  2024</t>
  </si>
  <si>
    <t>KẾ HOẠCH  SẢN XUẤT THÁNG 10 NĂM 2024</t>
  </si>
  <si>
    <t>(Từ ngày 01/10/2024 đến ngày 31/10/2024)</t>
  </si>
  <si>
    <t>(43 người * 27 ngày công * 50.000 kíp/25.000 kíp)</t>
  </si>
  <si>
    <t>(16 người * 31 ngày công * 100.000 kíp/25.000 kíp)</t>
  </si>
  <si>
    <t>Phun thuốc diệt cỏ( 100% diện tích)</t>
  </si>
  <si>
    <t>KTCB</t>
  </si>
  <si>
    <t>Phun thuốc diệt cỏ( 80% diện tích)</t>
  </si>
  <si>
    <t>Xịt thuốc bao lô</t>
  </si>
  <si>
    <t>Nghiệm thu theo thực tế</t>
  </si>
  <si>
    <t>Phun thuốc diệt cỏ(100% diện tích)</t>
  </si>
  <si>
    <t>Phun thuốc diệt cỏ(80% diện tích)</t>
  </si>
  <si>
    <t>tổ 1</t>
  </si>
  <si>
    <t>tổ 2</t>
  </si>
  <si>
    <t>tổ 3</t>
  </si>
  <si>
    <t>Phun thuốc diệt cỏ(VC 2018)</t>
  </si>
  <si>
    <t>Phun thuốc diệt cỏ(VC 2017)</t>
  </si>
  <si>
    <t>Xử lý cây nghiêng</t>
  </si>
  <si>
    <t>Cây</t>
  </si>
  <si>
    <t xml:space="preserve">Dọn vệ sinh khuôn viên đội </t>
  </si>
  <si>
    <t>BẢNG THANH TOÁN HỔ TRỢ PHỤ CẤP TIỀN LƯƠNG CHO CÔNG NHÂN KHAI THÁC TRONG KỲ LƯƠNG THÁNG 09 NĂM 2024</t>
  </si>
  <si>
    <t>Số ngày công đi làm</t>
  </si>
  <si>
    <t>P. TC - KẾ TOÁN</t>
  </si>
  <si>
    <t>P. TC - HÀNH CHÍNH</t>
  </si>
  <si>
    <t>Sepon, ngày 02 tháng 10 năm 2024</t>
  </si>
  <si>
    <t>Số tiền bằng chữ : Ba mươi mốt triệu bốn trăm nghìn kíp.</t>
  </si>
  <si>
    <t>Số tiền bằng chữ: Năm trăm nghìn kíp.</t>
  </si>
  <si>
    <t>Phụ cấp khó khăn</t>
  </si>
  <si>
    <t xml:space="preserve">Lương phụ cấp khai thác </t>
  </si>
  <si>
    <t>Phụ cấp khai thác</t>
  </si>
  <si>
    <t>TIỀN LƯƠNG GIÁN TIẾP</t>
  </si>
  <si>
    <t>TIỀN LƯƠNG TRỰC TIẾP</t>
  </si>
  <si>
    <t>NVNN</t>
  </si>
  <si>
    <t>Hồ tiến Đạt</t>
  </si>
  <si>
    <t>Thuế</t>
  </si>
  <si>
    <t>Công đoàn</t>
  </si>
  <si>
    <t>Các khoản trừ</t>
  </si>
  <si>
    <t>Ủng hộ thiệt hại cơn bão số 3</t>
  </si>
  <si>
    <t xml:space="preserve">Tỉ giá USD qua Kíp </t>
  </si>
  <si>
    <t xml:space="preserve">Quy đổi kíp </t>
  </si>
  <si>
    <t>tổng trừ</t>
  </si>
  <si>
    <t>usd</t>
  </si>
  <si>
    <t>tổng usd</t>
  </si>
  <si>
    <t>còn lại</t>
  </si>
  <si>
    <t>Thuế TNCN</t>
  </si>
  <si>
    <t>(9)=(7)-(8)</t>
  </si>
  <si>
    <t>Tiền lương tạp vụ</t>
  </si>
  <si>
    <t xml:space="preserve">               TỔNG GIÁM ĐỐC                                       PHÒNG TC - KT                                                       PHÒNG TC - HC                                                     ĐỘI SẢN XUẤT SEPON  </t>
  </si>
  <si>
    <t>phun cỏ</t>
  </si>
  <si>
    <t>bao lô</t>
  </si>
  <si>
    <t>T1</t>
  </si>
  <si>
    <t>T2</t>
  </si>
  <si>
    <t>T3</t>
  </si>
  <si>
    <t>Phò Đắc</t>
  </si>
  <si>
    <t>Thảo Chay</t>
  </si>
  <si>
    <t>Thảo Uột</t>
  </si>
  <si>
    <t>Nàng Phon</t>
  </si>
  <si>
    <t>Nàng Ăm</t>
  </si>
  <si>
    <t>A Mai</t>
  </si>
  <si>
    <t>Thảo Út</t>
  </si>
  <si>
    <t>Thảo Phắt</t>
  </si>
  <si>
    <t>Bua Xay</t>
  </si>
  <si>
    <t xml:space="preserve">Tươi </t>
  </si>
  <si>
    <t>Ang</t>
  </si>
  <si>
    <t>Bun Ma</t>
  </si>
  <si>
    <t>A Pan</t>
  </si>
  <si>
    <t xml:space="preserve">Phút </t>
  </si>
  <si>
    <t>A Băn</t>
  </si>
  <si>
    <t xml:space="preserve">A kẻ </t>
  </si>
  <si>
    <t>A Têm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</si>
  <si>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</si>
  <si>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</si>
  <si>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</si>
  <si>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</si>
  <si>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</si>
  <si>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</si>
  <si>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</si>
  <si>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</si>
  <si>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</si>
  <si>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</si>
  <si>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</si>
  <si>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</si>
  <si>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Hằng</t>
  </si>
  <si>
    <t>Tý</t>
  </si>
  <si>
    <t>Lâm</t>
  </si>
  <si>
    <t>Cợt</t>
  </si>
  <si>
    <t>Cha Nang</t>
  </si>
  <si>
    <t>Khăm Le</t>
  </si>
  <si>
    <t>A Cả</t>
  </si>
  <si>
    <t>A Kết</t>
  </si>
  <si>
    <t>A Ba</t>
  </si>
  <si>
    <t>A Đôn</t>
  </si>
  <si>
    <t>A  Luân</t>
  </si>
  <si>
    <t>Nàng Piêu</t>
  </si>
  <si>
    <t>A Lung</t>
  </si>
  <si>
    <t>Thảo Ợt</t>
  </si>
  <si>
    <t>Nạng Sộn</t>
  </si>
  <si>
    <t>Thảo Tít</t>
  </si>
  <si>
    <t>T. kay kẹo</t>
  </si>
  <si>
    <t>A luỗi</t>
  </si>
  <si>
    <t>Nàng Chan</t>
  </si>
  <si>
    <t>A chang</t>
  </si>
  <si>
    <t>T.Loc</t>
  </si>
  <si>
    <t>Pết</t>
  </si>
  <si>
    <t>Ka Thinh</t>
  </si>
  <si>
    <t>T tin</t>
  </si>
  <si>
    <t>Tục</t>
  </si>
  <si>
    <t>Phai văn</t>
  </si>
  <si>
    <t>A nhom</t>
  </si>
  <si>
    <t>Păn</t>
  </si>
  <si>
    <t>Thui</t>
  </si>
  <si>
    <t>khoai</t>
  </si>
  <si>
    <t>ka te</t>
  </si>
  <si>
    <t>lăm</t>
  </si>
  <si>
    <t>nộc</t>
  </si>
  <si>
    <t>teo</t>
  </si>
  <si>
    <t>kui</t>
  </si>
  <si>
    <t>Két</t>
  </si>
  <si>
    <t>Éch</t>
  </si>
  <si>
    <t>Lơt</t>
  </si>
  <si>
    <t>Ừm</t>
  </si>
  <si>
    <t>Sai Khăm</t>
  </si>
  <si>
    <t>Xút Chay</t>
  </si>
  <si>
    <t>Khăm Đeng</t>
  </si>
  <si>
    <t>sau</t>
  </si>
  <si>
    <t>linh</t>
  </si>
  <si>
    <t>ninh</t>
  </si>
  <si>
    <t>pui</t>
  </si>
  <si>
    <t>Bun Nác</t>
  </si>
  <si>
    <t>Thảo Mút</t>
  </si>
  <si>
    <t>Xăm Phon</t>
  </si>
  <si>
    <t>Nàng Chăn A</t>
  </si>
  <si>
    <t>Phươn</t>
  </si>
  <si>
    <t>Điêu</t>
  </si>
  <si>
    <t>Cha Lon</t>
  </si>
  <si>
    <t>Me Đuông</t>
  </si>
  <si>
    <t>Soi</t>
  </si>
  <si>
    <t>Sắc</t>
  </si>
  <si>
    <t>Thảo La</t>
  </si>
  <si>
    <t>Khắn</t>
  </si>
  <si>
    <t>Nít Ni Lanh</t>
  </si>
  <si>
    <t>Ka Púc</t>
  </si>
  <si>
    <t>Lươn</t>
  </si>
  <si>
    <t>Me Son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</si>
  <si>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</si>
  <si>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</si>
  <si>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</si>
  <si>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</si>
  <si>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</si>
  <si>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</si>
  <si>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</si>
  <si>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</si>
  <si>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</si>
  <si>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</si>
  <si>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</si>
  <si>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</si>
  <si>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</si>
  <si>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</si>
  <si>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Thảo Long</t>
  </si>
  <si>
    <t>Thảo Bùa Khăm</t>
  </si>
  <si>
    <t>Thảo Séng</t>
  </si>
  <si>
    <t>A Nha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</si>
  <si>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</si>
  <si>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</si>
  <si>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</si>
  <si>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</si>
  <si>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</si>
  <si>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</si>
  <si>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</si>
  <si>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</si>
  <si>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</si>
  <si>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</si>
  <si>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</si>
  <si>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</si>
  <si>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</si>
  <si>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</si>
  <si>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</si>
  <si>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</si>
  <si>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</si>
  <si>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</si>
  <si>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Pon</t>
  </si>
  <si>
    <t>A Tha</t>
  </si>
  <si>
    <t>Xin Xay</t>
  </si>
  <si>
    <t>Von</t>
  </si>
  <si>
    <t>Tà Mai</t>
  </si>
  <si>
    <t>Thông May</t>
  </si>
  <si>
    <t>Nàng Pa Têng</t>
  </si>
  <si>
    <t>A Seo</t>
  </si>
  <si>
    <t>Thảo Ụ</t>
  </si>
  <si>
    <t>Thảo Vắt</t>
  </si>
  <si>
    <t>Căn Nha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</si>
  <si>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</si>
  <si>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</si>
  <si>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</si>
  <si>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</si>
  <si>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</si>
  <si>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</si>
  <si>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</si>
  <si>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</si>
  <si>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</si>
  <si>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</si>
  <si>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Bun No</t>
  </si>
  <si>
    <t>Kay Thong</t>
  </si>
  <si>
    <t>Mừn</t>
  </si>
  <si>
    <t>A Vun</t>
  </si>
  <si>
    <t>Ta Pa</t>
  </si>
  <si>
    <t>Xôm Phết</t>
  </si>
  <si>
    <t>Ôn</t>
  </si>
  <si>
    <t>Bun Mi</t>
  </si>
  <si>
    <t>Đốt</t>
  </si>
  <si>
    <t>P Lăng</t>
  </si>
  <si>
    <t>A Lay</t>
  </si>
  <si>
    <t>A Lóc</t>
  </si>
  <si>
    <t>Keo</t>
  </si>
  <si>
    <t>Ngân</t>
  </si>
  <si>
    <t>A Tay</t>
  </si>
  <si>
    <t>A Vêu</t>
  </si>
  <si>
    <t>A Long</t>
  </si>
  <si>
    <t>Tà Khơ</t>
  </si>
  <si>
    <t>Phò Xưa</t>
  </si>
  <si>
    <t>Tim</t>
  </si>
  <si>
    <t>BẢNG PHÂN TOÁN TIỀN LƯƠNG THÁNG 10 NĂM 2024</t>
  </si>
  <si>
    <t>Từ ngày 01/10/2024 đến ngày 31/10/2024</t>
  </si>
  <si>
    <t>Sepon, Ngày 02 tháng 11 năm 2024</t>
  </si>
  <si>
    <t>Vĩ Lay</t>
  </si>
  <si>
    <t>Sepon, ngày 31 tháng 10 năm 2024</t>
  </si>
  <si>
    <t>Sepon, ngày 02 tháng 11 năm 2024</t>
  </si>
  <si>
    <t>Từ 01/10 đến 31/10</t>
  </si>
  <si>
    <t>Giật cành cây nghiêng</t>
  </si>
  <si>
    <t>Mủ tạp quy khô (DRC 40%)</t>
  </si>
  <si>
    <t>Hạng kỹ thuật</t>
  </si>
  <si>
    <t>Quy khô (40%)</t>
  </si>
  <si>
    <t>Số tiền bằng chữ: Bốn triệu bảy trăm hai mươi nghìn chín trăm năm mươi tư kíp.</t>
  </si>
  <si>
    <t>BẢNG THEO DÕI SẢN LƯỢNG MỦ THÁNG 10 NĂM 2024 TẠM TÍNH DRC 40%</t>
  </si>
  <si>
    <t>t1</t>
  </si>
  <si>
    <t>t2</t>
  </si>
  <si>
    <t>Số tiền bằng chữ: Năm trăm bốn mươi bảy triệu một trăm tám mươi lăm nghìn tám trăm năm mươi tám kíp.</t>
  </si>
  <si>
    <t>BẢNG TẠM ỨNG LƯƠNG KHAI THÁC TỔ 3 THÁNG 10 NĂM 2024 (DRC TẠM TÍNH )</t>
  </si>
  <si>
    <t>----- o0o-----</t>
  </si>
  <si>
    <t>Đơn giá (kíp)</t>
  </si>
  <si>
    <t>Tổng tiền quyết toán (KIP)</t>
  </si>
  <si>
    <t>Chi phí tiếp khách</t>
  </si>
  <si>
    <t>Công việc khác</t>
  </si>
  <si>
    <t>Tiền hỗ trợ xe biển số 2421</t>
  </si>
  <si>
    <t>TỔNG GIÁM ĐỐC                    P. TC - KT                              P. TC - HC                                 ĐỘI TRƯỞNG</t>
  </si>
  <si>
    <t>SỐ CN TRONG BẢN</t>
  </si>
  <si>
    <t>Hòa Bình -Độc Lập  - Dân Chủ - Thống Nhất - Thịnh Vượng</t>
  </si>
  <si>
    <t>THUẾ TNCN</t>
  </si>
  <si>
    <t>tim</t>
  </si>
  <si>
    <t>Phò Văn</t>
  </si>
  <si>
    <t>Lắt</t>
  </si>
  <si>
    <t>T.Lệ</t>
  </si>
  <si>
    <t>N.Việt</t>
  </si>
  <si>
    <t>T.Tư</t>
  </si>
  <si>
    <t>1. Hôm nay, vào lúc 7 giờ 30 ngày 30 tháng 11 năm 2024. Tại văn phòng Đội sản xuất Sepon. Chúng tôi gồm có</t>
  </si>
  <si>
    <t>Từ 01/11 đến 30/11</t>
  </si>
  <si>
    <t>Viết bằng chữ: Ba triệu bảy trăm năm mươi nghìn kíp.</t>
  </si>
  <si>
    <t>Sepon, ngày 30 tháng 11 năm 2024</t>
  </si>
  <si>
    <t xml:space="preserve">thiếu </t>
  </si>
  <si>
    <t>k bôi</t>
  </si>
  <si>
    <t>Thảo lay</t>
  </si>
  <si>
    <t>Thảo khên</t>
  </si>
  <si>
    <t>Thảo khon</t>
  </si>
  <si>
    <t>Thảo nga</t>
  </si>
  <si>
    <t>Thảo lăm ma</t>
  </si>
  <si>
    <t>Ngày thường ( X)</t>
  </si>
  <si>
    <t>Ngày 
chủ nhật ( CN)</t>
  </si>
  <si>
    <t>Phụ cấp ngày công 
vườn cây năm nhất (X1)</t>
  </si>
  <si>
    <t>Phụ cấp chủ nhật
vườn cây năm nhất (CN1)</t>
  </si>
  <si>
    <t>BẢNG THEO DÕI SẢN LƯỢNG MỦ THÁNG 10 NĂM 2024</t>
  </si>
  <si>
    <t xml:space="preserve">Quy khô </t>
  </si>
  <si>
    <t>Phụ cấp Trưởng bản</t>
  </si>
  <si>
    <t>(14)=(5)+(9)+(13)</t>
  </si>
  <si>
    <t>Tiền lương tháng 10</t>
  </si>
  <si>
    <r>
      <t>Tổng tiền lương</t>
    </r>
    <r>
      <rPr>
        <sz val="12"/>
        <rFont val="Times New Roman"/>
        <family val="1"/>
      </rPr>
      <t xml:space="preserve">
</t>
    </r>
  </si>
  <si>
    <t>Thảo Văng</t>
  </si>
  <si>
    <t>Xay Thoong</t>
  </si>
  <si>
    <t>Xi</t>
  </si>
  <si>
    <t>Nhon</t>
  </si>
  <si>
    <t>Nàng Bát</t>
  </si>
  <si>
    <t>Dộc</t>
  </si>
  <si>
    <t>Thảo Ki</t>
  </si>
  <si>
    <t>Khăm A</t>
  </si>
  <si>
    <t>Ô</t>
  </si>
  <si>
    <t>Nui</t>
  </si>
  <si>
    <t>T. Chẹck</t>
  </si>
  <si>
    <t>N.cuối</t>
  </si>
  <si>
    <t>Sôm Đi</t>
  </si>
  <si>
    <t>Tiêm Thong</t>
  </si>
  <si>
    <t>Bun Nát</t>
  </si>
  <si>
    <t>Khăm Sung</t>
  </si>
  <si>
    <t>A Phăn</t>
  </si>
  <si>
    <t>Thong Chăn</t>
  </si>
  <si>
    <t>N.bich</t>
  </si>
  <si>
    <t>N.Em</t>
  </si>
  <si>
    <t>A.sụm</t>
  </si>
  <si>
    <t>Kan</t>
  </si>
  <si>
    <t>Phò A Khăm</t>
  </si>
  <si>
    <t>N. Văn ta</t>
  </si>
  <si>
    <t>N Nang</t>
  </si>
  <si>
    <t>T.Cớt</t>
  </si>
  <si>
    <t>Lọi</t>
  </si>
  <si>
    <t>Nút</t>
  </si>
  <si>
    <t>Sôm Phết</t>
  </si>
  <si>
    <t>Khăm Hăc</t>
  </si>
  <si>
    <t>Thiên</t>
  </si>
  <si>
    <t>Tọi</t>
  </si>
  <si>
    <t>lô</t>
  </si>
  <si>
    <t>phai sục</t>
  </si>
  <si>
    <t>pa tha nạ</t>
  </si>
  <si>
    <t>khăm lạ</t>
  </si>
  <si>
    <t>a nhi</t>
  </si>
  <si>
    <t>thăn va</t>
  </si>
  <si>
    <t>bua khăm</t>
  </si>
  <si>
    <t>miu</t>
  </si>
  <si>
    <t>T. Độ</t>
  </si>
  <si>
    <t>cọi</t>
  </si>
  <si>
    <t>lẹ</t>
  </si>
  <si>
    <t>Lăm Phon</t>
  </si>
  <si>
    <t>Pò Vy</t>
  </si>
  <si>
    <t>Lay Viêng</t>
  </si>
  <si>
    <t>Nọi</t>
  </si>
  <si>
    <t>Thỉa</t>
  </si>
  <si>
    <t>Nang Nọi</t>
  </si>
  <si>
    <t>Vy</t>
  </si>
  <si>
    <t>Khăm nọi</t>
  </si>
  <si>
    <t>Pheng sa văn</t>
  </si>
  <si>
    <t>Khăn tha ly</t>
  </si>
  <si>
    <t>Đuean</t>
  </si>
  <si>
    <t>săc</t>
  </si>
  <si>
    <t>Thong Súc</t>
  </si>
  <si>
    <t>Pheng Hắc</t>
  </si>
  <si>
    <t>Bun ma</t>
  </si>
  <si>
    <t>Lit</t>
  </si>
  <si>
    <t>Lăng A</t>
  </si>
  <si>
    <t>Tà</t>
  </si>
  <si>
    <t>Man</t>
  </si>
  <si>
    <t>Đăm (3)</t>
  </si>
  <si>
    <t>Ten</t>
  </si>
  <si>
    <t>Muôi</t>
  </si>
  <si>
    <t>Xi No (3)</t>
  </si>
  <si>
    <t>Ót</t>
  </si>
  <si>
    <t>Tha Mon Ta</t>
  </si>
  <si>
    <t>Tom</t>
  </si>
  <si>
    <t>Đen</t>
  </si>
  <si>
    <t>Nít</t>
  </si>
  <si>
    <t>Ka Te</t>
  </si>
  <si>
    <t>Son (3)</t>
  </si>
  <si>
    <t>In Đia</t>
  </si>
  <si>
    <t>Nàng Son</t>
  </si>
  <si>
    <t>Cong</t>
  </si>
  <si>
    <t>Khăm B</t>
  </si>
  <si>
    <t>Phum Hom</t>
  </si>
  <si>
    <t>Nàng Ta</t>
  </si>
  <si>
    <t>Lên</t>
  </si>
  <si>
    <t>Méo</t>
  </si>
  <si>
    <t>Thảo Ký</t>
  </si>
  <si>
    <t>Sét</t>
  </si>
  <si>
    <t>S Ting</t>
  </si>
  <si>
    <t>Thảo Sone</t>
  </si>
  <si>
    <t>Khăm Bun</t>
  </si>
  <si>
    <t>Nang Py</t>
  </si>
  <si>
    <t>Nang Ny</t>
  </si>
  <si>
    <t>Thảo Pha</t>
  </si>
  <si>
    <t>Khăn Ma</t>
  </si>
  <si>
    <t>Ki koi</t>
  </si>
  <si>
    <t>Laăm phone</t>
  </si>
  <si>
    <t>Nạ</t>
  </si>
  <si>
    <t>Lạn</t>
  </si>
  <si>
    <t>Pui</t>
  </si>
  <si>
    <t>Nộc</t>
  </si>
  <si>
    <t>Phăn</t>
  </si>
  <si>
    <t>Pany</t>
  </si>
  <si>
    <t>Lui</t>
  </si>
  <si>
    <t>Tụm</t>
  </si>
  <si>
    <t>Nừng</t>
  </si>
  <si>
    <t>Chang</t>
  </si>
  <si>
    <t>Phăng</t>
  </si>
  <si>
    <t>Lụng</t>
  </si>
  <si>
    <t>Ting</t>
  </si>
  <si>
    <t>A khăm</t>
  </si>
  <si>
    <t>Thinh</t>
  </si>
  <si>
    <t>1. Hôm nay, vào lúc 7 giờ 30 ngày 29 tháng 12 năm 2024. Tại văn phòng Đội sản xuất Sepon. Chúng tôi gồm có</t>
  </si>
  <si>
    <t>Từ 01/12 đến 29/12</t>
  </si>
  <si>
    <t>Sepon, ngày 02 tháng 01 năm 2025</t>
  </si>
  <si>
    <t>BẢNG ĐỀ NGHỊ THANH TOÁN TIỀN HỖ TRỢ CHO TRƯỞNG BẢN THÁNG 12 NĂM 2024</t>
  </si>
  <si>
    <t>THÁNG 12</t>
  </si>
  <si>
    <t>BẢNG LƯƠNG CÔNG NHÂN TRỰC TIẾP THÁNG 12 NĂM 2024</t>
  </si>
  <si>
    <t>Ngày 02 tháng 01 năm 2025</t>
  </si>
  <si>
    <t>ĐVT : Kíp</t>
  </si>
  <si>
    <t>Tên Công nhân</t>
  </si>
  <si>
    <t>Chức Vụ</t>
  </si>
  <si>
    <t xml:space="preserve">    NGƯỜI LẬP BIỂU</t>
  </si>
  <si>
    <t>Hồ Văn Tăng</t>
  </si>
  <si>
    <t>Hồ Văn Khoa</t>
  </si>
  <si>
    <t>Hồ Xa My</t>
  </si>
  <si>
    <t>Thảo chăn</t>
  </si>
  <si>
    <t>Ủi bao lô + ủi cục bộ</t>
  </si>
  <si>
    <t>Tỉ lệ % theo hạng kỹ thuật</t>
  </si>
  <si>
    <t>BẢNG CHẤM CÔNG CB-CNV</t>
  </si>
  <si>
    <t>Tiền lương phụ cấp CNKT người Việt</t>
  </si>
  <si>
    <t xml:space="preserve">LƯƠNG THÁNG 12/2024   </t>
  </si>
  <si>
    <t xml:space="preserve">          TỔNG GIÁM ĐỐC                                           PHÒNG TC - KT                                                  PHÒNG TC - HC                                                ĐỘI SẢN XUẤT SEPON  </t>
  </si>
  <si>
    <t>CHĂM SÓC, TRANG BỊ</t>
  </si>
  <si>
    <r>
      <t>m</t>
    </r>
    <r>
      <rPr>
        <vertAlign val="superscript"/>
        <sz val="12"/>
        <rFont val="Tahoma"/>
        <family val="1"/>
        <charset val="163"/>
        <scheme val="major"/>
      </rPr>
      <t>2</t>
    </r>
  </si>
  <si>
    <t>Bảo vệ thời vụ ( 10 người )</t>
  </si>
  <si>
    <t>(10 người * 2.600.000 kip / 25.000 kíp)</t>
  </si>
  <si>
    <t>Bằng chữ: Một triệu bảy trăm nghìn kíp.</t>
  </si>
  <si>
    <t>Khăm khay</t>
  </si>
  <si>
    <t>Xay Not</t>
  </si>
  <si>
    <t>Ket</t>
  </si>
  <si>
    <t>Lin</t>
  </si>
  <si>
    <t>N. Không</t>
  </si>
  <si>
    <t xml:space="preserve">Nang On Teng </t>
  </si>
  <si>
    <t>T. Đôn Ma</t>
  </si>
  <si>
    <t>T Nôn</t>
  </si>
  <si>
    <t>ທ້າວ ສີ</t>
  </si>
  <si>
    <t>Thảo Văn Vông</t>
  </si>
  <si>
    <t>Bun Chăn</t>
  </si>
  <si>
    <t>Phon Xi</t>
  </si>
  <si>
    <t>T. Vôn</t>
  </si>
  <si>
    <t>T. Ô Vên</t>
  </si>
  <si>
    <t>T. Sa Văn</t>
  </si>
  <si>
    <t>N. Pheng Mi</t>
  </si>
  <si>
    <t>N. Vạt</t>
  </si>
  <si>
    <t>T. Tích</t>
  </si>
  <si>
    <t>T. Bi Ly</t>
  </si>
  <si>
    <t>T . Bua Ngân</t>
  </si>
  <si>
    <t>T Căng</t>
  </si>
  <si>
    <t>Số tiền bằng chữ: Năm trăm bốn mươi bốn triệu một trăm chín mươi bảy nghìn bốn trăm bảy mươi sáu kíp.</t>
  </si>
  <si>
    <t>Ngày công trực Tết</t>
  </si>
  <si>
    <t>tt</t>
  </si>
  <si>
    <t>Sepon, ngày 31 tháng 01 năm 2025</t>
  </si>
  <si>
    <t>ngày trực Tết</t>
  </si>
  <si>
    <t>BẢNG PHÂN TOÁN TIỀN LƯƠNG THÁNG 01 NĂM 2025</t>
  </si>
  <si>
    <t>Sepon, ngày 03 tháng 02 năm 2025</t>
  </si>
  <si>
    <t>Từ ngày 01/01/2025 đến ngày 31/01/2025</t>
  </si>
  <si>
    <t>BẢNG THANH TOÁN TIỀN PHỤ CẤP  THÁNG 01 NĂM 2025</t>
  </si>
  <si>
    <t>BẢNG CHẤM CÔNG CẠO MỦ HẰNG NGÀY CÔNG NHÂN THÁNG 01 NĂM 2025</t>
  </si>
  <si>
    <t>X1</t>
  </si>
  <si>
    <t>x.</t>
  </si>
  <si>
    <t>Sepon, ngày  31 tháng 01 năm 2025</t>
  </si>
  <si>
    <t>BẢNG THEO DÕI SẢN LƯỢNG MỦ THÁNG 01 NĂM 2025</t>
  </si>
  <si>
    <t>BẢNG LƯƠNG TẠP VỤ THÁNG 01 NĂM 2025</t>
  </si>
  <si>
    <t>Số tiền bằng chữ: Bốn triệu chín trăm sáu mươi nghìn kíp.</t>
  </si>
  <si>
    <t>Sepon, Ngày 03 tháng 02 năm 2025</t>
  </si>
  <si>
    <t>DANH SÁCH CBCNV NỘP THUẾ TNCN THÁNG 01/2025</t>
  </si>
  <si>
    <t>Sepon ngày 03 tháng 02 năm 2025</t>
  </si>
  <si>
    <t>Bằng chữ: Bảy mươi ba nghìn kíp.</t>
  </si>
  <si>
    <t>BẢNG LƯƠNG BẢO VỆ THÁNG 01 NĂM 2025</t>
  </si>
  <si>
    <t>bv chống cháy</t>
  </si>
  <si>
    <t>BẢNG THANH TOÁN TIỀN HỔ TRỢ XE QUẢN LÝ THÁNG 01 NĂM 2025</t>
  </si>
  <si>
    <t>Sepon, ngày 03 tháng 02 năm 2025</t>
  </si>
  <si>
    <t>BÁO CÁO SẢN XUẤT THÁNG 01 NĂM 2025</t>
  </si>
  <si>
    <t>(Từ ngày 01/01/2025 đến ngày 31/01/2025)</t>
  </si>
  <si>
    <t>Bảo vệ thời vụ ( 9 người )</t>
  </si>
  <si>
    <t>(9 người * 2.600.000 kip / 25.000 kíp)</t>
  </si>
  <si>
    <t>Dọn dẹp cây gãy đổ</t>
  </si>
  <si>
    <t>Dọn 1 cây gãy đổ lô 5A</t>
  </si>
  <si>
    <t>Sepon, ngày 27 tháng 01 năm  2025</t>
  </si>
  <si>
    <t>KẾ HOẠCH SẢN XUẤT THÁNG 02 NĂM 2025</t>
  </si>
  <si>
    <t>(Từ ngày 01/02/2025 đến ngày 28/02/2025)</t>
  </si>
  <si>
    <t>Thổi lá</t>
  </si>
  <si>
    <t>Ủi caro</t>
  </si>
  <si>
    <t>khối lượng</t>
  </si>
  <si>
    <t>Thổi lá hàng 3m</t>
  </si>
  <si>
    <r>
      <t>m</t>
    </r>
    <r>
      <rPr>
        <vertAlign val="superscript"/>
        <sz val="13"/>
        <rFont val="Tahoma"/>
        <family val="1"/>
        <charset val="163"/>
        <scheme val="major"/>
      </rPr>
      <t>2</t>
    </r>
  </si>
  <si>
    <t>Cày caro</t>
  </si>
  <si>
    <t>ha</t>
  </si>
  <si>
    <t>BẢNG PHÂN TOÁN TỔNG HỢP CHI PHÍ KHÁC THÁNG 01 NĂM 2025</t>
  </si>
  <si>
    <t>( Từ ngày 01/01/2025 đến ngày 31/01/2025)</t>
  </si>
  <si>
    <t>BẢNG ĐỀ NGHỊ THANH TOÁN TIỀN HỖ TRỢ CHO TRƯỞNG BẢN THÁNG 01 NĂM 2025</t>
  </si>
  <si>
    <t>THÁNG 01</t>
  </si>
  <si>
    <t>BẢNG THANH TOÁN TIỀN CÔNG VIỆC KHÁC THÁNG 01 NĂM 2025</t>
  </si>
  <si>
    <t>Viết bằng chữ: Năm trăm nghìn kíp.</t>
  </si>
  <si>
    <t>Tháng 01 năm 2025</t>
  </si>
  <si>
    <t>Thảo Xi</t>
  </si>
  <si>
    <t>Thảo Cu Đê</t>
  </si>
  <si>
    <t>Thảo Đin</t>
  </si>
  <si>
    <t>Thảo Pong</t>
  </si>
  <si>
    <t>Thảo Bay</t>
  </si>
  <si>
    <t>Sepon , ngày 31 tháng 01 năm 2025</t>
  </si>
  <si>
    <t>BẢNG PHÂN HẠNG KỸ THUẬT THÁNG 01 NĂM 2025</t>
  </si>
  <si>
    <t>BẢNG TÍNH LƯƠNG TỔ TRƯỞNG THỰC HIỆN TRONG THÁNG 01/2025</t>
  </si>
  <si>
    <t>BẢNG LƯƠNG VƯỜN CÂY KTCB THÁNG 01 NĂM 2025</t>
  </si>
  <si>
    <t>BẢNG LƯƠNG CÔNG NHÂN TRỰC TIẾP THÁNG 01 NĂM 2025</t>
  </si>
  <si>
    <t>Ngày 03 tháng 02 năm 2025</t>
  </si>
  <si>
    <t>BẢNG LƯƠNG KHAI THÁC TỔ 3 THÁNG 01 NĂM 2025</t>
  </si>
  <si>
    <t>BẢNG LƯƠNG KHAI THÁC TỔ 2 THÁNG 01 NĂM 2025</t>
  </si>
  <si>
    <t>BẢNG LƯƠNG KHAI THÁC TỔ 1 THÁNG 01 NĂM 2025</t>
  </si>
  <si>
    <t>BẢNG LƯƠNG KHAI THÁC THÁNG 01 NĂM 2025</t>
  </si>
  <si>
    <t>Phụ cấp tiền lương tháng 01</t>
  </si>
  <si>
    <t>(16)=(4)+(8)+(15)</t>
  </si>
  <si>
    <t>(16)</t>
  </si>
  <si>
    <t>(17)=(5)+(9)+(16)</t>
  </si>
  <si>
    <t>(15)=(5)+(9)+(14)</t>
  </si>
  <si>
    <t>Bảo vệ thời vụ</t>
  </si>
  <si>
    <t>Bảo vệ chính</t>
  </si>
  <si>
    <t>Bảo vệ chính</t>
  </si>
  <si>
    <t>Bảo vệ thời vụ</t>
  </si>
  <si>
    <t>p</t>
  </si>
  <si>
    <t>ngày nghỉ phép</t>
  </si>
  <si>
    <t>BẢNG CHẤM CÔNG XĂNG XE CB-CNV</t>
  </si>
  <si>
    <t>Ngày nghỉ phép</t>
  </si>
  <si>
    <t>CỘNG HOÀ DÂN CHỦ NHÂN DÂN LÀO</t>
  </si>
  <si>
    <t>Hoà bình - Độc lập - Dân chủ - Thống nhất - Thịnh vượng</t>
  </si>
  <si>
    <t>----oOo----</t>
  </si>
  <si>
    <t>Mã nhân viên</t>
  </si>
  <si>
    <t>Ghi
chú</t>
  </si>
  <si>
    <t>Phụ 
cấp</t>
  </si>
  <si>
    <t>Kip</t>
  </si>
  <si>
    <t>(Bằng chữ: Một triệu năm trăm tám mươi nghìn kíp.)</t>
  </si>
  <si>
    <t>PHỤ CẤP XĂNG XE CB.CNV THÁNG 01 NĂM 2025</t>
  </si>
  <si>
    <t>Tổ trưởng tổ 3</t>
  </si>
  <si>
    <t>Tổ trưởng tổ 1</t>
  </si>
  <si>
    <t>Phụ cấp xăng xe CB.CNV</t>
  </si>
  <si>
    <t>Bằng chữ : Chín triệu ba trăm ba mươi nghìn kíp.</t>
  </si>
  <si>
    <t>Số tiền bằng chữ: Bốn trăm hai mươi chín triệu không trăm bảy mươi hai nghìn sáu trăm chín mươi tám kíp.</t>
  </si>
  <si>
    <t>Bằng chữ: Chín mươi mốt triệu ba trăm mười một nghìn hai trăm tám mươi sáu kíp.</t>
  </si>
  <si>
    <t>Bằng chữ: Chín mươi bốn triệu hai trăm mười sáu nghìn bảy trăm mười kíp.</t>
  </si>
  <si>
    <t>Bằng chữ: Hai trăm mười hai triệu bốn trăm ba mươi tám nghìn hai trăm năm mươi mốt kíp.</t>
  </si>
  <si>
    <t>Bằng chữ: Ba trăm chín mươi bảy triệu chín trăm sáu mươi sáu nghìn hai trăm bốn mươi sáu kíp.</t>
  </si>
  <si>
    <t>Bằng chữ: Ba mươi mốt triệu một trăm lẻ sáu nghìn bốn trăm năm mươi hai kíp.</t>
  </si>
  <si>
    <t>Số tiền bằng chữ: Bốn trăm ba mươi lăm triệu bảy trăm ba mươi hai nghìn sáu trăm chín mươi tám kíp.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</si>
</sst>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9"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&quot;$&quot;#,##0_);[Red]\(&quot;$&quot;#,##0\)"/>
    <numFmt numFmtId="188" formatCode="_(* #,##0_);_(* \(#,##0\);_(* &quot;-&quot;_);_(@_)"/>
    <numFmt numFmtId="189" formatCode="_(* #,##0.00_);_(* \(#,##0.00\);_(* &quot;-&quot;??_);_(@_)"/>
    <numFmt numFmtId="190" formatCode="_-* #,##0.00_-;\-* #,##0.00_-;_-* &quot;-&quot;??_-;_-@_-"/>
    <numFmt numFmtId="191" formatCode="_-* #,##0\ _₫_-;\-* #,##0\ _₫_-;_-* &quot;-&quot;??\ _₫_-;_-@_-"/>
    <numFmt numFmtId="192" formatCode="_(* #,##0_);_(* \(#,##0\);_(* &quot;-&quot;??_);_(@_)"/>
    <numFmt numFmtId="193" formatCode="_(* #,##0.0_);_(* \(#,##0.0\);_(* &quot;-&quot;??_);_(@_)"/>
    <numFmt numFmtId="194" formatCode="_(* #,##0.0_);_(* \(#,##0.0\);_(* &quot;-&quot;?_);_(@_)"/>
    <numFmt numFmtId="195" formatCode="0.0"/>
    <numFmt numFmtId="196" formatCode="dd/mm"/>
    <numFmt numFmtId="197" formatCode="#,##0.0"/>
    <numFmt numFmtId="198" formatCode="0.0000"/>
    <numFmt numFmtId="199" formatCode="#,##0;[Red]#,##0"/>
    <numFmt numFmtId="200" formatCode="_(* #,##0.00_);_(* \(#,##0.00\);_(* &quot;-&quot;_);_(@_)"/>
    <numFmt numFmtId="201" formatCode="_-* #,##0.00\ _₫_-;\-* #,##0.00\ _₫_-;_-* &quot;-&quot;&quot;?&quot;&quot;?&quot;\ _₫_-;_-@_-"/>
    <numFmt numFmtId="202" formatCode="_(* #,##0_);_(* \(#,##0\);_(* &quot;-&quot;&quot;?&quot;&quot;?&quot;_);_(@_)"/>
    <numFmt numFmtId="203" formatCode="_(* #,##0.0_);_(* \(#,##0.0\);_(* &quot;-&quot;&quot;?&quot;&quot;?&quot;_);_(@_)"/>
    <numFmt numFmtId="204" formatCode="_(* #,##0.00_);_(* \(#,##0.00\);_(* &quot;-&quot;&quot;?&quot;&quot;?&quot;_);_(@_)"/>
    <numFmt numFmtId="205" formatCode="0.000"/>
    <numFmt numFmtId="206" formatCode="#,##0.0000"/>
    <numFmt numFmtId="207" formatCode="\$#,##0\ ;\(\$#,##0\)"/>
    <numFmt numFmtId="208" formatCode="&quot;\&quot;#,##0;[Red]&quot;\&quot;&quot;\&quot;\-#,##0"/>
    <numFmt numFmtId="209" formatCode="&quot;\&quot;#,##0.00;[Red]&quot;\&quot;&quot;\&quot;&quot;\&quot;&quot;\&quot;&quot;\&quot;&quot;\&quot;\-#,##0.00"/>
    <numFmt numFmtId="210" formatCode="&quot;\&quot;#,##0.00;[Red]&quot;\&quot;\-#,##0.00"/>
    <numFmt numFmtId="211" formatCode="&quot;\&quot;#,##0;[Red]&quot;\&quot;\-#,##0"/>
    <numFmt numFmtId="212" formatCode="_-* #,##0.0\ _₫_-;\-* #,##0.0\ _₫_-;_-* &quot;-&quot;??\ _₫_-;_-@_-"/>
    <numFmt numFmtId="213" formatCode="#,##0_ ;\-#,##0\ "/>
    <numFmt numFmtId="214" formatCode="_(* #,##0.0000_);_(* \(#,##0.0000\);_(* &quot;-&quot;??_);_(@_)"/>
    <numFmt numFmtId="215" formatCode="#,##0.00000000000"/>
    <numFmt numFmtId="216" formatCode="_(* #,##0.0000000_);_(* \(#,##0.0000000\);_(* &quot;-&quot;??_);_(@_)"/>
    <numFmt numFmtId="217" formatCode="#,##0.000000000"/>
    <numFmt numFmtId="218" formatCode="_-* #,##0\ _₫_-;\-* #,##0\ _₫_-;_-* &quot;-&quot;&quot;?&quot;&quot;?&quot;\ _₫_-;_-@_-"/>
    <numFmt numFmtId="219" formatCode="0_);\(0\)"/>
    <numFmt numFmtId="220" formatCode="_(* #,##0.000_);_(* \(#,##0.000\);_(* &quot;-&quot;_);_(@_)"/>
    <numFmt numFmtId="221" formatCode="0_);[Red]\(0\)"/>
    <numFmt numFmtId="222" formatCode="_(* #,##0.000_);_(* \(#,##0.000\);_(* &quot;-&quot;??_);_(@_)"/>
    <numFmt numFmtId="223" formatCode="0.00_ ;\-0.00\ "/>
    <numFmt numFmtId="224" formatCode="_-* #,##0.0000\ _₫_-;\-* #,##0.0000\ _₫_-;_-* &quot;-&quot;??\ _₫_-;_-@_-"/>
    <numFmt numFmtId="225" formatCode="_-* #,##0_-;\-* #,##0_-;_-* &quot;-&quot;??_-;_-@_-"/>
    <numFmt numFmtId="226" formatCode="_-* #,##0.00\ &quot;₫&quot;_-;\-* #,##0.00\ &quot;₫&quot;_-;_-* &quot;-&quot;&quot;?&quot;&quot;?&quot;\ &quot;₫&quot;_-;_-@_-"/>
    <numFmt numFmtId="227" formatCode="_-* #,##0.0000\ _₫_-;\-* #,##0.0000\ _₫_-;_-* &quot;-&quot;&quot;?&quot;&quot;?&quot;\ _₫_-;_-@_-"/>
    <numFmt numFmtId="228" formatCode="_(* #,##0.000_);_(* \(#,##0.000\);_(* &quot;-&quot;&quot;?&quot;&quot;?&quot;_);_(@_)"/>
    <numFmt numFmtId="229" formatCode="0;[Red]0"/>
    <numFmt numFmtId="230" formatCode="_-* #,##0.00000000\ _₫_-;\-* #,##0.00000000\ _₫_-;_-* &quot;-&quot;??\ _₫_-;_-@_-"/>
    <numFmt numFmtId="231" formatCode="_-* #,##0.00000000000\ _₫_-;\-* #,##0.00000000000\ _₫_-;_-* &quot;-&quot;??\ _₫_-;_-@_-"/>
    <numFmt numFmtId="232" formatCode="#,##0.0;[Red]#,##0.0"/>
    <numFmt numFmtId="233" formatCode="#,##0.00;[Red]#,##0.00"/>
    <numFmt numFmtId="234" formatCode="0.0000000"/>
    <numFmt numFmtId="235" formatCode="0.0000000000000"/>
    <numFmt numFmtId="236" formatCode="#,##0.0_);\(#,##0.0\)"/>
    <numFmt numFmtId="237" formatCode="#,##0.000000"/>
    <numFmt numFmtId="238" formatCode="#,##0.00_ ;\-#,##0.00\ "/>
    <numFmt numFmtId="239" formatCode="0.00_);\(0.00\)"/>
    <numFmt numFmtId="240" formatCode="#,##0.0_ ;\-#,##0.0\ "/>
    <numFmt numFmtId="241" formatCode="#,##0.000;[Red]#,##0.000"/>
    <numFmt numFmtId="242" formatCode="_(* #,##0_);_(* \(#,##0\);_(* &quot;-&quot;???_);_(@_)"/>
    <numFmt numFmtId="243" formatCode="_(* #,##0.000000_);_(* \(#,##0.000000\);_(* &quot;-&quot;??_);_(@_)"/>
  </numFmts>
  <fonts count="282">
    <font>
      <sz val="11"/>
      <color theme="1"/>
      <name val="Tahoma"/>
      <family val="2"/>
      <charset val="163"/>
      <scheme val="minor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1"/>
      <color indexed="12"/>
      <name val="Times New Roman"/>
      <family val="1"/>
    </font>
    <font>
      <sz val="11"/>
      <color indexed="10"/>
      <name val="Times New Roman"/>
      <family val="1"/>
    </font>
    <font>
      <sz val="10"/>
      <color indexed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u/>
      <sz val="12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b/>
      <sz val="8"/>
      <name val="Times New Roman"/>
      <family val="1"/>
    </font>
    <font>
      <sz val="8"/>
      <name val="Saysettha Lao"/>
      <family val="2"/>
    </font>
    <font>
      <sz val="10"/>
      <name val="VNI-Times"/>
    </font>
    <font>
      <b/>
      <sz val="13"/>
      <name val="Times New Roman"/>
      <family val="1"/>
    </font>
    <font>
      <sz val="11"/>
      <name val="Times New Roman"/>
      <family val="1"/>
      <charset val="163"/>
    </font>
    <font>
      <sz val="13"/>
      <name val="Times New Roman"/>
      <family val="1"/>
    </font>
    <font>
      <i/>
      <sz val="13"/>
      <name val="Times New Roman"/>
      <family val="1"/>
    </font>
    <font>
      <b/>
      <i/>
      <sz val="13"/>
      <name val="Times New Roman"/>
      <family val="1"/>
    </font>
    <font>
      <b/>
      <sz val="16"/>
      <name val="Times New Roman"/>
      <family val="1"/>
    </font>
    <font>
      <b/>
      <i/>
      <sz val="11"/>
      <name val="Times New Roman"/>
      <family val="1"/>
    </font>
    <font>
      <sz val="14"/>
      <name val="Times New Roman"/>
      <family val="1"/>
    </font>
    <font>
      <b/>
      <i/>
      <sz val="12"/>
      <name val="Times New Roman"/>
      <family val="1"/>
    </font>
    <font>
      <sz val="12"/>
      <name val="Times New Roman"/>
      <family val="1"/>
      <charset val="163"/>
    </font>
    <font>
      <b/>
      <u/>
      <sz val="12"/>
      <name val="Times New Roman"/>
      <family val="1"/>
      <charset val="163"/>
    </font>
    <font>
      <b/>
      <sz val="15"/>
      <name val="Times New Roman"/>
      <family val="1"/>
    </font>
    <font>
      <i/>
      <sz val="11"/>
      <name val="Times New Roman"/>
      <family val="1"/>
    </font>
    <font>
      <b/>
      <i/>
      <sz val="10"/>
      <name val="Times New Roman"/>
      <family val="1"/>
    </font>
    <font>
      <i/>
      <sz val="12"/>
      <name val="Times New Roman"/>
      <family val="1"/>
    </font>
    <font>
      <b/>
      <sz val="10"/>
      <color indexed="8"/>
      <name val="Times New Roman"/>
      <family val="1"/>
    </font>
    <font>
      <b/>
      <sz val="9"/>
      <name val="Times New Roman"/>
      <family val="1"/>
    </font>
    <font>
      <b/>
      <u/>
      <sz val="10"/>
      <name val="Times New Roman"/>
      <family val="1"/>
    </font>
    <font>
      <sz val="10"/>
      <name val="Times New Roman"/>
      <family val="1"/>
      <charset val="163"/>
    </font>
    <font>
      <b/>
      <sz val="10"/>
      <name val="Times New Roman"/>
      <family val="1"/>
      <charset val="163"/>
    </font>
    <font>
      <b/>
      <sz val="10"/>
      <name val="Wingdings 3"/>
      <family val="1"/>
      <charset val="2"/>
    </font>
    <font>
      <sz val="11"/>
      <color indexed="8"/>
      <name val="Calibri"/>
      <family val="2"/>
      <charset val="163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Saysettha Lao"/>
      <family val="2"/>
    </font>
    <font>
      <sz val="10"/>
      <color indexed="10"/>
      <name val="Times New Roman"/>
      <family val="1"/>
    </font>
    <font>
      <b/>
      <i/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8"/>
      <color indexed="8"/>
      <name val="Saysettha OT"/>
      <family val="2"/>
    </font>
    <font>
      <b/>
      <sz val="10"/>
      <color indexed="10"/>
      <name val="Times New Roman"/>
      <family val="1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8"/>
      <color indexed="8"/>
      <name val="Times New Roman"/>
      <family val="1"/>
    </font>
    <font>
      <sz val="12"/>
      <color indexed="10"/>
      <name val="Times New Roman"/>
      <family val="1"/>
    </font>
    <font>
      <i/>
      <sz val="10"/>
      <name val="Times New Roman"/>
      <family val="1"/>
    </font>
    <font>
      <b/>
      <sz val="12"/>
      <name val="Times New Roman"/>
      <family val="1"/>
      <charset val="163"/>
    </font>
    <font>
      <sz val="8"/>
      <name val="Calibri"/>
      <family val="2"/>
      <charset val="163"/>
    </font>
    <font>
      <b/>
      <u/>
      <sz val="12"/>
      <name val="Times New Roman"/>
      <family val="1"/>
    </font>
    <font>
      <i/>
      <sz val="10"/>
      <color indexed="8"/>
      <name val="Times New Roman"/>
      <family val="1"/>
    </font>
    <font>
      <b/>
      <i/>
      <sz val="10"/>
      <color indexed="8"/>
      <name val="Times New Roman"/>
      <family val="1"/>
    </font>
    <font>
      <sz val="11"/>
      <color indexed="63"/>
      <name val="Times New Roman"/>
      <family val="1"/>
    </font>
    <font>
      <sz val="11"/>
      <color indexed="63"/>
      <name val="Calibri"/>
      <family val="2"/>
      <charset val="163"/>
    </font>
    <font>
      <sz val="10"/>
      <color indexed="63"/>
      <name val="Times New Roman"/>
      <family val="1"/>
    </font>
    <font>
      <b/>
      <i/>
      <sz val="11"/>
      <color indexed="63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0"/>
      <color indexed="63"/>
      <name val="Times New Roman"/>
      <family val="1"/>
    </font>
    <font>
      <sz val="8"/>
      <color indexed="8"/>
      <name val="Times New Roman"/>
      <family val="1"/>
    </font>
    <font>
      <sz val="10"/>
      <color indexed="10"/>
      <name val="Times New Roman"/>
      <family val="1"/>
    </font>
    <font>
      <b/>
      <sz val="10"/>
      <color indexed="10"/>
      <name val="Times New Roman"/>
      <family val="1"/>
    </font>
    <font>
      <b/>
      <i/>
      <sz val="10"/>
      <color indexed="10"/>
      <name val="Times New Roman"/>
      <family val="1"/>
    </font>
    <font>
      <b/>
      <sz val="11"/>
      <color indexed="63"/>
      <name val="Times New Roman"/>
      <family val="1"/>
    </font>
    <font>
      <sz val="10"/>
      <color indexed="10"/>
      <name val="Times New Roman"/>
      <family val="1"/>
    </font>
    <font>
      <sz val="12"/>
      <name val="VNI-Times"/>
    </font>
    <font>
      <sz val="11"/>
      <color indexed="8"/>
      <name val="Saysettha OT"/>
      <family val="2"/>
    </font>
    <font>
      <sz val="11"/>
      <name val="Saysettha OT"/>
      <family val="2"/>
    </font>
    <font>
      <b/>
      <sz val="13"/>
      <name val="Times New Roman"/>
      <family val="1"/>
      <charset val="163"/>
    </font>
    <font>
      <i/>
      <sz val="10"/>
      <name val="Times New Roman"/>
      <family val="1"/>
      <charset val="163"/>
    </font>
    <font>
      <b/>
      <i/>
      <sz val="12"/>
      <name val="Times New Roman"/>
      <family val="1"/>
      <charset val="163"/>
    </font>
    <font>
      <sz val="10"/>
      <name val="Arial"/>
      <family val="2"/>
      <charset val="163"/>
    </font>
    <font>
      <sz val="10"/>
      <name val="VNI-Helve-Condense"/>
    </font>
    <font>
      <sz val="11"/>
      <color indexed="8"/>
      <name val="Arial"/>
      <family val="2"/>
    </font>
    <font>
      <sz val="10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b/>
      <i/>
      <u/>
      <sz val="12"/>
      <name val="Times New Roman"/>
      <family val="1"/>
    </font>
    <font>
      <b/>
      <u/>
      <sz val="13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3"/>
      <color indexed="8"/>
      <name val="Times New Roman"/>
      <family val="1"/>
    </font>
    <font>
      <b/>
      <sz val="13"/>
      <color indexed="8"/>
      <name val="Times New Roman"/>
      <family val="1"/>
    </font>
    <font>
      <i/>
      <sz val="13"/>
      <color indexed="8"/>
      <name val="Times New Roman"/>
      <family val="1"/>
    </font>
    <font>
      <sz val="13"/>
      <color indexed="8"/>
      <name val="Times New Roman"/>
      <family val="1"/>
      <charset val="163"/>
    </font>
    <font>
      <sz val="13"/>
      <color indexed="8"/>
      <name val="Saysettha Lao"/>
      <family val="2"/>
    </font>
    <font>
      <sz val="12"/>
      <color indexed="63"/>
      <name val="Times New Roman"/>
      <family val="1"/>
    </font>
    <font>
      <b/>
      <i/>
      <sz val="12"/>
      <color indexed="63"/>
      <name val="Times New Roman"/>
      <family val="1"/>
    </font>
    <font>
      <b/>
      <i/>
      <sz val="13"/>
      <color indexed="10"/>
      <name val="Times New Roman"/>
      <family val="1"/>
    </font>
    <font>
      <sz val="13"/>
      <color indexed="10"/>
      <name val="Times New Roman"/>
      <family val="1"/>
    </font>
    <font>
      <sz val="13"/>
      <name val="Times New Roman"/>
      <family val="1"/>
      <charset val="163"/>
    </font>
    <font>
      <sz val="13"/>
      <color indexed="63"/>
      <name val="Times New Roman"/>
      <family val="1"/>
    </font>
    <font>
      <b/>
      <sz val="13"/>
      <color indexed="63"/>
      <name val="Times New Roman"/>
      <family val="1"/>
    </font>
    <font>
      <sz val="13"/>
      <name val="Saysettha OT"/>
      <family val="2"/>
    </font>
    <font>
      <u/>
      <sz val="13"/>
      <name val="Times New Roman"/>
      <family val="1"/>
    </font>
    <font>
      <b/>
      <sz val="13"/>
      <color indexed="10"/>
      <name val="Times New Roman"/>
      <family val="1"/>
    </font>
    <font>
      <b/>
      <i/>
      <sz val="13"/>
      <color indexed="8"/>
      <name val="Times New Roman"/>
      <family val="1"/>
    </font>
    <font>
      <sz val="11"/>
      <color theme="1"/>
      <name val="Tahoma"/>
      <family val="2"/>
      <charset val="163"/>
      <scheme val="minor"/>
    </font>
    <font>
      <sz val="11"/>
      <color theme="1"/>
      <name val="Tahoma"/>
      <family val="2"/>
      <scheme val="minor"/>
    </font>
    <font>
      <sz val="11"/>
      <color theme="1"/>
      <name val="Calibri"/>
      <family val="2"/>
      <charset val="163"/>
    </font>
    <font>
      <sz val="12"/>
      <color theme="1"/>
      <name val="Times New Roman"/>
      <family val="1"/>
    </font>
    <font>
      <sz val="11"/>
      <color theme="1"/>
      <name val="Saysettha OT"/>
      <family val="2"/>
    </font>
    <font>
      <b/>
      <sz val="10"/>
      <color rgb="FFFF0000"/>
      <name val="Times New Roman"/>
      <family val="1"/>
    </font>
    <font>
      <sz val="11"/>
      <color theme="1"/>
      <name val="Times New Roman"/>
      <family val="1"/>
    </font>
    <font>
      <sz val="10"/>
      <color rgb="FFFF0000"/>
      <name val="Times New Roman"/>
      <family val="1"/>
    </font>
    <font>
      <sz val="11"/>
      <color rgb="FFFF0000"/>
      <name val="Times New Roman"/>
      <family val="1"/>
    </font>
    <font>
      <sz val="12"/>
      <color rgb="FFFF0000"/>
      <name val="Times New Roman"/>
      <family val="1"/>
    </font>
    <font>
      <b/>
      <sz val="10"/>
      <color theme="1"/>
      <name val="Times New Roman"/>
      <family val="1"/>
    </font>
    <font>
      <sz val="14"/>
      <color rgb="FFFF0000"/>
      <name val="Times New Roman"/>
      <family val="1"/>
    </font>
    <font>
      <sz val="13"/>
      <color theme="1"/>
      <name val="Tahoma"/>
      <family val="2"/>
      <charset val="163"/>
      <scheme val="minor"/>
    </font>
    <font>
      <b/>
      <sz val="12"/>
      <color rgb="FFFF0000"/>
      <name val="Times New Roman"/>
      <family val="1"/>
    </font>
    <font>
      <sz val="12"/>
      <color theme="1"/>
      <name val="Tahoma"/>
      <family val="2"/>
      <charset val="163"/>
      <scheme val="minor"/>
    </font>
    <font>
      <sz val="11"/>
      <color rgb="FF000000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0"/>
      <color theme="1"/>
      <name val="Times New Roman"/>
      <family val="1"/>
    </font>
    <font>
      <sz val="13"/>
      <color rgb="FFFF0000"/>
      <name val="Times New Roman"/>
      <family val="1"/>
    </font>
    <font>
      <sz val="13"/>
      <color theme="1"/>
      <name val="Saysettha OT"/>
      <family val="2"/>
    </font>
    <font>
      <b/>
      <sz val="13"/>
      <color rgb="FFFF0000"/>
      <name val="Times New Roman"/>
      <family val="1"/>
    </font>
    <font>
      <i/>
      <sz val="13"/>
      <color theme="1"/>
      <name val="Times New Roman"/>
      <family val="1"/>
    </font>
    <font>
      <b/>
      <i/>
      <sz val="13"/>
      <color rgb="FFFF0000"/>
      <name val="Times New Roman"/>
      <family val="1"/>
    </font>
    <font>
      <b/>
      <i/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3"/>
      <color theme="0"/>
      <name val="Times New Roman"/>
      <family val="1"/>
    </font>
    <font>
      <b/>
      <sz val="13"/>
      <color theme="1"/>
      <name val="Times New Roman"/>
      <family val="1"/>
      <charset val="163"/>
    </font>
    <font>
      <sz val="14"/>
      <color theme="1"/>
      <name val="Times New Roman"/>
      <family val="1"/>
    </font>
    <font>
      <b/>
      <i/>
      <sz val="11"/>
      <color rgb="FFFF0000"/>
      <name val="Times New Roman"/>
      <family val="1"/>
    </font>
    <font>
      <b/>
      <sz val="16"/>
      <color indexed="8"/>
      <name val="Times New Roman"/>
      <family val="1"/>
    </font>
    <font>
      <b/>
      <sz val="14"/>
      <color indexed="10"/>
      <name val="Times New Roman"/>
      <family val="1"/>
    </font>
    <font>
      <sz val="14"/>
      <color indexed="8"/>
      <name val="Times New Roman"/>
      <family val="1"/>
    </font>
    <font>
      <sz val="14"/>
      <color indexed="10"/>
      <name val="Times New Roman"/>
      <family val="1"/>
    </font>
    <font>
      <b/>
      <sz val="15"/>
      <color indexed="8"/>
      <name val="Times New Roman"/>
      <family val="1"/>
    </font>
    <font>
      <b/>
      <sz val="12"/>
      <color theme="1"/>
      <name val="Times New Roman"/>
      <family val="1"/>
      <charset val="163"/>
    </font>
    <font>
      <b/>
      <sz val="11"/>
      <name val="Times New Roman"/>
      <family val="1"/>
      <charset val="163"/>
    </font>
    <font>
      <b/>
      <sz val="11"/>
      <color rgb="FFFF0000"/>
      <name val="Times New Roman"/>
      <family val="1"/>
    </font>
    <font>
      <i/>
      <sz val="11"/>
      <name val="Times New Roman"/>
      <family val="1"/>
      <charset val="163"/>
    </font>
    <font>
      <b/>
      <sz val="9"/>
      <color indexed="81"/>
      <name val="Tahoma"/>
      <family val="2"/>
      <charset val="163"/>
    </font>
    <font>
      <sz val="11"/>
      <color theme="1"/>
      <name val="Times New Roman"/>
      <family val="1"/>
      <charset val="163"/>
    </font>
    <font>
      <sz val="14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b/>
      <sz val="14"/>
      <color rgb="FFFF0000"/>
      <name val="Times New Roman"/>
      <family val="1"/>
    </font>
    <font>
      <b/>
      <sz val="9"/>
      <color rgb="FFFF0000"/>
      <name val="Times New Roman"/>
      <family val="1"/>
    </font>
    <font>
      <b/>
      <sz val="10"/>
      <color theme="1"/>
      <name val="Times New Roman"/>
      <family val="1"/>
      <charset val="163"/>
    </font>
    <font>
      <b/>
      <sz val="16"/>
      <color theme="1"/>
      <name val="Times New Roman"/>
      <family val="1"/>
    </font>
    <font>
      <sz val="8"/>
      <name val="Tahoma"/>
      <family val="2"/>
      <charset val="163"/>
      <scheme val="minor"/>
    </font>
    <font>
      <i/>
      <sz val="12"/>
      <color theme="1"/>
      <name val="Times New Roman"/>
      <family val="1"/>
    </font>
    <font>
      <i/>
      <sz val="10"/>
      <color theme="1"/>
      <name val="Times New Roman"/>
      <family val="1"/>
    </font>
    <font>
      <b/>
      <i/>
      <u/>
      <sz val="13"/>
      <name val="Times New Roman"/>
      <family val="1"/>
    </font>
    <font>
      <sz val="12"/>
      <color indexed="30"/>
      <name val="Times New Roman"/>
      <family val="1"/>
    </font>
    <font>
      <b/>
      <sz val="12"/>
      <color indexed="30"/>
      <name val="Times New Roman"/>
      <family val="1"/>
    </font>
    <font>
      <b/>
      <sz val="14"/>
      <color indexed="63"/>
      <name val="Times New Roman"/>
      <family val="1"/>
    </font>
    <font>
      <sz val="14"/>
      <color theme="1"/>
      <name val="Times New Roman"/>
      <family val="1"/>
      <charset val="163"/>
    </font>
    <font>
      <sz val="13"/>
      <color theme="1"/>
      <name val="Times New Roman"/>
      <family val="1"/>
      <charset val="163"/>
    </font>
    <font>
      <b/>
      <i/>
      <sz val="13"/>
      <name val="Times New Roman"/>
      <family val="1"/>
      <charset val="163"/>
    </font>
    <font>
      <b/>
      <u/>
      <sz val="13"/>
      <name val="Times New Roman"/>
      <family val="1"/>
      <charset val="163"/>
    </font>
    <font>
      <u/>
      <sz val="13"/>
      <name val="Times New Roman"/>
      <family val="1"/>
      <charset val="163"/>
    </font>
    <font>
      <b/>
      <sz val="15"/>
      <name val="Times New Roman"/>
      <family val="1"/>
      <charset val="163"/>
    </font>
    <font>
      <i/>
      <sz val="11"/>
      <color indexed="63"/>
      <name val="Times New Roman"/>
      <family val="1"/>
    </font>
    <font>
      <b/>
      <sz val="11"/>
      <color theme="0"/>
      <name val="Times New Roman"/>
      <family val="1"/>
    </font>
    <font>
      <i/>
      <sz val="12"/>
      <name val="Times New Roman"/>
      <family val="1"/>
      <charset val="163"/>
    </font>
    <font>
      <u/>
      <sz val="11"/>
      <name val="Times New Roman"/>
      <family val="1"/>
    </font>
    <font>
      <b/>
      <sz val="13"/>
      <color indexed="8"/>
      <name val="Times New Roman"/>
      <family val="1"/>
      <charset val="163"/>
    </font>
    <font>
      <sz val="11"/>
      <color indexed="8"/>
      <name val="Calibri"/>
      <family val="2"/>
    </font>
    <font>
      <i/>
      <sz val="13"/>
      <color indexed="8"/>
      <name val="Times New Roman"/>
      <family val="1"/>
      <charset val="163"/>
    </font>
    <font>
      <sz val="10"/>
      <name val="Arial"/>
      <family val="2"/>
      <charset val="163"/>
    </font>
    <font>
      <sz val="14"/>
      <color rgb="FFFF0000"/>
      <name val="Times New Roman"/>
      <family val="1"/>
      <charset val="163"/>
    </font>
    <font>
      <sz val="13"/>
      <color rgb="FFFF0000"/>
      <name val="Times New Roman"/>
      <family val="1"/>
      <charset val="163"/>
    </font>
    <font>
      <b/>
      <sz val="12"/>
      <name val="Tahoma"/>
      <family val="1"/>
      <charset val="163"/>
      <scheme val="major"/>
    </font>
    <font>
      <sz val="12"/>
      <name val="Tahoma"/>
      <family val="1"/>
      <charset val="163"/>
      <scheme val="major"/>
    </font>
    <font>
      <b/>
      <sz val="12"/>
      <color rgb="FFFF0000"/>
      <name val="Tahoma"/>
      <family val="1"/>
      <charset val="163"/>
      <scheme val="major"/>
    </font>
    <font>
      <b/>
      <sz val="12"/>
      <color theme="1"/>
      <name val="Tahoma"/>
      <family val="1"/>
      <charset val="163"/>
      <scheme val="major"/>
    </font>
    <font>
      <i/>
      <sz val="12"/>
      <name val="Tahoma"/>
      <family val="1"/>
      <charset val="163"/>
      <scheme val="major"/>
    </font>
    <font>
      <b/>
      <sz val="16"/>
      <name val="Times New Roman"/>
      <family val="1"/>
      <charset val="163"/>
    </font>
    <font>
      <b/>
      <sz val="14"/>
      <name val="Times New Roman"/>
      <family val="1"/>
      <charset val="163"/>
    </font>
    <font>
      <b/>
      <u/>
      <sz val="10"/>
      <name val="Times New Roman"/>
      <family val="1"/>
      <charset val="163"/>
    </font>
    <font>
      <b/>
      <sz val="13"/>
      <color indexed="10"/>
      <name val="Times New Roman"/>
      <family val="1"/>
      <charset val="163"/>
    </font>
    <font>
      <sz val="13"/>
      <color indexed="10"/>
      <name val="Times New Roman"/>
      <family val="1"/>
      <charset val="163"/>
    </font>
    <font>
      <b/>
      <sz val="10"/>
      <name val="Arial"/>
      <family val="2"/>
    </font>
    <font>
      <sz val="8"/>
      <name val="Arial"/>
      <family val="2"/>
    </font>
    <font>
      <b/>
      <sz val="17"/>
      <name val="Times New Roman"/>
      <family val="1"/>
    </font>
    <font>
      <b/>
      <sz val="8"/>
      <name val="Arial"/>
      <family val="2"/>
    </font>
    <font>
      <u/>
      <sz val="8"/>
      <name val="Times New Roman"/>
      <family val="1"/>
    </font>
    <font>
      <sz val="7"/>
      <name val="Times New Roman"/>
      <family val="1"/>
    </font>
    <font>
      <b/>
      <sz val="9"/>
      <name val="Arial"/>
      <family val="2"/>
    </font>
    <font>
      <b/>
      <sz val="15"/>
      <name val="Tahoma"/>
      <family val="1"/>
      <charset val="163"/>
      <scheme val="major"/>
    </font>
    <font>
      <sz val="10"/>
      <name val="Tahoma"/>
      <family val="1"/>
      <charset val="163"/>
      <scheme val="major"/>
    </font>
    <font>
      <b/>
      <i/>
      <sz val="12"/>
      <name val="Tahoma"/>
      <family val="1"/>
      <charset val="163"/>
      <scheme val="major"/>
    </font>
    <font>
      <b/>
      <sz val="13"/>
      <name val="Tahoma"/>
      <family val="1"/>
      <charset val="163"/>
      <scheme val="major"/>
    </font>
    <font>
      <b/>
      <sz val="12"/>
      <name val="Tahoma"/>
      <family val="1"/>
      <scheme val="major"/>
    </font>
    <font>
      <sz val="13"/>
      <name val="Tahoma"/>
      <family val="1"/>
      <charset val="163"/>
      <scheme val="major"/>
    </font>
    <font>
      <sz val="12"/>
      <name val="Tahoma"/>
      <family val="1"/>
      <scheme val="major"/>
    </font>
    <font>
      <b/>
      <sz val="10"/>
      <name val="Tahoma"/>
      <family val="1"/>
      <charset val="163"/>
      <scheme val="major"/>
    </font>
    <font>
      <sz val="12"/>
      <color theme="1"/>
      <name val="Tahoma"/>
      <family val="1"/>
      <charset val="163"/>
      <scheme val="major"/>
    </font>
    <font>
      <i/>
      <sz val="12"/>
      <name val="Tahoma"/>
      <family val="1"/>
      <scheme val="major"/>
    </font>
    <font>
      <b/>
      <sz val="13"/>
      <name val="Wingdings 3"/>
      <family val="1"/>
      <charset val="2"/>
    </font>
    <font>
      <sz val="16"/>
      <name val="Times New Roman"/>
      <family val="1"/>
    </font>
    <font>
      <i/>
      <sz val="13"/>
      <color theme="0"/>
      <name val="Times New Roman"/>
      <family val="1"/>
      <charset val="163"/>
    </font>
    <font>
      <sz val="10"/>
      <color theme="0"/>
      <name val="Times New Roman"/>
      <family val="1"/>
      <charset val="163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sz val="13"/>
      <color rgb="FFFF0000"/>
      <name val="Times New Roman"/>
      <family val="1"/>
      <charset val="163"/>
    </font>
    <font>
      <sz val="12"/>
      <color rgb="FFFF0000"/>
      <name val="Tahoma"/>
      <family val="1"/>
      <scheme val="major"/>
    </font>
    <font>
      <sz val="11"/>
      <color rgb="FF000000"/>
      <name val="Calibri"/>
      <family val="2"/>
    </font>
    <font>
      <sz val="11"/>
      <color theme="1"/>
      <name val="Arial"/>
      <family val="2"/>
      <charset val="163"/>
    </font>
    <font>
      <sz val="13"/>
      <color rgb="FFFF0000"/>
      <name val="Saysettha OT"/>
      <family val="2"/>
    </font>
    <font>
      <sz val="12"/>
      <color rgb="FFFF0000"/>
      <name val="Tahoma"/>
      <family val="1"/>
      <charset val="163"/>
      <scheme val="major"/>
    </font>
    <font>
      <b/>
      <sz val="22"/>
      <color theme="1"/>
      <name val="Times New Roman"/>
      <family val="1"/>
    </font>
    <font>
      <b/>
      <sz val="24"/>
      <color theme="1"/>
      <name val="Times New Roman"/>
      <family val="1"/>
    </font>
    <font>
      <b/>
      <i/>
      <sz val="13"/>
      <color rgb="FFFF0000"/>
      <name val="Times New Roman"/>
      <family val="1"/>
      <charset val="163"/>
    </font>
    <font>
      <sz val="13"/>
      <color theme="0"/>
      <name val="Times New Roman"/>
      <family val="1"/>
      <charset val="163"/>
    </font>
    <font>
      <sz val="14"/>
      <color theme="0"/>
      <name val="Times New Roman"/>
      <family val="1"/>
      <charset val="163"/>
    </font>
    <font>
      <b/>
      <sz val="13"/>
      <color rgb="FFFF0000"/>
      <name val="Times New Roman"/>
      <family val="1"/>
      <charset val="163"/>
    </font>
    <font>
      <i/>
      <sz val="13"/>
      <color theme="1"/>
      <name val="Times New Roman"/>
      <family val="1"/>
      <charset val="163"/>
    </font>
    <font>
      <b/>
      <sz val="20"/>
      <name val="Times New Roman"/>
      <family val="1"/>
    </font>
    <font>
      <u/>
      <sz val="10"/>
      <name val="Times New Roman"/>
      <family val="1"/>
    </font>
    <font>
      <b/>
      <sz val="11"/>
      <color indexed="63"/>
      <name val="Times New Roman"/>
      <family val="1"/>
      <charset val="163"/>
    </font>
    <font>
      <b/>
      <sz val="12"/>
      <color indexed="63"/>
      <name val="Times New Roman"/>
      <family val="1"/>
    </font>
    <font>
      <sz val="11"/>
      <color theme="0"/>
      <name val="Times New Roman"/>
      <family val="1"/>
    </font>
    <font>
      <b/>
      <sz val="18"/>
      <name val="Times New Roman"/>
      <family val="1"/>
    </font>
    <font>
      <sz val="10"/>
      <color rgb="FFFF0000"/>
      <name val="Tahoma"/>
      <family val="1"/>
      <charset val="163"/>
      <scheme val="major"/>
    </font>
    <font>
      <b/>
      <sz val="10"/>
      <name val="Arial"/>
      <family val="2"/>
      <charset val="163"/>
    </font>
    <font>
      <sz val="10"/>
      <color rgb="FFFF0000"/>
      <name val="Times New Roman"/>
      <family val="1"/>
      <charset val="163"/>
    </font>
    <font>
      <sz val="8"/>
      <name val="Times New Roman"/>
      <family val="1"/>
      <charset val="163"/>
    </font>
    <font>
      <b/>
      <sz val="11"/>
      <color theme="1"/>
      <name val="Tahoma"/>
      <family val="2"/>
      <charset val="163"/>
      <scheme val="minor"/>
    </font>
    <font>
      <b/>
      <sz val="9"/>
      <name val="Saysettha Lao"/>
      <family val="2"/>
    </font>
    <font>
      <sz val="9"/>
      <name val="Saysettha Lao"/>
      <family val="2"/>
    </font>
    <font>
      <sz val="9"/>
      <color indexed="63"/>
      <name val="Times New Roman"/>
      <family val="1"/>
    </font>
    <font>
      <b/>
      <u/>
      <sz val="9"/>
      <name val="Times New Roman"/>
      <family val="1"/>
    </font>
    <font>
      <sz val="9"/>
      <color indexed="30"/>
      <name val="Times New Roman"/>
      <family val="1"/>
    </font>
    <font>
      <sz val="11"/>
      <color rgb="FFFF0000"/>
      <name val="Tahoma"/>
      <family val="2"/>
      <scheme val="minor"/>
    </font>
    <font>
      <b/>
      <sz val="12"/>
      <name val="Saysettha Lao"/>
      <family val="2"/>
    </font>
    <font>
      <b/>
      <sz val="12"/>
      <name val="Saysettha Lao"/>
      <family val="2"/>
    </font>
    <font>
      <b/>
      <i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color rgb="FFFF0000"/>
      <name val="Times New Roman"/>
      <family val="1"/>
      <charset val="163"/>
    </font>
    <font>
      <sz val="12"/>
      <color rgb="FFFF0000"/>
      <name val="Calibri"/>
      <family val="2"/>
      <charset val="163"/>
    </font>
    <font>
      <sz val="12"/>
      <color theme="1"/>
      <name val="Times New Roman"/>
      <family val="1"/>
      <charset val="163"/>
    </font>
    <font>
      <sz val="10"/>
      <name val="Tahoma"/>
      <family val="2"/>
      <charset val="163"/>
      <scheme val="minor"/>
    </font>
    <font>
      <b/>
      <sz val="14"/>
      <name val="Tahoma"/>
      <family val="1"/>
      <charset val="163"/>
      <scheme val="major"/>
    </font>
    <font>
      <sz val="14"/>
      <name val="Tahoma"/>
      <family val="1"/>
      <charset val="163"/>
      <scheme val="major"/>
    </font>
    <font>
      <b/>
      <sz val="14"/>
      <color rgb="FFFF0000"/>
      <name val="Tahoma"/>
      <family val="1"/>
      <charset val="163"/>
      <scheme val="major"/>
    </font>
    <font>
      <b/>
      <sz val="14"/>
      <color theme="1"/>
      <name val="Tahoma"/>
      <family val="1"/>
      <charset val="163"/>
      <scheme val="major"/>
    </font>
    <font>
      <sz val="14"/>
      <color theme="1"/>
      <name val="Tahoma"/>
      <family val="1"/>
      <charset val="163"/>
      <scheme val="major"/>
    </font>
    <font>
      <u/>
      <sz val="12"/>
      <color indexed="8"/>
      <name val="Times New Roman"/>
      <family val="1"/>
    </font>
    <font>
      <b/>
      <u/>
      <sz val="12"/>
      <color indexed="8"/>
      <name val="Times New Roman"/>
      <family val="1"/>
    </font>
    <font>
      <b/>
      <sz val="12"/>
      <color indexed="10"/>
      <name val="Times New Roman"/>
      <family val="1"/>
    </font>
    <font>
      <b/>
      <u/>
      <sz val="12"/>
      <color indexed="8"/>
      <name val="Times New Roman"/>
      <family val="1"/>
      <charset val="163"/>
    </font>
    <font>
      <b/>
      <i/>
      <sz val="12"/>
      <color rgb="FFFF0000"/>
      <name val="Times New Roman"/>
      <family val="1"/>
      <charset val="163"/>
    </font>
    <font>
      <sz val="11"/>
      <color indexed="63"/>
      <name val="Times New Roman"/>
      <family val="1"/>
      <charset val="163"/>
    </font>
    <font>
      <b/>
      <i/>
      <sz val="11"/>
      <color rgb="FFFF0000"/>
      <name val="Times New Roman"/>
      <family val="1"/>
      <charset val="163"/>
    </font>
    <font>
      <b/>
      <sz val="11"/>
      <color rgb="FFFF0000"/>
      <name val="Times New Roman"/>
      <family val="1"/>
      <charset val="163"/>
    </font>
    <font>
      <sz val="9"/>
      <name val="Times New Roman"/>
      <family val="1"/>
      <charset val="163"/>
    </font>
    <font>
      <b/>
      <sz val="9"/>
      <name val="Times New Roman"/>
      <family val="1"/>
      <charset val="163"/>
    </font>
    <font>
      <sz val="11"/>
      <color rgb="FFFF0000"/>
      <name val="Tahoma"/>
      <family val="2"/>
      <charset val="163"/>
      <scheme val="minor"/>
    </font>
    <font>
      <i/>
      <sz val="14"/>
      <name val="Times New Roman"/>
      <family val="1"/>
    </font>
    <font>
      <b/>
      <i/>
      <sz val="12"/>
      <color rgb="FFFF0000"/>
      <name val="Times New Roman"/>
      <family val="1"/>
    </font>
    <font>
      <sz val="14"/>
      <color indexed="8"/>
      <name val="Calibri"/>
      <family val="2"/>
      <charset val="163"/>
    </font>
    <font>
      <sz val="14"/>
      <color indexed="63"/>
      <name val="Times New Roman"/>
      <family val="1"/>
    </font>
    <font>
      <sz val="9"/>
      <color rgb="FFFF0000"/>
      <name val="Times New Roman"/>
      <family val="1"/>
    </font>
    <font>
      <sz val="10"/>
      <color theme="1"/>
      <name val="Times New Roman"/>
      <family val="1"/>
      <charset val="163"/>
    </font>
    <font>
      <b/>
      <i/>
      <sz val="13"/>
      <color indexed="63"/>
      <name val="Times New Roman"/>
      <family val="1"/>
    </font>
    <font>
      <i/>
      <sz val="13"/>
      <color indexed="63"/>
      <name val="Times New Roman"/>
      <family val="1"/>
      <charset val="163"/>
    </font>
    <font>
      <b/>
      <sz val="13"/>
      <color theme="1"/>
      <name val="Tahoma"/>
      <family val="1"/>
      <charset val="163"/>
      <scheme val="major"/>
    </font>
    <font>
      <sz val="13"/>
      <color theme="1"/>
      <name val="Tahoma"/>
      <family val="1"/>
      <charset val="163"/>
      <scheme val="major"/>
    </font>
    <font>
      <sz val="13"/>
      <color rgb="FFFF0000"/>
      <name val="Tahoma"/>
      <family val="1"/>
      <charset val="163"/>
      <scheme val="major"/>
    </font>
    <font>
      <vertAlign val="superscript"/>
      <sz val="12"/>
      <name val="Tahoma"/>
      <family val="1"/>
      <charset val="163"/>
      <scheme val="major"/>
    </font>
    <font>
      <b/>
      <sz val="13"/>
      <color rgb="FFFF0000"/>
      <name val="Tahoma"/>
      <family val="1"/>
      <charset val="163"/>
      <scheme val="major"/>
    </font>
    <font>
      <sz val="12"/>
      <color theme="1"/>
      <name val="Calibri"/>
      <family val="2"/>
      <charset val="163"/>
    </font>
    <font>
      <vertAlign val="superscript"/>
      <sz val="13"/>
      <name val="Tahoma"/>
      <family val="1"/>
      <charset val="163"/>
      <scheme val="major"/>
    </font>
  </fonts>
  <fills count="1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DBEEF3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92D050"/>
      </patternFill>
    </fill>
    <fill>
      <patternFill patternType="solid">
        <fgColor rgb="FF00B0F0"/>
        <bgColor indexed="64"/>
      </patternFill>
    </fill>
  </fills>
  <borders count="9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316">
    <xf numFmtId="0" fontId="0" fillId="0" borderId="0"/>
    <xf numFmtId="43" fontId="41" fillId="0" borderId="0" applyFont="0" applyFill="0" applyBorder="0" applyAlignment="0" applyProtection="0"/>
    <xf numFmtId="189" fontId="80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201" fontId="6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83" fillId="0" borderId="0" applyFont="0" applyFill="0" applyBorder="0" applyAlignment="0" applyProtection="0"/>
    <xf numFmtId="189" fontId="83" fillId="0" borderId="0" applyFont="0" applyFill="0" applyBorder="0" applyAlignment="0" applyProtection="0"/>
    <xf numFmtId="189" fontId="82" fillId="0" borderId="0" applyFont="0" applyFill="0" applyBorder="0" applyAlignment="0" applyProtection="0"/>
    <xf numFmtId="43" fontId="13" fillId="0" borderId="0" applyFont="0" applyFill="0" applyBorder="0" applyAlignment="0" applyProtection="0"/>
    <xf numFmtId="3" fontId="83" fillId="0" borderId="0" applyFont="0" applyFill="0" applyBorder="0" applyAlignment="0" applyProtection="0"/>
    <xf numFmtId="3" fontId="83" fillId="0" borderId="0" applyFont="0" applyFill="0" applyBorder="0" applyAlignment="0" applyProtection="0"/>
    <xf numFmtId="44" fontId="41" fillId="0" borderId="0" applyFont="0" applyFill="0" applyBorder="0" applyAlignment="0" applyProtection="0"/>
    <xf numFmtId="207" fontId="83" fillId="0" borderId="0" applyFont="0" applyFill="0" applyBorder="0" applyAlignment="0" applyProtection="0"/>
    <xf numFmtId="207" fontId="83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3" fillId="0" borderId="0" applyFont="0" applyFill="0" applyBorder="0" applyAlignment="0" applyProtection="0"/>
    <xf numFmtId="189" fontId="74" fillId="0" borderId="0" applyFont="0" applyFill="0" applyBorder="0" applyAlignment="0" applyProtection="0"/>
    <xf numFmtId="2" fontId="83" fillId="0" borderId="0" applyFont="0" applyFill="0" applyBorder="0" applyAlignment="0" applyProtection="0"/>
    <xf numFmtId="2" fontId="83" fillId="0" borderId="0" applyFont="0" applyFill="0" applyBorder="0" applyAlignment="0" applyProtection="0"/>
    <xf numFmtId="0" fontId="10" fillId="0" borderId="0"/>
    <xf numFmtId="0" fontId="109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110" fillId="0" borderId="0"/>
    <xf numFmtId="0" fontId="81" fillId="0" borderId="0"/>
    <xf numFmtId="0" fontId="110" fillId="0" borderId="0"/>
    <xf numFmtId="0" fontId="81" fillId="0" borderId="0"/>
    <xf numFmtId="0" fontId="81" fillId="0" borderId="0"/>
    <xf numFmtId="0" fontId="110" fillId="0" borderId="0"/>
    <xf numFmtId="0" fontId="81" fillId="0" borderId="0"/>
    <xf numFmtId="0" fontId="110" fillId="0" borderId="0"/>
    <xf numFmtId="0" fontId="110" fillId="0" borderId="0"/>
    <xf numFmtId="0" fontId="110" fillId="0" borderId="0"/>
    <xf numFmtId="0" fontId="80" fillId="0" borderId="0"/>
    <xf numFmtId="0" fontId="110" fillId="0" borderId="0"/>
    <xf numFmtId="0" fontId="41" fillId="0" borderId="0"/>
    <xf numFmtId="3" fontId="8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74" fillId="0" borderId="0"/>
    <xf numFmtId="0" fontId="19" fillId="0" borderId="0"/>
    <xf numFmtId="0" fontId="19" fillId="0" borderId="0"/>
    <xf numFmtId="40" fontId="84" fillId="0" borderId="0" applyFont="0" applyFill="0" applyBorder="0" applyAlignment="0" applyProtection="0"/>
    <xf numFmtId="38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10" fontId="83" fillId="0" borderId="0" applyFont="0" applyFill="0" applyBorder="0" applyAlignment="0" applyProtection="0"/>
    <xf numFmtId="0" fontId="85" fillId="0" borderId="0"/>
    <xf numFmtId="208" fontId="83" fillId="0" borderId="0" applyFont="0" applyFill="0" applyBorder="0" applyAlignment="0" applyProtection="0"/>
    <xf numFmtId="209" fontId="83" fillId="0" borderId="0" applyFont="0" applyFill="0" applyBorder="0" applyAlignment="0" applyProtection="0"/>
    <xf numFmtId="210" fontId="86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87" fillId="0" borderId="0"/>
    <xf numFmtId="9" fontId="108" fillId="0" borderId="0" applyFont="0" applyFill="0" applyBorder="0" applyAlignment="0" applyProtection="0"/>
    <xf numFmtId="44" fontId="108" fillId="0" borderId="0" applyFont="0" applyFill="0" applyBorder="0" applyAlignment="0" applyProtection="0"/>
    <xf numFmtId="3" fontId="80" fillId="0" borderId="0"/>
    <xf numFmtId="189" fontId="10" fillId="0" borderId="0" applyFont="0" applyFill="0" applyBorder="0" applyAlignment="0" applyProtection="0"/>
    <xf numFmtId="189" fontId="174" fillId="0" borderId="0" applyFont="0" applyFill="0" applyBorder="0" applyAlignment="0" applyProtection="0"/>
    <xf numFmtId="0" fontId="83" fillId="0" borderId="0"/>
    <xf numFmtId="0" fontId="83" fillId="0" borderId="0"/>
    <xf numFmtId="0" fontId="10" fillId="0" borderId="0"/>
    <xf numFmtId="0" fontId="109" fillId="0" borderId="0"/>
    <xf numFmtId="3" fontId="83" fillId="0" borderId="0"/>
    <xf numFmtId="3" fontId="83" fillId="0" borderId="0"/>
    <xf numFmtId="190" fontId="10" fillId="0" borderId="0" applyFont="0" applyFill="0" applyBorder="0" applyAlignment="0" applyProtection="0"/>
    <xf numFmtId="190" fontId="174" fillId="0" borderId="0" applyFont="0" applyFill="0" applyBorder="0" applyAlignment="0" applyProtection="0"/>
    <xf numFmtId="190" fontId="83" fillId="0" borderId="0" applyFont="0" applyFill="0" applyBorder="0" applyAlignment="0" applyProtection="0"/>
    <xf numFmtId="190" fontId="83" fillId="0" borderId="0" applyFont="0" applyFill="0" applyBorder="0" applyAlignment="0" applyProtection="0"/>
    <xf numFmtId="190" fontId="82" fillId="0" borderId="0" applyFont="0" applyFill="0" applyBorder="0" applyAlignment="0" applyProtection="0"/>
    <xf numFmtId="0" fontId="19" fillId="0" borderId="0"/>
    <xf numFmtId="3" fontId="176" fillId="0" borderId="0"/>
    <xf numFmtId="0" fontId="19" fillId="0" borderId="0"/>
    <xf numFmtId="187" fontId="19" fillId="0" borderId="0" applyFont="0" applyFill="0" applyBorder="0" applyAlignment="0" applyProtection="0"/>
    <xf numFmtId="187" fontId="214" fillId="0" borderId="0" applyFont="0" applyFill="0" applyBorder="0" applyAlignment="0" applyProtection="0"/>
    <xf numFmtId="226" fontId="62" fillId="0" borderId="0" applyFont="0" applyFill="0" applyBorder="0" applyAlignment="0" applyProtection="0"/>
    <xf numFmtId="0" fontId="19" fillId="0" borderId="0"/>
    <xf numFmtId="0" fontId="110" fillId="0" borderId="0"/>
    <xf numFmtId="0" fontId="215" fillId="0" borderId="0"/>
    <xf numFmtId="0" fontId="214" fillId="0" borderId="0"/>
    <xf numFmtId="9" fontId="62" fillId="0" borderId="0" applyFont="0" applyFill="0" applyBorder="0" applyAlignment="0" applyProtection="0"/>
    <xf numFmtId="9" fontId="83" fillId="0" borderId="0" applyFont="0" applyFill="0" applyBorder="0" applyAlignment="0" applyProtection="0"/>
    <xf numFmtId="0" fontId="62" fillId="0" borderId="0" applyBorder="0">
      <protection locked="0"/>
    </xf>
  </cellStyleXfs>
  <cellXfs count="4722">
    <xf numFmtId="0" fontId="0" fillId="0" borderId="0" xfId="0"/>
    <xf numFmtId="0" fontId="42" fillId="0" borderId="0" xfId="0" applyFont="1"/>
    <xf numFmtId="191" fontId="42" fillId="0" borderId="0" xfId="1" applyNumberFormat="1" applyFont="1"/>
    <xf numFmtId="0" fontId="43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 wrapText="1"/>
    </xf>
    <xf numFmtId="191" fontId="43" fillId="0" borderId="1" xfId="1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92" fontId="1" fillId="0" borderId="3" xfId="1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4" fillId="0" borderId="6" xfId="0" applyFont="1" applyBorder="1"/>
    <xf numFmtId="43" fontId="3" fillId="0" borderId="6" xfId="1" applyFont="1" applyFill="1" applyBorder="1" applyAlignment="1">
      <alignment horizontal="right"/>
    </xf>
    <xf numFmtId="0" fontId="5" fillId="0" borderId="6" xfId="0" applyFont="1" applyBorder="1" applyAlignment="1">
      <alignment horizontal="center" vertical="center"/>
    </xf>
    <xf numFmtId="192" fontId="5" fillId="0" borderId="7" xfId="1" applyNumberFormat="1" applyFont="1" applyFill="1" applyBorder="1"/>
    <xf numFmtId="0" fontId="5" fillId="0" borderId="0" xfId="0" applyFont="1"/>
    <xf numFmtId="43" fontId="6" fillId="0" borderId="6" xfId="1" applyFont="1" applyFill="1" applyBorder="1" applyAlignment="1">
      <alignment horizontal="right"/>
    </xf>
    <xf numFmtId="0" fontId="6" fillId="0" borderId="6" xfId="0" applyFont="1" applyBorder="1" applyAlignment="1">
      <alignment horizontal="center" vertical="center"/>
    </xf>
    <xf numFmtId="0" fontId="6" fillId="0" borderId="0" xfId="0" applyFont="1"/>
    <xf numFmtId="0" fontId="7" fillId="0" borderId="6" xfId="0" applyFont="1" applyBorder="1"/>
    <xf numFmtId="0" fontId="3" fillId="0" borderId="6" xfId="0" applyFont="1" applyBorder="1" applyAlignment="1">
      <alignment horizontal="center" vertical="center"/>
    </xf>
    <xf numFmtId="0" fontId="6" fillId="0" borderId="6" xfId="0" applyFont="1" applyBorder="1"/>
    <xf numFmtId="0" fontId="7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horizontal="left" vertical="center"/>
    </xf>
    <xf numFmtId="0" fontId="10" fillId="0" borderId="0" xfId="0" applyFont="1"/>
    <xf numFmtId="0" fontId="8" fillId="2" borderId="10" xfId="0" applyFont="1" applyFill="1" applyBorder="1"/>
    <xf numFmtId="0" fontId="3" fillId="0" borderId="11" xfId="0" applyFont="1" applyBorder="1"/>
    <xf numFmtId="0" fontId="3" fillId="0" borderId="12" xfId="0" applyFont="1" applyBorder="1"/>
    <xf numFmtId="189" fontId="1" fillId="0" borderId="12" xfId="0" applyNumberFormat="1" applyFont="1" applyBorder="1"/>
    <xf numFmtId="2" fontId="1" fillId="0" borderId="12" xfId="0" applyNumberFormat="1" applyFont="1" applyBorder="1"/>
    <xf numFmtId="192" fontId="1" fillId="0" borderId="13" xfId="0" applyNumberFormat="1" applyFont="1" applyBorder="1"/>
    <xf numFmtId="0" fontId="3" fillId="0" borderId="0" xfId="0" applyFont="1"/>
    <xf numFmtId="191" fontId="1" fillId="0" borderId="0" xfId="0" applyNumberFormat="1" applyFont="1"/>
    <xf numFmtId="0" fontId="42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14" xfId="0" applyFont="1" applyBorder="1" applyAlignment="1">
      <alignment horizontal="center"/>
    </xf>
    <xf numFmtId="0" fontId="13" fillId="0" borderId="14" xfId="0" applyFont="1" applyBorder="1"/>
    <xf numFmtId="0" fontId="13" fillId="0" borderId="14" xfId="0" applyFont="1" applyBorder="1" applyAlignment="1">
      <alignment shrinkToFit="1"/>
    </xf>
    <xf numFmtId="193" fontId="13" fillId="0" borderId="14" xfId="1" applyNumberFormat="1" applyFont="1" applyFill="1" applyBorder="1" applyAlignment="1"/>
    <xf numFmtId="43" fontId="13" fillId="0" borderId="14" xfId="1" applyFont="1" applyFill="1" applyBorder="1" applyAlignment="1"/>
    <xf numFmtId="192" fontId="13" fillId="0" borderId="14" xfId="1" applyNumberFormat="1" applyFont="1" applyFill="1" applyBorder="1" applyAlignment="1"/>
    <xf numFmtId="192" fontId="13" fillId="0" borderId="14" xfId="1" applyNumberFormat="1" applyFont="1" applyFill="1" applyBorder="1"/>
    <xf numFmtId="192" fontId="12" fillId="0" borderId="1" xfId="1" applyNumberFormat="1" applyFont="1" applyFill="1" applyBorder="1" applyAlignment="1">
      <alignment horizontal="center" vertical="center" wrapText="1"/>
    </xf>
    <xf numFmtId="192" fontId="12" fillId="3" borderId="1" xfId="1" applyNumberFormat="1" applyFont="1" applyFill="1" applyBorder="1" applyAlignment="1">
      <alignment horizontal="center" vertical="center" wrapText="1"/>
    </xf>
    <xf numFmtId="193" fontId="12" fillId="3" borderId="1" xfId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shrinkToFit="1"/>
    </xf>
    <xf numFmtId="193" fontId="13" fillId="0" borderId="0" xfId="1" applyNumberFormat="1" applyFont="1" applyFill="1"/>
    <xf numFmtId="192" fontId="13" fillId="0" borderId="0" xfId="1" applyNumberFormat="1" applyFont="1" applyFill="1"/>
    <xf numFmtId="192" fontId="8" fillId="0" borderId="0" xfId="0" applyNumberFormat="1" applyFont="1"/>
    <xf numFmtId="192" fontId="13" fillId="0" borderId="0" xfId="0" applyNumberFormat="1" applyFont="1"/>
    <xf numFmtId="192" fontId="15" fillId="0" borderId="0" xfId="1" applyNumberFormat="1" applyFont="1" applyFill="1"/>
    <xf numFmtId="194" fontId="13" fillId="0" borderId="0" xfId="0" applyNumberFormat="1" applyFont="1"/>
    <xf numFmtId="192" fontId="13" fillId="0" borderId="0" xfId="1" applyNumberFormat="1" applyFont="1" applyFill="1" applyAlignment="1">
      <alignment shrinkToFit="1"/>
    </xf>
    <xf numFmtId="193" fontId="15" fillId="0" borderId="0" xfId="1" applyNumberFormat="1" applyFont="1" applyFill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right"/>
    </xf>
    <xf numFmtId="192" fontId="12" fillId="3" borderId="15" xfId="1" applyNumberFormat="1" applyFont="1" applyFill="1" applyBorder="1" applyAlignment="1">
      <alignment horizontal="center" vertical="center" wrapText="1"/>
    </xf>
    <xf numFmtId="0" fontId="12" fillId="0" borderId="15" xfId="1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shrinkToFit="1"/>
    </xf>
    <xf numFmtId="193" fontId="12" fillId="0" borderId="1" xfId="1" applyNumberFormat="1" applyFont="1" applyFill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wrapText="1"/>
    </xf>
    <xf numFmtId="0" fontId="45" fillId="3" borderId="1" xfId="0" applyFont="1" applyFill="1" applyBorder="1" applyAlignment="1">
      <alignment horizontal="center" vertical="center" wrapText="1"/>
    </xf>
    <xf numFmtId="191" fontId="45" fillId="3" borderId="1" xfId="1" applyNumberFormat="1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distributed" wrapText="1"/>
    </xf>
    <xf numFmtId="193" fontId="18" fillId="3" borderId="1" xfId="1" applyNumberFormat="1" applyFont="1" applyFill="1" applyBorder="1" applyAlignment="1">
      <alignment horizontal="center" vertical="distributed" wrapText="1"/>
    </xf>
    <xf numFmtId="0" fontId="13" fillId="0" borderId="0" xfId="274" applyFont="1"/>
    <xf numFmtId="0" fontId="11" fillId="0" borderId="0" xfId="274" applyFont="1" applyAlignment="1">
      <alignment horizontal="center"/>
    </xf>
    <xf numFmtId="0" fontId="8" fillId="0" borderId="0" xfId="274" applyFont="1"/>
    <xf numFmtId="0" fontId="16" fillId="0" borderId="0" xfId="274" applyFont="1" applyAlignment="1">
      <alignment horizontal="center"/>
    </xf>
    <xf numFmtId="0" fontId="8" fillId="0" borderId="0" xfId="274" applyFont="1" applyAlignment="1">
      <alignment horizontal="center"/>
    </xf>
    <xf numFmtId="0" fontId="21" fillId="0" borderId="0" xfId="274" applyFont="1" applyAlignment="1">
      <alignment horizontal="center" vertical="center" wrapText="1"/>
    </xf>
    <xf numFmtId="0" fontId="8" fillId="0" borderId="16" xfId="274" quotePrefix="1" applyFont="1" applyBorder="1" applyAlignment="1">
      <alignment horizontal="center" vertical="center" wrapText="1"/>
    </xf>
    <xf numFmtId="0" fontId="8" fillId="0" borderId="16" xfId="274" quotePrefix="1" applyFont="1" applyBorder="1" applyAlignment="1">
      <alignment horizontal="right" vertical="center" wrapText="1"/>
    </xf>
    <xf numFmtId="0" fontId="8" fillId="0" borderId="16" xfId="274" applyFont="1" applyBorder="1" applyAlignment="1">
      <alignment horizontal="center" vertical="center" wrapText="1"/>
    </xf>
    <xf numFmtId="0" fontId="8" fillId="0" borderId="0" xfId="274" quotePrefix="1" applyFont="1" applyAlignment="1">
      <alignment horizontal="center" vertical="center" wrapText="1"/>
    </xf>
    <xf numFmtId="0" fontId="8" fillId="0" borderId="6" xfId="274" quotePrefix="1" applyFont="1" applyBorder="1" applyAlignment="1">
      <alignment horizontal="center" vertical="center" wrapText="1"/>
    </xf>
    <xf numFmtId="0" fontId="8" fillId="0" borderId="6" xfId="274" quotePrefix="1" applyFont="1" applyBorder="1" applyAlignment="1">
      <alignment horizontal="right" vertical="center" wrapText="1"/>
    </xf>
    <xf numFmtId="0" fontId="8" fillId="0" borderId="6" xfId="274" applyFont="1" applyBorder="1"/>
    <xf numFmtId="0" fontId="46" fillId="0" borderId="6" xfId="274" applyFont="1" applyBorder="1"/>
    <xf numFmtId="0" fontId="46" fillId="0" borderId="6" xfId="274" quotePrefix="1" applyFont="1" applyBorder="1" applyAlignment="1">
      <alignment horizontal="center" vertical="center" wrapText="1"/>
    </xf>
    <xf numFmtId="16" fontId="8" fillId="0" borderId="0" xfId="274" quotePrefix="1" applyNumberFormat="1" applyFont="1"/>
    <xf numFmtId="0" fontId="8" fillId="0" borderId="6" xfId="274" applyFont="1" applyBorder="1" applyAlignment="1">
      <alignment horizontal="center" vertical="center" wrapText="1"/>
    </xf>
    <xf numFmtId="0" fontId="8" fillId="0" borderId="0" xfId="274" quotePrefix="1" applyFont="1"/>
    <xf numFmtId="0" fontId="8" fillId="0" borderId="6" xfId="274" applyFont="1" applyBorder="1" applyAlignment="1">
      <alignment horizontal="center"/>
    </xf>
    <xf numFmtId="0" fontId="8" fillId="0" borderId="17" xfId="274" quotePrefix="1" applyFont="1" applyBorder="1" applyAlignment="1">
      <alignment horizontal="center" vertical="center" wrapText="1"/>
    </xf>
    <xf numFmtId="0" fontId="8" fillId="0" borderId="17" xfId="274" applyFont="1" applyBorder="1"/>
    <xf numFmtId="0" fontId="8" fillId="0" borderId="17" xfId="274" applyFont="1" applyBorder="1" applyAlignment="1">
      <alignment horizontal="center"/>
    </xf>
    <xf numFmtId="2" fontId="8" fillId="0" borderId="6" xfId="274" applyNumberFormat="1" applyFont="1" applyBorder="1" applyAlignment="1">
      <alignment horizontal="right"/>
    </xf>
    <xf numFmtId="16" fontId="8" fillId="0" borderId="6" xfId="274" quotePrefix="1" applyNumberFormat="1" applyFont="1" applyBorder="1" applyAlignment="1">
      <alignment horizontal="center"/>
    </xf>
    <xf numFmtId="2" fontId="8" fillId="0" borderId="17" xfId="274" applyNumberFormat="1" applyFont="1" applyBorder="1" applyAlignment="1">
      <alignment horizontal="center"/>
    </xf>
    <xf numFmtId="0" fontId="8" fillId="0" borderId="16" xfId="274" applyFont="1" applyBorder="1"/>
    <xf numFmtId="0" fontId="8" fillId="0" borderId="16" xfId="274" applyFont="1" applyBorder="1" applyAlignment="1">
      <alignment horizontal="center"/>
    </xf>
    <xf numFmtId="16" fontId="8" fillId="0" borderId="16" xfId="274" quotePrefix="1" applyNumberFormat="1" applyFont="1" applyBorder="1" applyAlignment="1">
      <alignment horizontal="center"/>
    </xf>
    <xf numFmtId="0" fontId="23" fillId="0" borderId="0" xfId="274" applyFont="1" applyAlignment="1">
      <alignment horizontal="center"/>
    </xf>
    <xf numFmtId="0" fontId="10" fillId="0" borderId="0" xfId="274" applyFont="1"/>
    <xf numFmtId="0" fontId="20" fillId="0" borderId="0" xfId="274" applyFont="1" applyAlignment="1">
      <alignment horizontal="center"/>
    </xf>
    <xf numFmtId="0" fontId="10" fillId="0" borderId="16" xfId="274" applyFont="1" applyBorder="1" applyAlignment="1">
      <alignment horizontal="center"/>
    </xf>
    <xf numFmtId="0" fontId="10" fillId="0" borderId="6" xfId="274" applyFont="1" applyBorder="1" applyAlignment="1">
      <alignment horizontal="center"/>
    </xf>
    <xf numFmtId="0" fontId="10" fillId="0" borderId="17" xfId="274" applyFont="1" applyBorder="1" applyAlignment="1">
      <alignment horizontal="center"/>
    </xf>
    <xf numFmtId="0" fontId="2" fillId="0" borderId="1" xfId="274" applyFont="1" applyBorder="1" applyAlignment="1">
      <alignment horizontal="center"/>
    </xf>
    <xf numFmtId="188" fontId="8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28" fillId="0" borderId="0" xfId="0" applyFont="1"/>
    <xf numFmtId="0" fontId="28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42" fillId="0" borderId="6" xfId="0" applyFont="1" applyBorder="1" applyAlignment="1">
      <alignment horizontal="left" vertical="center"/>
    </xf>
    <xf numFmtId="0" fontId="10" fillId="0" borderId="6" xfId="0" applyFont="1" applyBorder="1"/>
    <xf numFmtId="0" fontId="10" fillId="0" borderId="6" xfId="1" applyNumberFormat="1" applyFont="1" applyFill="1" applyBorder="1" applyAlignment="1">
      <alignment vertical="center"/>
    </xf>
    <xf numFmtId="192" fontId="10" fillId="0" borderId="18" xfId="1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6" xfId="0" applyFont="1" applyBorder="1" applyAlignment="1">
      <alignment vertical="center"/>
    </xf>
    <xf numFmtId="189" fontId="10" fillId="0" borderId="6" xfId="1" applyNumberFormat="1" applyFont="1" applyFill="1" applyBorder="1" applyAlignment="1">
      <alignment horizontal="center" vertical="center"/>
    </xf>
    <xf numFmtId="192" fontId="10" fillId="0" borderId="6" xfId="1" applyNumberFormat="1" applyFont="1" applyFill="1" applyBorder="1" applyAlignment="1">
      <alignment vertical="center"/>
    </xf>
    <xf numFmtId="189" fontId="10" fillId="0" borderId="17" xfId="1" applyNumberFormat="1" applyFont="1" applyFill="1" applyBorder="1" applyAlignment="1">
      <alignment horizontal="center" vertical="center"/>
    </xf>
    <xf numFmtId="192" fontId="10" fillId="0" borderId="17" xfId="1" applyNumberFormat="1" applyFont="1" applyFill="1" applyBorder="1" applyAlignment="1">
      <alignment vertical="center"/>
    </xf>
    <xf numFmtId="191" fontId="11" fillId="0" borderId="19" xfId="1" applyNumberFormat="1" applyFont="1" applyFill="1" applyBorder="1" applyAlignment="1">
      <alignment vertical="center"/>
    </xf>
    <xf numFmtId="192" fontId="11" fillId="0" borderId="0" xfId="0" applyNumberFormat="1" applyFont="1" applyAlignment="1">
      <alignment vertical="center"/>
    </xf>
    <xf numFmtId="0" fontId="12" fillId="0" borderId="0" xfId="0" applyFont="1"/>
    <xf numFmtId="191" fontId="17" fillId="0" borderId="0" xfId="0" applyNumberFormat="1" applyFont="1"/>
    <xf numFmtId="43" fontId="11" fillId="0" borderId="0" xfId="0" applyNumberFormat="1" applyFont="1"/>
    <xf numFmtId="0" fontId="33" fillId="0" borderId="0" xfId="0" applyFont="1"/>
    <xf numFmtId="0" fontId="10" fillId="0" borderId="6" xfId="0" applyFont="1" applyBorder="1" applyAlignment="1">
      <alignment horizontal="left"/>
    </xf>
    <xf numFmtId="2" fontId="2" fillId="0" borderId="1" xfId="0" applyNumberFormat="1" applyFont="1" applyBorder="1" applyAlignment="1">
      <alignment vertical="center"/>
    </xf>
    <xf numFmtId="191" fontId="2" fillId="0" borderId="1" xfId="1" applyNumberFormat="1" applyFont="1" applyFill="1" applyBorder="1" applyAlignment="1">
      <alignment vertical="center"/>
    </xf>
    <xf numFmtId="0" fontId="47" fillId="0" borderId="0" xfId="0" applyFont="1"/>
    <xf numFmtId="191" fontId="47" fillId="0" borderId="0" xfId="1" applyNumberFormat="1" applyFont="1"/>
    <xf numFmtId="0" fontId="34" fillId="0" borderId="0" xfId="0" applyFont="1"/>
    <xf numFmtId="193" fontId="34" fillId="0" borderId="0" xfId="1" applyNumberFormat="1" applyFont="1" applyFill="1"/>
    <xf numFmtId="0" fontId="48" fillId="0" borderId="0" xfId="0" applyFont="1"/>
    <xf numFmtId="191" fontId="48" fillId="0" borderId="0" xfId="1" applyNumberFormat="1" applyFont="1"/>
    <xf numFmtId="0" fontId="42" fillId="0" borderId="0" xfId="0" applyFont="1" applyAlignment="1">
      <alignment vertical="center"/>
    </xf>
    <xf numFmtId="3" fontId="43" fillId="0" borderId="1" xfId="0" applyNumberFormat="1" applyFont="1" applyBorder="1" applyAlignment="1">
      <alignment horizontal="center" vertical="center"/>
    </xf>
    <xf numFmtId="192" fontId="13" fillId="0" borderId="14" xfId="1" applyNumberFormat="1" applyFont="1" applyFill="1" applyBorder="1" applyAlignment="1">
      <alignment horizontal="center"/>
    </xf>
    <xf numFmtId="192" fontId="13" fillId="0" borderId="0" xfId="1" applyNumberFormat="1" applyFont="1" applyFill="1" applyAlignment="1">
      <alignment horizontal="center"/>
    </xf>
    <xf numFmtId="0" fontId="34" fillId="0" borderId="0" xfId="0" applyFont="1" applyAlignment="1">
      <alignment horizontal="center"/>
    </xf>
    <xf numFmtId="0" fontId="42" fillId="0" borderId="18" xfId="0" applyFont="1" applyBorder="1" applyAlignment="1">
      <alignment horizontal="center" vertical="center"/>
    </xf>
    <xf numFmtId="0" fontId="42" fillId="0" borderId="18" xfId="0" applyFont="1" applyBorder="1" applyAlignment="1">
      <alignment horizontal="left" vertical="center"/>
    </xf>
    <xf numFmtId="0" fontId="10" fillId="0" borderId="18" xfId="0" applyFont="1" applyBorder="1"/>
    <xf numFmtId="189" fontId="10" fillId="0" borderId="18" xfId="0" applyNumberFormat="1" applyFont="1" applyBorder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20" fillId="0" borderId="0" xfId="274" applyFont="1"/>
    <xf numFmtId="0" fontId="24" fillId="0" borderId="0" xfId="274" applyFont="1"/>
    <xf numFmtId="0" fontId="22" fillId="0" borderId="0" xfId="0" applyFont="1"/>
    <xf numFmtId="0" fontId="20" fillId="0" borderId="0" xfId="0" applyFont="1"/>
    <xf numFmtId="0" fontId="24" fillId="0" borderId="0" xfId="0" applyFont="1"/>
    <xf numFmtId="0" fontId="24" fillId="0" borderId="0" xfId="274" applyFont="1" applyAlignment="1">
      <alignment horizontal="center"/>
    </xf>
    <xf numFmtId="0" fontId="11" fillId="0" borderId="0" xfId="274" applyFont="1"/>
    <xf numFmtId="0" fontId="12" fillId="0" borderId="0" xfId="274" applyFont="1"/>
    <xf numFmtId="0" fontId="12" fillId="0" borderId="0" xfId="274" applyFont="1" applyAlignment="1">
      <alignment horizontal="center"/>
    </xf>
    <xf numFmtId="0" fontId="2" fillId="0" borderId="0" xfId="274" applyFont="1" applyAlignment="1">
      <alignment horizontal="center" vertical="center" wrapText="1"/>
    </xf>
    <xf numFmtId="1" fontId="12" fillId="0" borderId="0" xfId="274" quotePrefix="1" applyNumberFormat="1" applyFont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37" fillId="0" borderId="0" xfId="0" applyFont="1"/>
    <xf numFmtId="0" fontId="12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/>
    </xf>
    <xf numFmtId="196" fontId="8" fillId="0" borderId="16" xfId="0" applyNumberFormat="1" applyFont="1" applyBorder="1" applyAlignment="1">
      <alignment horizontal="center"/>
    </xf>
    <xf numFmtId="14" fontId="8" fillId="0" borderId="16" xfId="0" applyNumberFormat="1" applyFont="1" applyBorder="1" applyAlignment="1">
      <alignment horizontal="center"/>
    </xf>
    <xf numFmtId="192" fontId="8" fillId="0" borderId="16" xfId="1" applyNumberFormat="1" applyFont="1" applyFill="1" applyBorder="1" applyAlignment="1">
      <alignment horizontal="center"/>
    </xf>
    <xf numFmtId="189" fontId="8" fillId="0" borderId="16" xfId="1" applyNumberFormat="1" applyFont="1" applyFill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8" fillId="0" borderId="6" xfId="0" applyFont="1" applyBorder="1" applyAlignment="1">
      <alignment horizontal="center"/>
    </xf>
    <xf numFmtId="196" fontId="8" fillId="0" borderId="6" xfId="0" applyNumberFormat="1" applyFont="1" applyBorder="1" applyAlignment="1">
      <alignment horizontal="center"/>
    </xf>
    <xf numFmtId="14" fontId="8" fillId="0" borderId="6" xfId="0" applyNumberFormat="1" applyFont="1" applyBorder="1" applyAlignment="1">
      <alignment horizontal="center"/>
    </xf>
    <xf numFmtId="192" fontId="8" fillId="0" borderId="6" xfId="1" applyNumberFormat="1" applyFont="1" applyFill="1" applyBorder="1" applyAlignment="1">
      <alignment horizontal="center"/>
    </xf>
    <xf numFmtId="189" fontId="8" fillId="0" borderId="6" xfId="1" applyNumberFormat="1" applyFont="1" applyFill="1" applyBorder="1" applyAlignment="1">
      <alignment horizontal="center"/>
    </xf>
    <xf numFmtId="189" fontId="8" fillId="0" borderId="6" xfId="0" applyNumberFormat="1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192" fontId="8" fillId="0" borderId="17" xfId="1" applyNumberFormat="1" applyFont="1" applyFill="1" applyBorder="1" applyAlignment="1">
      <alignment horizontal="center"/>
    </xf>
    <xf numFmtId="189" fontId="8" fillId="0" borderId="17" xfId="1" applyNumberFormat="1" applyFont="1" applyFill="1" applyBorder="1" applyAlignment="1">
      <alignment horizontal="center"/>
    </xf>
    <xf numFmtId="192" fontId="12" fillId="0" borderId="20" xfId="1" applyNumberFormat="1" applyFont="1" applyFill="1" applyBorder="1" applyAlignment="1">
      <alignment horizontal="center"/>
    </xf>
    <xf numFmtId="189" fontId="12" fillId="0" borderId="20" xfId="1" applyNumberFormat="1" applyFont="1" applyFill="1" applyBorder="1" applyAlignment="1">
      <alignment horizontal="center"/>
    </xf>
    <xf numFmtId="0" fontId="12" fillId="0" borderId="20" xfId="0" applyFont="1" applyBorder="1" applyAlignment="1">
      <alignment horizontal="center"/>
    </xf>
    <xf numFmtId="43" fontId="8" fillId="0" borderId="0" xfId="1" applyFont="1" applyFill="1" applyAlignment="1">
      <alignment horizontal="center"/>
    </xf>
    <xf numFmtId="189" fontId="8" fillId="3" borderId="16" xfId="0" applyNumberFormat="1" applyFont="1" applyFill="1" applyBorder="1" applyAlignment="1">
      <alignment horizontal="center"/>
    </xf>
    <xf numFmtId="0" fontId="10" fillId="0" borderId="16" xfId="1" applyNumberFormat="1" applyFont="1" applyFill="1" applyBorder="1" applyAlignment="1">
      <alignment vertical="center"/>
    </xf>
    <xf numFmtId="189" fontId="8" fillId="3" borderId="6" xfId="0" applyNumberFormat="1" applyFont="1" applyFill="1" applyBorder="1" applyAlignment="1">
      <alignment horizontal="center"/>
    </xf>
    <xf numFmtId="189" fontId="8" fillId="3" borderId="6" xfId="1" applyNumberFormat="1" applyFont="1" applyFill="1" applyBorder="1" applyAlignment="1">
      <alignment horizontal="center" vertical="center" shrinkToFit="1"/>
    </xf>
    <xf numFmtId="0" fontId="8" fillId="0" borderId="0" xfId="274" applyFont="1" applyAlignment="1">
      <alignment horizontal="center" vertical="center"/>
    </xf>
    <xf numFmtId="0" fontId="8" fillId="0" borderId="21" xfId="274" applyFont="1" applyBorder="1" applyAlignment="1">
      <alignment horizontal="center" vertical="center"/>
    </xf>
    <xf numFmtId="0" fontId="42" fillId="0" borderId="22" xfId="0" applyFont="1" applyBorder="1" applyAlignment="1">
      <alignment horizontal="center" vertical="center"/>
    </xf>
    <xf numFmtId="0" fontId="42" fillId="0" borderId="23" xfId="0" applyFont="1" applyBorder="1" applyAlignment="1">
      <alignment horizontal="left" vertical="center"/>
    </xf>
    <xf numFmtId="0" fontId="10" fillId="0" borderId="23" xfId="0" applyFont="1" applyBorder="1" applyAlignment="1">
      <alignment horizontal="left"/>
    </xf>
    <xf numFmtId="189" fontId="8" fillId="3" borderId="23" xfId="1" applyNumberFormat="1" applyFont="1" applyFill="1" applyBorder="1" applyAlignment="1">
      <alignment horizontal="center" vertical="center" shrinkToFit="1"/>
    </xf>
    <xf numFmtId="191" fontId="13" fillId="0" borderId="0" xfId="1" applyNumberFormat="1" applyFont="1"/>
    <xf numFmtId="191" fontId="8" fillId="0" borderId="0" xfId="1" applyNumberFormat="1" applyFont="1"/>
    <xf numFmtId="191" fontId="8" fillId="0" borderId="0" xfId="1" applyNumberFormat="1" applyFont="1" applyAlignment="1">
      <alignment horizontal="center"/>
    </xf>
    <xf numFmtId="191" fontId="13" fillId="0" borderId="0" xfId="1" applyNumberFormat="1" applyFont="1" applyAlignment="1">
      <alignment vertical="center"/>
    </xf>
    <xf numFmtId="191" fontId="11" fillId="0" borderId="1" xfId="1" applyNumberFormat="1" applyFont="1" applyFill="1" applyBorder="1" applyAlignment="1">
      <alignment horizontal="center" vertical="center" wrapText="1"/>
    </xf>
    <xf numFmtId="191" fontId="8" fillId="0" borderId="0" xfId="1" applyNumberFormat="1" applyFont="1" applyFill="1" applyAlignment="1">
      <alignment vertical="center"/>
    </xf>
    <xf numFmtId="191" fontId="11" fillId="0" borderId="0" xfId="1" applyNumberFormat="1" applyFont="1" applyAlignment="1">
      <alignment vertical="center"/>
    </xf>
    <xf numFmtId="0" fontId="12" fillId="0" borderId="1" xfId="274" applyFont="1" applyBorder="1" applyAlignment="1">
      <alignment horizontal="center" vertical="center" wrapText="1"/>
    </xf>
    <xf numFmtId="0" fontId="38" fillId="0" borderId="1" xfId="274" applyFont="1" applyBorder="1" applyAlignment="1">
      <alignment horizontal="center" vertical="center" wrapText="1"/>
    </xf>
    <xf numFmtId="0" fontId="38" fillId="0" borderId="1" xfId="274" applyFont="1" applyBorder="1" applyAlignment="1">
      <alignment vertical="center" wrapText="1"/>
    </xf>
    <xf numFmtId="0" fontId="39" fillId="0" borderId="1" xfId="274" applyFont="1" applyBorder="1" applyAlignment="1">
      <alignment vertical="center" wrapText="1"/>
    </xf>
    <xf numFmtId="0" fontId="39" fillId="0" borderId="1" xfId="274" applyFont="1" applyBorder="1" applyAlignment="1">
      <alignment vertical="center"/>
    </xf>
    <xf numFmtId="0" fontId="39" fillId="0" borderId="1" xfId="274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/>
    </xf>
    <xf numFmtId="0" fontId="38" fillId="0" borderId="1" xfId="274" applyFont="1" applyBorder="1" applyAlignment="1">
      <alignment horizontal="center"/>
    </xf>
    <xf numFmtId="0" fontId="8" fillId="0" borderId="1" xfId="274" quotePrefix="1" applyFont="1" applyBorder="1" applyAlignment="1">
      <alignment horizontal="center" vertical="center" wrapText="1"/>
    </xf>
    <xf numFmtId="189" fontId="8" fillId="0" borderId="0" xfId="0" applyNumberFormat="1" applyFont="1" applyAlignment="1">
      <alignment vertical="center"/>
    </xf>
    <xf numFmtId="191" fontId="8" fillId="0" borderId="0" xfId="0" applyNumberFormat="1" applyFont="1" applyAlignment="1">
      <alignment vertical="center"/>
    </xf>
    <xf numFmtId="191" fontId="11" fillId="0" borderId="0" xfId="0" applyNumberFormat="1" applyFont="1" applyAlignment="1">
      <alignment vertical="center"/>
    </xf>
    <xf numFmtId="189" fontId="13" fillId="0" borderId="0" xfId="0" applyNumberFormat="1" applyFont="1"/>
    <xf numFmtId="43" fontId="11" fillId="0" borderId="0" xfId="1" applyFont="1" applyAlignment="1">
      <alignment vertical="center"/>
    </xf>
    <xf numFmtId="0" fontId="8" fillId="0" borderId="21" xfId="274" quotePrefix="1" applyFont="1" applyBorder="1" applyAlignment="1">
      <alignment horizontal="center" vertical="center" wrapText="1"/>
    </xf>
    <xf numFmtId="0" fontId="8" fillId="0" borderId="21" xfId="274" applyFont="1" applyBorder="1" applyAlignment="1">
      <alignment horizontal="center"/>
    </xf>
    <xf numFmtId="192" fontId="12" fillId="0" borderId="0" xfId="0" applyNumberFormat="1" applyFont="1"/>
    <xf numFmtId="192" fontId="12" fillId="0" borderId="15" xfId="0" applyNumberFormat="1" applyFont="1" applyBorder="1" applyAlignment="1">
      <alignment horizontal="center" vertical="center" wrapText="1"/>
    </xf>
    <xf numFmtId="192" fontId="12" fillId="0" borderId="16" xfId="1" applyNumberFormat="1" applyFont="1" applyFill="1" applyBorder="1" applyAlignment="1">
      <alignment horizontal="center"/>
    </xf>
    <xf numFmtId="192" fontId="12" fillId="0" borderId="6" xfId="1" applyNumberFormat="1" applyFont="1" applyFill="1" applyBorder="1" applyAlignment="1">
      <alignment horizontal="center"/>
    </xf>
    <xf numFmtId="192" fontId="8" fillId="0" borderId="0" xfId="0" applyNumberFormat="1" applyFont="1" applyAlignment="1">
      <alignment horizontal="center"/>
    </xf>
    <xf numFmtId="0" fontId="15" fillId="0" borderId="6" xfId="0" applyFont="1" applyBorder="1" applyAlignment="1">
      <alignment horizontal="center"/>
    </xf>
    <xf numFmtId="198" fontId="42" fillId="0" borderId="0" xfId="0" applyNumberFormat="1" applyFont="1"/>
    <xf numFmtId="0" fontId="43" fillId="0" borderId="24" xfId="0" applyFont="1" applyBorder="1" applyAlignment="1">
      <alignment horizontal="center" vertical="center"/>
    </xf>
    <xf numFmtId="3" fontId="43" fillId="0" borderId="24" xfId="0" applyNumberFormat="1" applyFont="1" applyBorder="1" applyAlignment="1">
      <alignment horizontal="center" vertical="center"/>
    </xf>
    <xf numFmtId="192" fontId="8" fillId="0" borderId="17" xfId="1" applyNumberFormat="1" applyFont="1" applyFill="1" applyBorder="1" applyAlignment="1">
      <alignment horizontal="center" vertical="center" shrinkToFit="1"/>
    </xf>
    <xf numFmtId="189" fontId="12" fillId="0" borderId="1" xfId="1" applyNumberFormat="1" applyFont="1" applyFill="1" applyBorder="1" applyAlignment="1">
      <alignment vertical="center" shrinkToFit="1"/>
    </xf>
    <xf numFmtId="192" fontId="12" fillId="0" borderId="1" xfId="1" applyNumberFormat="1" applyFont="1" applyFill="1" applyBorder="1" applyAlignment="1">
      <alignment vertical="center" shrinkToFit="1"/>
    </xf>
    <xf numFmtId="192" fontId="12" fillId="0" borderId="1" xfId="1" applyNumberFormat="1" applyFont="1" applyFill="1" applyBorder="1" applyAlignment="1">
      <alignment horizontal="center" vertical="center" shrinkToFit="1"/>
    </xf>
    <xf numFmtId="0" fontId="12" fillId="0" borderId="14" xfId="0" applyFont="1" applyBorder="1"/>
    <xf numFmtId="191" fontId="5" fillId="0" borderId="0" xfId="1" applyNumberFormat="1" applyFont="1" applyFill="1"/>
    <xf numFmtId="3" fontId="42" fillId="0" borderId="0" xfId="0" applyNumberFormat="1" applyFont="1" applyAlignment="1">
      <alignment vertical="center"/>
    </xf>
    <xf numFmtId="3" fontId="43" fillId="0" borderId="1" xfId="0" applyNumberFormat="1" applyFont="1" applyBorder="1" applyAlignment="1">
      <alignment horizontal="right" vertical="center"/>
    </xf>
    <xf numFmtId="1" fontId="12" fillId="0" borderId="20" xfId="0" applyNumberFormat="1" applyFont="1" applyBorder="1" applyAlignment="1">
      <alignment horizontal="center" wrapText="1"/>
    </xf>
    <xf numFmtId="1" fontId="12" fillId="0" borderId="15" xfId="0" applyNumberFormat="1" applyFont="1" applyBorder="1" applyAlignment="1">
      <alignment horizontal="center" wrapText="1"/>
    </xf>
    <xf numFmtId="0" fontId="8" fillId="0" borderId="1" xfId="0" applyFont="1" applyBorder="1" applyAlignment="1">
      <alignment horizontal="left" vertical="center"/>
    </xf>
    <xf numFmtId="0" fontId="12" fillId="0" borderId="0" xfId="0" applyFont="1" applyAlignment="1">
      <alignment horizontal="center"/>
    </xf>
    <xf numFmtId="192" fontId="8" fillId="0" borderId="25" xfId="1" applyNumberFormat="1" applyFont="1" applyFill="1" applyBorder="1" applyAlignment="1">
      <alignment vertical="center"/>
    </xf>
    <xf numFmtId="3" fontId="8" fillId="0" borderId="26" xfId="0" applyNumberFormat="1" applyFont="1" applyBorder="1" applyAlignment="1">
      <alignment vertical="center"/>
    </xf>
    <xf numFmtId="189" fontId="0" fillId="0" borderId="0" xfId="0" applyNumberFormat="1"/>
    <xf numFmtId="0" fontId="58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35" fillId="0" borderId="0" xfId="0" applyFont="1"/>
    <xf numFmtId="0" fontId="12" fillId="0" borderId="14" xfId="0" applyFont="1" applyBorder="1" applyAlignment="1">
      <alignment horizontal="center"/>
    </xf>
    <xf numFmtId="0" fontId="35" fillId="0" borderId="1" xfId="0" applyFont="1" applyBorder="1" applyAlignment="1">
      <alignment horizontal="center" vertical="center" wrapText="1"/>
    </xf>
    <xf numFmtId="193" fontId="35" fillId="0" borderId="1" xfId="1" applyNumberFormat="1" applyFont="1" applyFill="1" applyBorder="1" applyAlignment="1">
      <alignment horizontal="center" vertical="center" wrapText="1"/>
    </xf>
    <xf numFmtId="0" fontId="12" fillId="0" borderId="1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4" fontId="50" fillId="0" borderId="1" xfId="1" applyNumberFormat="1" applyFont="1" applyFill="1" applyBorder="1" applyAlignment="1">
      <alignment vertical="center"/>
    </xf>
    <xf numFmtId="0" fontId="35" fillId="0" borderId="0" xfId="0" applyFont="1" applyAlignment="1">
      <alignment horizontal="center"/>
    </xf>
    <xf numFmtId="0" fontId="59" fillId="0" borderId="0" xfId="0" applyFont="1"/>
    <xf numFmtId="0" fontId="59" fillId="0" borderId="0" xfId="0" applyFont="1" applyAlignment="1">
      <alignment horizontal="center"/>
    </xf>
    <xf numFmtId="0" fontId="13" fillId="0" borderId="6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4" fontId="4" fillId="0" borderId="0" xfId="0" applyNumberFormat="1" applyFont="1"/>
    <xf numFmtId="4" fontId="12" fillId="0" borderId="1" xfId="1" applyNumberFormat="1" applyFont="1" applyFill="1" applyBorder="1" applyAlignment="1">
      <alignment vertical="center"/>
    </xf>
    <xf numFmtId="0" fontId="68" fillId="0" borderId="0" xfId="0" applyFont="1" applyAlignment="1">
      <alignment vertical="center"/>
    </xf>
    <xf numFmtId="192" fontId="8" fillId="0" borderId="30" xfId="1" applyNumberFormat="1" applyFont="1" applyFill="1" applyBorder="1" applyAlignment="1">
      <alignment vertical="center"/>
    </xf>
    <xf numFmtId="2" fontId="8" fillId="0" borderId="25" xfId="0" applyNumberFormat="1" applyFont="1" applyBorder="1" applyAlignment="1">
      <alignment horizontal="right" wrapText="1"/>
    </xf>
    <xf numFmtId="189" fontId="12" fillId="0" borderId="1" xfId="1" applyNumberFormat="1" applyFont="1" applyFill="1" applyBorder="1" applyAlignment="1">
      <alignment horizontal="right" vertical="center" shrinkToFit="1"/>
    </xf>
    <xf numFmtId="192" fontId="12" fillId="0" borderId="1" xfId="1" applyNumberFormat="1" applyFont="1" applyFill="1" applyBorder="1" applyAlignment="1">
      <alignment horizontal="right" vertical="center" shrinkToFit="1"/>
    </xf>
    <xf numFmtId="0" fontId="69" fillId="4" borderId="0" xfId="0" applyFont="1" applyFill="1"/>
    <xf numFmtId="0" fontId="70" fillId="4" borderId="0" xfId="0" applyFont="1" applyFill="1" applyAlignment="1">
      <alignment horizontal="center"/>
    </xf>
    <xf numFmtId="0" fontId="70" fillId="4" borderId="14" xfId="0" applyFont="1" applyFill="1" applyBorder="1" applyAlignment="1">
      <alignment horizontal="center"/>
    </xf>
    <xf numFmtId="0" fontId="70" fillId="4" borderId="1" xfId="0" applyFont="1" applyFill="1" applyBorder="1" applyAlignment="1">
      <alignment horizontal="center" vertical="center" wrapText="1"/>
    </xf>
    <xf numFmtId="0" fontId="70" fillId="4" borderId="0" xfId="0" applyFont="1" applyFill="1"/>
    <xf numFmtId="0" fontId="69" fillId="0" borderId="0" xfId="0" applyFont="1"/>
    <xf numFmtId="0" fontId="70" fillId="0" borderId="0" xfId="0" applyFont="1" applyAlignment="1">
      <alignment horizontal="center"/>
    </xf>
    <xf numFmtId="0" fontId="70" fillId="0" borderId="14" xfId="0" applyFont="1" applyBorder="1" applyAlignment="1">
      <alignment horizontal="center"/>
    </xf>
    <xf numFmtId="4" fontId="12" fillId="5" borderId="1" xfId="1" applyNumberFormat="1" applyFont="1" applyFill="1" applyBorder="1" applyAlignment="1">
      <alignment vertical="center"/>
    </xf>
    <xf numFmtId="3" fontId="12" fillId="0" borderId="1" xfId="1" applyNumberFormat="1" applyFont="1" applyFill="1" applyBorder="1" applyAlignment="1">
      <alignment vertical="center"/>
    </xf>
    <xf numFmtId="192" fontId="8" fillId="0" borderId="30" xfId="1" applyNumberFormat="1" applyFont="1" applyFill="1" applyBorder="1" applyAlignment="1">
      <alignment vertical="center" shrinkToFit="1"/>
    </xf>
    <xf numFmtId="1" fontId="11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/>
    </xf>
    <xf numFmtId="4" fontId="22" fillId="0" borderId="0" xfId="0" applyNumberFormat="1" applyFont="1" applyAlignment="1">
      <alignment horizontal="center"/>
    </xf>
    <xf numFmtId="4" fontId="22" fillId="0" borderId="0" xfId="0" applyNumberFormat="1" applyFont="1" applyAlignment="1">
      <alignment horizontal="right"/>
    </xf>
    <xf numFmtId="0" fontId="2" fillId="0" borderId="0" xfId="0" applyFont="1"/>
    <xf numFmtId="199" fontId="2" fillId="0" borderId="0" xfId="0" applyNumberFormat="1" applyFont="1"/>
    <xf numFmtId="0" fontId="32" fillId="0" borderId="0" xfId="0" applyFont="1" applyAlignment="1">
      <alignment horizontal="center"/>
    </xf>
    <xf numFmtId="4" fontId="13" fillId="0" borderId="0" xfId="0" applyNumberFormat="1" applyFont="1" applyAlignment="1">
      <alignment horizontal="center"/>
    </xf>
    <xf numFmtId="4" fontId="13" fillId="0" borderId="0" xfId="0" applyNumberFormat="1" applyFont="1" applyAlignment="1">
      <alignment horizontal="right"/>
    </xf>
    <xf numFmtId="2" fontId="10" fillId="0" borderId="0" xfId="0" applyNumberFormat="1" applyFont="1"/>
    <xf numFmtId="0" fontId="10" fillId="0" borderId="0" xfId="0" applyFont="1" applyAlignment="1">
      <alignment horizontal="center"/>
    </xf>
    <xf numFmtId="4" fontId="10" fillId="0" borderId="0" xfId="0" applyNumberFormat="1" applyFont="1" applyAlignment="1">
      <alignment horizontal="center"/>
    </xf>
    <xf numFmtId="4" fontId="10" fillId="0" borderId="0" xfId="0" applyNumberFormat="1" applyFont="1" applyAlignment="1">
      <alignment horizontal="right"/>
    </xf>
    <xf numFmtId="4" fontId="2" fillId="0" borderId="0" xfId="0" applyNumberFormat="1" applyFont="1"/>
    <xf numFmtId="4" fontId="2" fillId="0" borderId="0" xfId="0" applyNumberFormat="1" applyFont="1" applyAlignment="1">
      <alignment horizontal="right"/>
    </xf>
    <xf numFmtId="2" fontId="26" fillId="0" borderId="0" xfId="0" applyNumberFormat="1" applyFont="1"/>
    <xf numFmtId="2" fontId="11" fillId="0" borderId="0" xfId="0" applyNumberFormat="1" applyFont="1"/>
    <xf numFmtId="4" fontId="11" fillId="0" borderId="0" xfId="0" applyNumberFormat="1" applyFont="1" applyAlignment="1">
      <alignment horizontal="right"/>
    </xf>
    <xf numFmtId="4" fontId="11" fillId="0" borderId="1" xfId="0" applyNumberFormat="1" applyFont="1" applyBorder="1" applyAlignment="1">
      <alignment horizontal="right" vertical="center"/>
    </xf>
    <xf numFmtId="3" fontId="11" fillId="0" borderId="1" xfId="1" applyNumberFormat="1" applyFont="1" applyFill="1" applyBorder="1" applyAlignment="1">
      <alignment horizontal="center" vertical="center"/>
    </xf>
    <xf numFmtId="3" fontId="11" fillId="0" borderId="1" xfId="0" applyNumberFormat="1" applyFont="1" applyBorder="1" applyAlignment="1">
      <alignment horizontal="right" vertical="center"/>
    </xf>
    <xf numFmtId="199" fontId="11" fillId="0" borderId="0" xfId="0" applyNumberFormat="1" applyFont="1"/>
    <xf numFmtId="0" fontId="61" fillId="0" borderId="0" xfId="256" applyFont="1"/>
    <xf numFmtId="0" fontId="11" fillId="0" borderId="0" xfId="256" applyFont="1"/>
    <xf numFmtId="0" fontId="11" fillId="0" borderId="0" xfId="256" applyFont="1" applyAlignment="1">
      <alignment horizontal="center"/>
    </xf>
    <xf numFmtId="0" fontId="13" fillId="0" borderId="0" xfId="256" applyFont="1" applyAlignment="1">
      <alignment horizontal="center"/>
    </xf>
    <xf numFmtId="0" fontId="13" fillId="0" borderId="0" xfId="256" applyFont="1"/>
    <xf numFmtId="0" fontId="35" fillId="0" borderId="0" xfId="256" applyFont="1" applyAlignment="1">
      <alignment horizontal="center" vertical="center"/>
    </xf>
    <xf numFmtId="0" fontId="31" fillId="0" borderId="0" xfId="256" applyFont="1" applyAlignment="1">
      <alignment horizontal="center" vertical="center"/>
    </xf>
    <xf numFmtId="0" fontId="35" fillId="0" borderId="15" xfId="256" applyFont="1" applyBorder="1" applyAlignment="1">
      <alignment horizontal="center" vertical="center"/>
    </xf>
    <xf numFmtId="0" fontId="35" fillId="0" borderId="15" xfId="256" applyFont="1" applyBorder="1" applyAlignment="1">
      <alignment horizontal="center" vertical="center" wrapText="1"/>
    </xf>
    <xf numFmtId="0" fontId="35" fillId="0" borderId="15" xfId="256" applyFont="1" applyBorder="1" applyAlignment="1">
      <alignment horizontal="center" vertical="center" wrapText="1" shrinkToFit="1"/>
    </xf>
    <xf numFmtId="202" fontId="8" fillId="0" borderId="0" xfId="256" applyNumberFormat="1" applyFont="1" applyAlignment="1">
      <alignment horizontal="center"/>
    </xf>
    <xf numFmtId="0" fontId="61" fillId="0" borderId="1" xfId="256" applyFont="1" applyBorder="1"/>
    <xf numFmtId="0" fontId="72" fillId="0" borderId="0" xfId="256" applyFont="1"/>
    <xf numFmtId="0" fontId="66" fillId="0" borderId="27" xfId="256" applyFont="1" applyBorder="1" applyAlignment="1">
      <alignment vertical="center"/>
    </xf>
    <xf numFmtId="0" fontId="66" fillId="0" borderId="21" xfId="256" applyFont="1" applyBorder="1" applyAlignment="1">
      <alignment vertical="center"/>
    </xf>
    <xf numFmtId="0" fontId="66" fillId="0" borderId="31" xfId="256" applyFont="1" applyBorder="1" applyAlignment="1">
      <alignment vertical="center"/>
    </xf>
    <xf numFmtId="0" fontId="4" fillId="0" borderId="16" xfId="256" applyFont="1" applyBorder="1" applyAlignment="1">
      <alignment horizontal="center" vertical="center"/>
    </xf>
    <xf numFmtId="0" fontId="8" fillId="0" borderId="16" xfId="0" applyFont="1" applyBorder="1" applyAlignment="1">
      <alignment vertical="center"/>
    </xf>
    <xf numFmtId="0" fontId="8" fillId="0" borderId="16" xfId="0" applyFont="1" applyBorder="1" applyAlignment="1">
      <alignment horizontal="left" vertical="center"/>
    </xf>
    <xf numFmtId="0" fontId="4" fillId="0" borderId="16" xfId="0" applyFont="1" applyBorder="1" applyAlignment="1">
      <alignment horizontal="center" vertical="center"/>
    </xf>
    <xf numFmtId="202" fontId="4" fillId="0" borderId="16" xfId="256" applyNumberFormat="1" applyFont="1" applyBorder="1" applyAlignment="1">
      <alignment horizontal="left" vertical="center"/>
    </xf>
    <xf numFmtId="202" fontId="4" fillId="2" borderId="16" xfId="256" applyNumberFormat="1" applyFont="1" applyFill="1" applyBorder="1" applyAlignment="1">
      <alignment horizontal="left" vertical="center"/>
    </xf>
    <xf numFmtId="204" fontId="4" fillId="0" borderId="16" xfId="256" applyNumberFormat="1" applyFont="1" applyBorder="1" applyAlignment="1">
      <alignment horizontal="left" vertical="center"/>
    </xf>
    <xf numFmtId="0" fontId="8" fillId="2" borderId="16" xfId="274" applyFont="1" applyFill="1" applyBorder="1" applyAlignment="1">
      <alignment horizontal="right" vertical="center"/>
    </xf>
    <xf numFmtId="0" fontId="8" fillId="0" borderId="16" xfId="256" applyFont="1" applyBorder="1" applyAlignment="1">
      <alignment horizontal="center"/>
    </xf>
    <xf numFmtId="2" fontId="8" fillId="2" borderId="16" xfId="256" applyNumberFormat="1" applyFont="1" applyFill="1" applyBorder="1" applyAlignment="1">
      <alignment horizontal="center"/>
    </xf>
    <xf numFmtId="189" fontId="8" fillId="0" borderId="16" xfId="256" applyNumberFormat="1" applyFont="1" applyBorder="1" applyAlignment="1">
      <alignment horizontal="center"/>
    </xf>
    <xf numFmtId="0" fontId="61" fillId="0" borderId="6" xfId="256" applyFont="1" applyBorder="1"/>
    <xf numFmtId="0" fontId="4" fillId="0" borderId="6" xfId="256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202" fontId="4" fillId="0" borderId="6" xfId="256" applyNumberFormat="1" applyFont="1" applyBorder="1" applyAlignment="1">
      <alignment horizontal="left" vertical="center"/>
    </xf>
    <xf numFmtId="204" fontId="4" fillId="0" borderId="6" xfId="256" applyNumberFormat="1" applyFont="1" applyBorder="1" applyAlignment="1">
      <alignment horizontal="left" vertical="center"/>
    </xf>
    <xf numFmtId="0" fontId="8" fillId="0" borderId="6" xfId="274" applyFont="1" applyBorder="1" applyAlignment="1">
      <alignment horizontal="right" vertical="center"/>
    </xf>
    <xf numFmtId="43" fontId="4" fillId="0" borderId="6" xfId="1" applyFont="1" applyFill="1" applyBorder="1" applyAlignment="1">
      <alignment horizontal="left" vertical="center"/>
    </xf>
    <xf numFmtId="0" fontId="8" fillId="0" borderId="6" xfId="256" applyFont="1" applyBorder="1" applyAlignment="1">
      <alignment horizontal="center"/>
    </xf>
    <xf numFmtId="1" fontId="8" fillId="0" borderId="6" xfId="256" applyNumberFormat="1" applyFont="1" applyBorder="1" applyAlignment="1">
      <alignment horizontal="center"/>
    </xf>
    <xf numFmtId="189" fontId="8" fillId="0" borderId="6" xfId="256" applyNumberFormat="1" applyFont="1" applyBorder="1" applyAlignment="1">
      <alignment horizontal="center"/>
    </xf>
    <xf numFmtId="0" fontId="35" fillId="0" borderId="6" xfId="256" applyFont="1" applyBorder="1" applyAlignment="1">
      <alignment horizontal="left" vertical="center"/>
    </xf>
    <xf numFmtId="3" fontId="12" fillId="0" borderId="32" xfId="0" applyNumberFormat="1" applyFont="1" applyBorder="1" applyAlignment="1">
      <alignment horizontal="left" vertical="center"/>
    </xf>
    <xf numFmtId="3" fontId="12" fillId="0" borderId="33" xfId="0" quotePrefix="1" applyNumberFormat="1" applyFont="1" applyBorder="1" applyAlignment="1">
      <alignment horizontal="left" vertical="center"/>
    </xf>
    <xf numFmtId="3" fontId="12" fillId="0" borderId="34" xfId="0" quotePrefix="1" applyNumberFormat="1" applyFont="1" applyBorder="1" applyAlignment="1">
      <alignment horizontal="left" vertical="center"/>
    </xf>
    <xf numFmtId="203" fontId="8" fillId="0" borderId="6" xfId="8" applyNumberFormat="1" applyFont="1" applyFill="1" applyBorder="1" applyAlignment="1">
      <alignment horizontal="center" vertical="center"/>
    </xf>
    <xf numFmtId="202" fontId="8" fillId="0" borderId="6" xfId="256" applyNumberFormat="1" applyFont="1" applyBorder="1" applyAlignment="1">
      <alignment horizontal="center"/>
    </xf>
    <xf numFmtId="0" fontId="67" fillId="0" borderId="1" xfId="256" applyFont="1" applyBorder="1"/>
    <xf numFmtId="0" fontId="35" fillId="0" borderId="1" xfId="256" applyFont="1" applyBorder="1" applyAlignment="1">
      <alignment horizontal="center" vertical="center"/>
    </xf>
    <xf numFmtId="202" fontId="67" fillId="0" borderId="1" xfId="256" applyNumberFormat="1" applyFont="1" applyBorder="1"/>
    <xf numFmtId="204" fontId="67" fillId="0" borderId="1" xfId="256" applyNumberFormat="1" applyFont="1" applyBorder="1"/>
    <xf numFmtId="189" fontId="72" fillId="0" borderId="0" xfId="256" applyNumberFormat="1" applyFont="1"/>
    <xf numFmtId="0" fontId="63" fillId="0" borderId="0" xfId="256" applyFont="1"/>
    <xf numFmtId="0" fontId="4" fillId="0" borderId="0" xfId="256" applyFont="1"/>
    <xf numFmtId="0" fontId="61" fillId="6" borderId="0" xfId="256" applyFont="1" applyFill="1"/>
    <xf numFmtId="3" fontId="13" fillId="0" borderId="6" xfId="0" applyNumberFormat="1" applyFont="1" applyBorder="1" applyAlignment="1">
      <alignment vertical="center"/>
    </xf>
    <xf numFmtId="1" fontId="8" fillId="0" borderId="25" xfId="0" applyNumberFormat="1" applyFont="1" applyBorder="1" applyAlignment="1">
      <alignment horizontal="center" vertical="center" wrapText="1"/>
    </xf>
    <xf numFmtId="1" fontId="12" fillId="0" borderId="25" xfId="0" applyNumberFormat="1" applyFont="1" applyBorder="1" applyAlignment="1">
      <alignment horizontal="center" vertical="center" wrapText="1"/>
    </xf>
    <xf numFmtId="0" fontId="9" fillId="0" borderId="25" xfId="0" applyFont="1" applyBorder="1" applyAlignment="1">
      <alignment vertical="center"/>
    </xf>
    <xf numFmtId="2" fontId="8" fillId="0" borderId="25" xfId="0" applyNumberFormat="1" applyFont="1" applyBorder="1" applyAlignment="1">
      <alignment horizontal="right" vertical="center" wrapText="1"/>
    </xf>
    <xf numFmtId="191" fontId="8" fillId="0" borderId="25" xfId="1" applyNumberFormat="1" applyFont="1" applyFill="1" applyBorder="1" applyAlignment="1">
      <alignment horizontal="center" vertical="center" wrapText="1"/>
    </xf>
    <xf numFmtId="192" fontId="8" fillId="0" borderId="25" xfId="1" applyNumberFormat="1" applyFont="1" applyFill="1" applyBorder="1" applyAlignment="1">
      <alignment vertical="center" shrinkToFit="1"/>
    </xf>
    <xf numFmtId="3" fontId="65" fillId="0" borderId="35" xfId="0" applyNumberFormat="1" applyFont="1" applyBorder="1" applyAlignment="1">
      <alignment horizontal="center" vertical="top" wrapText="1"/>
    </xf>
    <xf numFmtId="3" fontId="65" fillId="0" borderId="36" xfId="0" applyNumberFormat="1" applyFont="1" applyBorder="1" applyAlignment="1">
      <alignment horizontal="center" vertical="top" wrapText="1"/>
    </xf>
    <xf numFmtId="3" fontId="4" fillId="0" borderId="0" xfId="0" applyNumberFormat="1" applyFont="1"/>
    <xf numFmtId="3" fontId="7" fillId="0" borderId="1" xfId="0" applyNumberFormat="1" applyFont="1" applyBorder="1" applyAlignment="1">
      <alignment vertical="center"/>
    </xf>
    <xf numFmtId="0" fontId="13" fillId="0" borderId="6" xfId="0" applyFont="1" applyBorder="1" applyAlignment="1">
      <alignment horizontal="left" vertical="center"/>
    </xf>
    <xf numFmtId="3" fontId="7" fillId="0" borderId="6" xfId="0" applyNumberFormat="1" applyFont="1" applyBorder="1" applyAlignment="1">
      <alignment vertical="center"/>
    </xf>
    <xf numFmtId="3" fontId="7" fillId="0" borderId="17" xfId="0" applyNumberFormat="1" applyFont="1" applyBorder="1" applyAlignment="1">
      <alignment vertical="center"/>
    </xf>
    <xf numFmtId="0" fontId="7" fillId="0" borderId="6" xfId="0" applyFont="1" applyBorder="1" applyAlignment="1">
      <alignment horizontal="center" vertical="center" shrinkToFit="1"/>
    </xf>
    <xf numFmtId="0" fontId="8" fillId="0" borderId="6" xfId="0" applyFont="1" applyBorder="1" applyAlignment="1">
      <alignment horizontal="center" vertical="center" shrinkToFit="1"/>
    </xf>
    <xf numFmtId="189" fontId="8" fillId="0" borderId="6" xfId="0" applyNumberFormat="1" applyFont="1" applyBorder="1" applyAlignment="1">
      <alignment horizontal="center" vertical="center" shrinkToFit="1"/>
    </xf>
    <xf numFmtId="192" fontId="8" fillId="0" borderId="6" xfId="1" applyNumberFormat="1" applyFont="1" applyFill="1" applyBorder="1" applyAlignment="1">
      <alignment horizontal="center" vertical="center" shrinkToFit="1"/>
    </xf>
    <xf numFmtId="193" fontId="12" fillId="0" borderId="6" xfId="1" applyNumberFormat="1" applyFont="1" applyFill="1" applyBorder="1" applyAlignment="1">
      <alignment horizontal="center" vertical="center"/>
    </xf>
    <xf numFmtId="195" fontId="12" fillId="0" borderId="6" xfId="0" applyNumberFormat="1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0" fontId="8" fillId="0" borderId="17" xfId="0" applyFont="1" applyBorder="1" applyAlignment="1">
      <alignment horizontal="center" vertical="center" shrinkToFit="1"/>
    </xf>
    <xf numFmtId="189" fontId="8" fillId="0" borderId="17" xfId="0" applyNumberFormat="1" applyFont="1" applyBorder="1" applyAlignment="1">
      <alignment horizontal="center" vertical="center" shrinkToFit="1"/>
    </xf>
    <xf numFmtId="193" fontId="12" fillId="0" borderId="17" xfId="1" applyNumberFormat="1" applyFont="1" applyFill="1" applyBorder="1" applyAlignment="1">
      <alignment horizontal="center" vertical="center"/>
    </xf>
    <xf numFmtId="195" fontId="12" fillId="0" borderId="17" xfId="0" applyNumberFormat="1" applyFont="1" applyBorder="1" applyAlignment="1">
      <alignment horizontal="center" vertical="center" shrinkToFit="1"/>
    </xf>
    <xf numFmtId="0" fontId="13" fillId="0" borderId="16" xfId="0" applyFont="1" applyBorder="1" applyAlignment="1">
      <alignment horizontal="center" vertical="center"/>
    </xf>
    <xf numFmtId="3" fontId="13" fillId="0" borderId="16" xfId="1" applyNumberFormat="1" applyFont="1" applyFill="1" applyBorder="1" applyAlignment="1">
      <alignment horizontal="center" vertical="center"/>
    </xf>
    <xf numFmtId="3" fontId="13" fillId="0" borderId="16" xfId="0" applyNumberFormat="1" applyFont="1" applyBorder="1" applyAlignment="1">
      <alignment horizontal="right" vertical="center"/>
    </xf>
    <xf numFmtId="3" fontId="42" fillId="0" borderId="0" xfId="0" applyNumberFormat="1" applyFont="1"/>
    <xf numFmtId="0" fontId="50" fillId="0" borderId="1" xfId="0" applyFont="1" applyBorder="1" applyAlignment="1">
      <alignment horizontal="center" vertical="center" wrapText="1"/>
    </xf>
    <xf numFmtId="4" fontId="69" fillId="0" borderId="0" xfId="0" applyNumberFormat="1" applyFont="1"/>
    <xf numFmtId="0" fontId="13" fillId="0" borderId="1" xfId="0" applyFont="1" applyBorder="1" applyAlignment="1">
      <alignment horizontal="left" vertical="center"/>
    </xf>
    <xf numFmtId="192" fontId="22" fillId="0" borderId="0" xfId="0" applyNumberFormat="1" applyFont="1"/>
    <xf numFmtId="0" fontId="24" fillId="0" borderId="0" xfId="0" applyFont="1" applyAlignment="1">
      <alignment horizontal="center"/>
    </xf>
    <xf numFmtId="189" fontId="22" fillId="0" borderId="0" xfId="0" applyNumberFormat="1" applyFont="1"/>
    <xf numFmtId="4" fontId="42" fillId="0" borderId="0" xfId="0" applyNumberFormat="1" applyFont="1" applyAlignment="1">
      <alignment vertical="center"/>
    </xf>
    <xf numFmtId="192" fontId="8" fillId="0" borderId="15" xfId="1" applyNumberFormat="1" applyFont="1" applyFill="1" applyBorder="1" applyAlignment="1">
      <alignment vertical="center"/>
    </xf>
    <xf numFmtId="192" fontId="12" fillId="0" borderId="1" xfId="1" applyNumberFormat="1" applyFont="1" applyFill="1" applyBorder="1" applyAlignment="1">
      <alignment vertical="center"/>
    </xf>
    <xf numFmtId="0" fontId="12" fillId="0" borderId="8" xfId="0" applyFont="1" applyBorder="1" applyAlignment="1">
      <alignment horizontal="center" vertical="center" wrapText="1"/>
    </xf>
    <xf numFmtId="192" fontId="12" fillId="0" borderId="8" xfId="1" applyNumberFormat="1" applyFont="1" applyFill="1" applyBorder="1" applyAlignment="1">
      <alignment horizontal="center" vertical="center" wrapText="1"/>
    </xf>
    <xf numFmtId="0" fontId="12" fillId="0" borderId="8" xfId="1" applyNumberFormat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shrinkToFit="1"/>
    </xf>
    <xf numFmtId="193" fontId="12" fillId="0" borderId="8" xfId="1" applyNumberFormat="1" applyFont="1" applyFill="1" applyBorder="1" applyAlignment="1">
      <alignment horizontal="center" vertical="center" wrapText="1"/>
    </xf>
    <xf numFmtId="193" fontId="12" fillId="3" borderId="8" xfId="1" applyNumberFormat="1" applyFont="1" applyFill="1" applyBorder="1" applyAlignment="1">
      <alignment horizontal="center" vertical="center" wrapText="1"/>
    </xf>
    <xf numFmtId="192" fontId="12" fillId="3" borderId="8" xfId="1" applyNumberFormat="1" applyFont="1" applyFill="1" applyBorder="1" applyAlignment="1">
      <alignment horizontal="center" vertical="center" wrapText="1"/>
    </xf>
    <xf numFmtId="0" fontId="18" fillId="3" borderId="37" xfId="0" applyFont="1" applyFill="1" applyBorder="1" applyAlignment="1">
      <alignment horizontal="center" vertical="distributed" wrapText="1"/>
    </xf>
    <xf numFmtId="0" fontId="18" fillId="3" borderId="8" xfId="0" applyFont="1" applyFill="1" applyBorder="1" applyAlignment="1">
      <alignment horizontal="center" vertical="distributed" wrapText="1"/>
    </xf>
    <xf numFmtId="193" fontId="18" fillId="3" borderId="8" xfId="1" applyNumberFormat="1" applyFont="1" applyFill="1" applyBorder="1" applyAlignment="1">
      <alignment horizontal="center" vertical="distributed" wrapText="1"/>
    </xf>
    <xf numFmtId="0" fontId="18" fillId="3" borderId="38" xfId="0" applyFont="1" applyFill="1" applyBorder="1" applyAlignment="1">
      <alignment horizontal="center" vertical="distributed" wrapText="1"/>
    </xf>
    <xf numFmtId="1" fontId="12" fillId="0" borderId="8" xfId="0" applyNumberFormat="1" applyFont="1" applyBorder="1" applyAlignment="1">
      <alignment horizontal="center" wrapText="1"/>
    </xf>
    <xf numFmtId="1" fontId="12" fillId="0" borderId="38" xfId="0" applyNumberFormat="1" applyFont="1" applyBorder="1" applyAlignment="1">
      <alignment horizontal="center" wrapText="1"/>
    </xf>
    <xf numFmtId="3" fontId="7" fillId="0" borderId="8" xfId="0" applyNumberFormat="1" applyFont="1" applyBorder="1" applyAlignment="1">
      <alignment vertical="center"/>
    </xf>
    <xf numFmtId="2" fontId="8" fillId="0" borderId="8" xfId="0" applyNumberFormat="1" applyFont="1" applyBorder="1" applyAlignment="1">
      <alignment horizontal="right" wrapText="1"/>
    </xf>
    <xf numFmtId="192" fontId="8" fillId="0" borderId="8" xfId="1" applyNumberFormat="1" applyFont="1" applyFill="1" applyBorder="1" applyAlignment="1">
      <alignment horizontal="right" vertical="center"/>
    </xf>
    <xf numFmtId="0" fontId="35" fillId="0" borderId="39" xfId="0" applyFont="1" applyBorder="1" applyAlignment="1">
      <alignment horizontal="center" vertical="center"/>
    </xf>
    <xf numFmtId="0" fontId="35" fillId="0" borderId="8" xfId="0" applyFont="1" applyBorder="1" applyAlignment="1">
      <alignment horizontal="center" vertical="center"/>
    </xf>
    <xf numFmtId="0" fontId="35" fillId="0" borderId="8" xfId="0" applyFont="1" applyBorder="1" applyAlignment="1">
      <alignment horizontal="center" vertical="center" wrapText="1"/>
    </xf>
    <xf numFmtId="191" fontId="35" fillId="0" borderId="8" xfId="1" applyNumberFormat="1" applyFont="1" applyBorder="1" applyAlignment="1">
      <alignment horizontal="center" vertical="center" wrapText="1"/>
    </xf>
    <xf numFmtId="0" fontId="45" fillId="3" borderId="37" xfId="0" applyFont="1" applyFill="1" applyBorder="1" applyAlignment="1">
      <alignment horizontal="center" vertical="center" wrapText="1"/>
    </xf>
    <xf numFmtId="0" fontId="45" fillId="0" borderId="8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191" fontId="45" fillId="0" borderId="8" xfId="1" applyNumberFormat="1" applyFont="1" applyFill="1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3" fontId="8" fillId="0" borderId="8" xfId="0" quotePrefix="1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3" fontId="4" fillId="0" borderId="8" xfId="0" applyNumberFormat="1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right" vertical="center" wrapText="1"/>
    </xf>
    <xf numFmtId="3" fontId="4" fillId="0" borderId="8" xfId="0" applyNumberFormat="1" applyFont="1" applyBorder="1" applyAlignment="1">
      <alignment horizontal="right" vertical="center"/>
    </xf>
    <xf numFmtId="3" fontId="8" fillId="0" borderId="8" xfId="0" applyNumberFormat="1" applyFont="1" applyBorder="1" applyAlignment="1">
      <alignment horizontal="right" vertical="center" wrapText="1"/>
    </xf>
    <xf numFmtId="3" fontId="7" fillId="0" borderId="8" xfId="1" applyNumberFormat="1" applyFont="1" applyBorder="1" applyAlignment="1">
      <alignment vertical="center"/>
    </xf>
    <xf numFmtId="3" fontId="4" fillId="0" borderId="8" xfId="0" applyNumberFormat="1" applyFont="1" applyBorder="1" applyAlignment="1">
      <alignment vertical="center"/>
    </xf>
    <xf numFmtId="3" fontId="8" fillId="0" borderId="8" xfId="0" applyNumberFormat="1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right" vertical="center"/>
    </xf>
    <xf numFmtId="3" fontId="35" fillId="0" borderId="40" xfId="0" applyNumberFormat="1" applyFont="1" applyBorder="1" applyAlignment="1">
      <alignment horizontal="right" vertical="center"/>
    </xf>
    <xf numFmtId="43" fontId="4" fillId="0" borderId="0" xfId="1" applyFont="1"/>
    <xf numFmtId="197" fontId="12" fillId="0" borderId="1" xfId="1" applyNumberFormat="1" applyFont="1" applyFill="1" applyBorder="1" applyAlignment="1">
      <alignment vertical="center"/>
    </xf>
    <xf numFmtId="0" fontId="7" fillId="3" borderId="16" xfId="0" applyFont="1" applyFill="1" applyBorder="1" applyAlignment="1">
      <alignment horizontal="center" vertical="center" shrinkToFit="1"/>
    </xf>
    <xf numFmtId="189" fontId="8" fillId="3" borderId="16" xfId="0" applyNumberFormat="1" applyFont="1" applyFill="1" applyBorder="1" applyAlignment="1">
      <alignment horizontal="center" vertical="center" shrinkToFit="1"/>
    </xf>
    <xf numFmtId="189" fontId="69" fillId="3" borderId="16" xfId="0" applyNumberFormat="1" applyFont="1" applyFill="1" applyBorder="1" applyAlignment="1">
      <alignment horizontal="center" vertical="center" shrinkToFit="1"/>
    </xf>
    <xf numFmtId="39" fontId="4" fillId="3" borderId="16" xfId="1" applyNumberFormat="1" applyFont="1" applyFill="1" applyBorder="1" applyAlignment="1">
      <alignment horizontal="right" vertical="center" indent="1" shrinkToFit="1"/>
    </xf>
    <xf numFmtId="4" fontId="73" fillId="3" borderId="16" xfId="0" applyNumberFormat="1" applyFont="1" applyFill="1" applyBorder="1" applyAlignment="1">
      <alignment horizontal="right" indent="1"/>
    </xf>
    <xf numFmtId="192" fontId="8" fillId="3" borderId="16" xfId="1" applyNumberFormat="1" applyFont="1" applyFill="1" applyBorder="1" applyAlignment="1">
      <alignment horizontal="center" vertical="center" shrinkToFit="1"/>
    </xf>
    <xf numFmtId="193" fontId="12" fillId="3" borderId="16" xfId="1" applyNumberFormat="1" applyFont="1" applyFill="1" applyBorder="1" applyAlignment="1">
      <alignment horizontal="center" vertical="center"/>
    </xf>
    <xf numFmtId="195" fontId="12" fillId="3" borderId="16" xfId="0" applyNumberFormat="1" applyFont="1" applyFill="1" applyBorder="1" applyAlignment="1">
      <alignment horizontal="center" vertical="center" shrinkToFit="1"/>
    </xf>
    <xf numFmtId="0" fontId="4" fillId="3" borderId="0" xfId="0" applyFont="1" applyFill="1"/>
    <xf numFmtId="0" fontId="7" fillId="3" borderId="6" xfId="0" applyFont="1" applyFill="1" applyBorder="1" applyAlignment="1">
      <alignment horizontal="center" vertical="center" shrinkToFit="1"/>
    </xf>
    <xf numFmtId="0" fontId="8" fillId="3" borderId="6" xfId="0" applyFont="1" applyFill="1" applyBorder="1" applyAlignment="1">
      <alignment horizontal="center" vertical="center" shrinkToFit="1"/>
    </xf>
    <xf numFmtId="189" fontId="8" fillId="3" borderId="6" xfId="0" applyNumberFormat="1" applyFont="1" applyFill="1" applyBorder="1" applyAlignment="1">
      <alignment horizontal="center" vertical="center" shrinkToFit="1"/>
    </xf>
    <xf numFmtId="189" fontId="69" fillId="3" borderId="6" xfId="0" applyNumberFormat="1" applyFont="1" applyFill="1" applyBorder="1" applyAlignment="1">
      <alignment horizontal="center" vertical="center" shrinkToFit="1"/>
    </xf>
    <xf numFmtId="195" fontId="12" fillId="3" borderId="6" xfId="0" applyNumberFormat="1" applyFont="1" applyFill="1" applyBorder="1" applyAlignment="1">
      <alignment horizontal="center" vertical="center" shrinkToFit="1"/>
    </xf>
    <xf numFmtId="189" fontId="8" fillId="3" borderId="17" xfId="0" applyNumberFormat="1" applyFont="1" applyFill="1" applyBorder="1" applyAlignment="1">
      <alignment horizontal="center" vertical="center" shrinkToFit="1"/>
    </xf>
    <xf numFmtId="189" fontId="69" fillId="3" borderId="17" xfId="0" applyNumberFormat="1" applyFont="1" applyFill="1" applyBorder="1" applyAlignment="1">
      <alignment horizontal="center" vertical="center" shrinkToFit="1"/>
    </xf>
    <xf numFmtId="0" fontId="12" fillId="3" borderId="0" xfId="0" applyFont="1" applyFill="1" applyAlignment="1">
      <alignment horizontal="center"/>
    </xf>
    <xf numFmtId="0" fontId="12" fillId="3" borderId="14" xfId="0" applyFont="1" applyFill="1" applyBorder="1" applyAlignment="1">
      <alignment horizontal="center"/>
    </xf>
    <xf numFmtId="193" fontId="35" fillId="3" borderId="1" xfId="1" applyNumberFormat="1" applyFont="1" applyFill="1" applyBorder="1" applyAlignment="1">
      <alignment horizontal="center" vertical="center" wrapText="1"/>
    </xf>
    <xf numFmtId="4" fontId="70" fillId="0" borderId="0" xfId="0" applyNumberFormat="1" applyFont="1"/>
    <xf numFmtId="0" fontId="13" fillId="3" borderId="20" xfId="0" applyFont="1" applyFill="1" applyBorder="1" applyAlignment="1">
      <alignment horizontal="left" vertical="center"/>
    </xf>
    <xf numFmtId="4" fontId="4" fillId="0" borderId="0" xfId="0" applyNumberFormat="1" applyFont="1" applyAlignment="1">
      <alignment horizontal="center"/>
    </xf>
    <xf numFmtId="4" fontId="12" fillId="7" borderId="1" xfId="1" applyNumberFormat="1" applyFont="1" applyFill="1" applyBorder="1" applyAlignment="1">
      <alignment vertical="center"/>
    </xf>
    <xf numFmtId="1" fontId="12" fillId="0" borderId="1" xfId="0" applyNumberFormat="1" applyFont="1" applyBorder="1" applyAlignment="1">
      <alignment horizontal="center" vertical="center" wrapText="1"/>
    </xf>
    <xf numFmtId="189" fontId="4" fillId="0" borderId="0" xfId="0" applyNumberFormat="1" applyFont="1"/>
    <xf numFmtId="0" fontId="13" fillId="3" borderId="1" xfId="0" applyFont="1" applyFill="1" applyBorder="1" applyAlignment="1">
      <alignment horizontal="left" shrinkToFit="1"/>
    </xf>
    <xf numFmtId="0" fontId="13" fillId="3" borderId="1" xfId="0" applyFont="1" applyFill="1" applyBorder="1" applyAlignment="1">
      <alignment shrinkToFit="1"/>
    </xf>
    <xf numFmtId="191" fontId="8" fillId="0" borderId="20" xfId="1" applyNumberFormat="1" applyFont="1" applyFill="1" applyBorder="1" applyAlignment="1">
      <alignment horizontal="center" wrapText="1"/>
    </xf>
    <xf numFmtId="1" fontId="8" fillId="0" borderId="20" xfId="0" applyNumberFormat="1" applyFont="1" applyBorder="1" applyAlignment="1">
      <alignment horizontal="center" wrapText="1"/>
    </xf>
    <xf numFmtId="191" fontId="108" fillId="0" borderId="0" xfId="1" applyNumberFormat="1" applyFont="1"/>
    <xf numFmtId="0" fontId="8" fillId="7" borderId="26" xfId="255" applyFont="1" applyFill="1" applyBorder="1" applyAlignment="1">
      <alignment horizontal="center"/>
    </xf>
    <xf numFmtId="0" fontId="4" fillId="7" borderId="26" xfId="255" applyFont="1" applyFill="1" applyBorder="1" applyAlignment="1">
      <alignment horizontal="center" vertical="center"/>
    </xf>
    <xf numFmtId="0" fontId="42" fillId="8" borderId="0" xfId="0" applyFont="1" applyFill="1"/>
    <xf numFmtId="3" fontId="35" fillId="0" borderId="8" xfId="0" applyNumberFormat="1" applyFont="1" applyBorder="1" applyAlignment="1">
      <alignment horizontal="right" vertical="center"/>
    </xf>
    <xf numFmtId="0" fontId="4" fillId="0" borderId="41" xfId="0" applyFont="1" applyBorder="1" applyAlignment="1">
      <alignment horizontal="center" vertical="center"/>
    </xf>
    <xf numFmtId="3" fontId="7" fillId="0" borderId="42" xfId="1" applyNumberFormat="1" applyFont="1" applyBorder="1" applyAlignment="1">
      <alignment horizontal="right" vertical="center"/>
    </xf>
    <xf numFmtId="0" fontId="8" fillId="0" borderId="42" xfId="0" applyFont="1" applyBorder="1" applyAlignment="1">
      <alignment vertical="center"/>
    </xf>
    <xf numFmtId="0" fontId="13" fillId="0" borderId="43" xfId="0" applyFont="1" applyBorder="1" applyAlignment="1">
      <alignment vertical="center"/>
    </xf>
    <xf numFmtId="4" fontId="13" fillId="0" borderId="15" xfId="0" applyNumberFormat="1" applyFont="1" applyBorder="1" applyAlignment="1">
      <alignment horizontal="right" vertical="center"/>
    </xf>
    <xf numFmtId="4" fontId="11" fillId="0" borderId="15" xfId="0" applyNumberFormat="1" applyFont="1" applyBorder="1" applyAlignment="1">
      <alignment horizontal="right" vertical="center"/>
    </xf>
    <xf numFmtId="3" fontId="12" fillId="3" borderId="1" xfId="1" applyNumberFormat="1" applyFont="1" applyFill="1" applyBorder="1" applyAlignment="1">
      <alignment vertical="center"/>
    </xf>
    <xf numFmtId="3" fontId="8" fillId="0" borderId="42" xfId="0" applyNumberFormat="1" applyFont="1" applyBorder="1" applyAlignment="1">
      <alignment horizontal="center" vertical="center"/>
    </xf>
    <xf numFmtId="198" fontId="4" fillId="0" borderId="0" xfId="0" applyNumberFormat="1" applyFont="1"/>
    <xf numFmtId="3" fontId="35" fillId="0" borderId="40" xfId="0" applyNumberFormat="1" applyFont="1" applyBorder="1" applyAlignment="1">
      <alignment horizontal="center" vertical="center"/>
    </xf>
    <xf numFmtId="0" fontId="18" fillId="0" borderId="8" xfId="0" applyFont="1" applyBorder="1" applyAlignment="1">
      <alignment horizontal="left" vertical="center"/>
    </xf>
    <xf numFmtId="0" fontId="18" fillId="0" borderId="42" xfId="0" applyFont="1" applyBorder="1" applyAlignment="1">
      <alignment vertical="center"/>
    </xf>
    <xf numFmtId="0" fontId="49" fillId="0" borderId="8" xfId="0" applyFont="1" applyBorder="1" applyAlignment="1">
      <alignment horizontal="left" vertical="center"/>
    </xf>
    <xf numFmtId="0" fontId="13" fillId="0" borderId="44" xfId="0" applyFont="1" applyBorder="1" applyAlignment="1">
      <alignment shrinkToFit="1"/>
    </xf>
    <xf numFmtId="0" fontId="13" fillId="7" borderId="44" xfId="0" applyFont="1" applyFill="1" applyBorder="1" applyAlignment="1">
      <alignment shrinkToFit="1"/>
    </xf>
    <xf numFmtId="0" fontId="13" fillId="7" borderId="45" xfId="0" applyFont="1" applyFill="1" applyBorder="1" applyAlignment="1">
      <alignment shrinkToFit="1"/>
    </xf>
    <xf numFmtId="0" fontId="13" fillId="9" borderId="46" xfId="0" applyFont="1" applyFill="1" applyBorder="1" applyAlignment="1">
      <alignment shrinkToFit="1"/>
    </xf>
    <xf numFmtId="0" fontId="13" fillId="7" borderId="1" xfId="0" applyFont="1" applyFill="1" applyBorder="1" applyAlignment="1">
      <alignment shrinkToFit="1"/>
    </xf>
    <xf numFmtId="0" fontId="13" fillId="7" borderId="1" xfId="0" applyFont="1" applyFill="1" applyBorder="1" applyAlignment="1">
      <alignment horizontal="left" vertical="center"/>
    </xf>
    <xf numFmtId="0" fontId="61" fillId="7" borderId="0" xfId="255" applyFont="1" applyFill="1"/>
    <xf numFmtId="0" fontId="11" fillId="7" borderId="0" xfId="255" applyFont="1" applyFill="1"/>
    <xf numFmtId="0" fontId="13" fillId="7" borderId="0" xfId="255" applyFont="1" applyFill="1"/>
    <xf numFmtId="0" fontId="13" fillId="7" borderId="0" xfId="255" applyFont="1" applyFill="1" applyAlignment="1">
      <alignment horizontal="center"/>
    </xf>
    <xf numFmtId="0" fontId="35" fillId="7" borderId="15" xfId="255" applyFont="1" applyFill="1" applyBorder="1" applyAlignment="1">
      <alignment horizontal="center" vertical="center"/>
    </xf>
    <xf numFmtId="0" fontId="35" fillId="7" borderId="15" xfId="255" applyFont="1" applyFill="1" applyBorder="1" applyAlignment="1">
      <alignment horizontal="center" vertical="center" wrapText="1"/>
    </xf>
    <xf numFmtId="0" fontId="35" fillId="7" borderId="15" xfId="255" applyFont="1" applyFill="1" applyBorder="1" applyAlignment="1">
      <alignment horizontal="center" vertical="center" wrapText="1" shrinkToFit="1"/>
    </xf>
    <xf numFmtId="0" fontId="13" fillId="7" borderId="1" xfId="0" applyFont="1" applyFill="1" applyBorder="1" applyAlignment="1">
      <alignment horizontal="left" shrinkToFit="1"/>
    </xf>
    <xf numFmtId="0" fontId="61" fillId="7" borderId="6" xfId="255" applyFont="1" applyFill="1" applyBorder="1"/>
    <xf numFmtId="0" fontId="63" fillId="7" borderId="24" xfId="255" applyFont="1" applyFill="1" applyBorder="1"/>
    <xf numFmtId="202" fontId="12" fillId="7" borderId="25" xfId="255" applyNumberFormat="1" applyFont="1" applyFill="1" applyBorder="1" applyAlignment="1">
      <alignment horizontal="right"/>
    </xf>
    <xf numFmtId="0" fontId="12" fillId="7" borderId="25" xfId="255" applyFont="1" applyFill="1" applyBorder="1" applyAlignment="1">
      <alignment horizontal="center"/>
    </xf>
    <xf numFmtId="0" fontId="63" fillId="7" borderId="0" xfId="255" applyFont="1" applyFill="1"/>
    <xf numFmtId="202" fontId="4" fillId="7" borderId="26" xfId="255" applyNumberFormat="1" applyFont="1" applyFill="1" applyBorder="1" applyAlignment="1">
      <alignment horizontal="left" vertical="center"/>
    </xf>
    <xf numFmtId="202" fontId="8" fillId="7" borderId="26" xfId="275" applyNumberFormat="1" applyFont="1" applyFill="1" applyBorder="1" applyAlignment="1">
      <alignment horizontal="left"/>
    </xf>
    <xf numFmtId="0" fontId="63" fillId="7" borderId="26" xfId="255" applyFont="1" applyFill="1" applyBorder="1"/>
    <xf numFmtId="204" fontId="8" fillId="7" borderId="26" xfId="255" applyNumberFormat="1" applyFont="1" applyFill="1" applyBorder="1" applyAlignment="1">
      <alignment horizontal="center"/>
    </xf>
    <xf numFmtId="202" fontId="8" fillId="7" borderId="25" xfId="275" applyNumberFormat="1" applyFont="1" applyFill="1" applyBorder="1"/>
    <xf numFmtId="202" fontId="8" fillId="7" borderId="25" xfId="275" applyNumberFormat="1" applyFont="1" applyFill="1" applyBorder="1" applyAlignment="1">
      <alignment horizontal="center"/>
    </xf>
    <xf numFmtId="202" fontId="8" fillId="7" borderId="26" xfId="275" applyNumberFormat="1" applyFont="1" applyFill="1" applyBorder="1"/>
    <xf numFmtId="202" fontId="8" fillId="7" borderId="26" xfId="275" applyNumberFormat="1" applyFont="1" applyFill="1" applyBorder="1" applyAlignment="1">
      <alignment horizontal="center"/>
    </xf>
    <xf numFmtId="202" fontId="8" fillId="7" borderId="30" xfId="275" applyNumberFormat="1" applyFont="1" applyFill="1" applyBorder="1"/>
    <xf numFmtId="202" fontId="8" fillId="7" borderId="30" xfId="275" applyNumberFormat="1" applyFont="1" applyFill="1" applyBorder="1" applyAlignment="1">
      <alignment horizontal="center"/>
    </xf>
    <xf numFmtId="0" fontId="4" fillId="7" borderId="0" xfId="255" applyFont="1" applyFill="1" applyAlignment="1">
      <alignment horizontal="center" vertical="center"/>
    </xf>
    <xf numFmtId="0" fontId="4" fillId="7" borderId="0" xfId="255" applyFont="1" applyFill="1"/>
    <xf numFmtId="0" fontId="35" fillId="7" borderId="0" xfId="255" applyFont="1" applyFill="1" applyAlignment="1">
      <alignment horizontal="center"/>
    </xf>
    <xf numFmtId="0" fontId="44" fillId="7" borderId="0" xfId="255" applyFont="1" applyFill="1"/>
    <xf numFmtId="0" fontId="35" fillId="7" borderId="0" xfId="255" applyFont="1" applyFill="1"/>
    <xf numFmtId="0" fontId="72" fillId="7" borderId="0" xfId="255" applyFont="1" applyFill="1"/>
    <xf numFmtId="0" fontId="4" fillId="7" borderId="1" xfId="255" applyFont="1" applyFill="1" applyBorder="1" applyAlignment="1">
      <alignment horizontal="center" vertical="center"/>
    </xf>
    <xf numFmtId="0" fontId="8" fillId="7" borderId="1" xfId="0" applyFont="1" applyFill="1" applyBorder="1" applyAlignment="1">
      <alignment vertical="center"/>
    </xf>
    <xf numFmtId="0" fontId="44" fillId="7" borderId="1" xfId="0" applyFont="1" applyFill="1" applyBorder="1" applyAlignment="1">
      <alignment horizontal="center" vertical="center"/>
    </xf>
    <xf numFmtId="202" fontId="44" fillId="7" borderId="1" xfId="255" applyNumberFormat="1" applyFont="1" applyFill="1" applyBorder="1" applyAlignment="1">
      <alignment horizontal="left" vertical="center"/>
    </xf>
    <xf numFmtId="0" fontId="8" fillId="7" borderId="1" xfId="274" applyFont="1" applyFill="1" applyBorder="1" applyAlignment="1">
      <alignment horizontal="right" vertical="center"/>
    </xf>
    <xf numFmtId="203" fontId="8" fillId="7" borderId="1" xfId="8" applyNumberFormat="1" applyFont="1" applyFill="1" applyBorder="1" applyAlignment="1">
      <alignment horizontal="center" vertical="center"/>
    </xf>
    <xf numFmtId="0" fontId="8" fillId="7" borderId="1" xfId="255" applyFont="1" applyFill="1" applyBorder="1" applyAlignment="1">
      <alignment horizontal="center"/>
    </xf>
    <xf numFmtId="1" fontId="8" fillId="7" borderId="1" xfId="255" applyNumberFormat="1" applyFont="1" applyFill="1" applyBorder="1" applyAlignment="1">
      <alignment horizontal="center"/>
    </xf>
    <xf numFmtId="202" fontId="8" fillId="7" borderId="1" xfId="255" applyNumberFormat="1" applyFont="1" applyFill="1" applyBorder="1" applyAlignment="1">
      <alignment horizontal="center"/>
    </xf>
    <xf numFmtId="0" fontId="44" fillId="7" borderId="1" xfId="255" applyFont="1" applyFill="1" applyBorder="1" applyAlignment="1">
      <alignment horizontal="center" vertical="center"/>
    </xf>
    <xf numFmtId="3" fontId="9" fillId="7" borderId="1" xfId="0" applyNumberFormat="1" applyFont="1" applyFill="1" applyBorder="1" applyAlignment="1">
      <alignment horizontal="center" vertical="center"/>
    </xf>
    <xf numFmtId="0" fontId="61" fillId="7" borderId="1" xfId="255" applyFont="1" applyFill="1" applyBorder="1"/>
    <xf numFmtId="0" fontId="8" fillId="7" borderId="1" xfId="274" applyFont="1" applyFill="1" applyBorder="1" applyAlignment="1">
      <alignment horizontal="center" vertical="center"/>
    </xf>
    <xf numFmtId="3" fontId="13" fillId="7" borderId="1" xfId="0" applyNumberFormat="1" applyFont="1" applyFill="1" applyBorder="1" applyAlignment="1">
      <alignment vertical="center"/>
    </xf>
    <xf numFmtId="3" fontId="7" fillId="0" borderId="33" xfId="0" applyNumberFormat="1" applyFont="1" applyBorder="1" applyAlignment="1">
      <alignment vertical="center"/>
    </xf>
    <xf numFmtId="3" fontId="65" fillId="0" borderId="0" xfId="0" applyNumberFormat="1" applyFont="1" applyAlignment="1">
      <alignment horizontal="center" vertical="top" wrapText="1"/>
    </xf>
    <xf numFmtId="0" fontId="75" fillId="0" borderId="25" xfId="25" applyFont="1" applyBorder="1" applyAlignment="1">
      <alignment horizontal="left" vertical="center"/>
    </xf>
    <xf numFmtId="3" fontId="13" fillId="0" borderId="6" xfId="25" quotePrefix="1" applyNumberFormat="1" applyFont="1" applyBorder="1" applyAlignment="1">
      <alignment horizontal="left" vertical="center"/>
    </xf>
    <xf numFmtId="192" fontId="8" fillId="3" borderId="18" xfId="1" applyNumberFormat="1" applyFont="1" applyFill="1" applyBorder="1" applyAlignment="1">
      <alignment horizontal="center" vertical="center" shrinkToFit="1"/>
    </xf>
    <xf numFmtId="0" fontId="111" fillId="0" borderId="30" xfId="25" applyFont="1" applyBorder="1" applyAlignment="1">
      <alignment horizontal="left"/>
    </xf>
    <xf numFmtId="0" fontId="75" fillId="0" borderId="26" xfId="25" applyFont="1" applyBorder="1" applyAlignment="1">
      <alignment horizontal="left" vertical="center"/>
    </xf>
    <xf numFmtId="3" fontId="76" fillId="0" borderId="26" xfId="25" applyNumberFormat="1" applyFont="1" applyBorder="1" applyAlignment="1">
      <alignment vertical="center"/>
    </xf>
    <xf numFmtId="0" fontId="112" fillId="0" borderId="26" xfId="25" applyFont="1" applyBorder="1" applyAlignment="1">
      <alignment horizontal="left"/>
    </xf>
    <xf numFmtId="0" fontId="13" fillId="7" borderId="26" xfId="25" quotePrefix="1" applyFont="1" applyFill="1" applyBorder="1" applyAlignment="1">
      <alignment horizontal="left" vertical="center"/>
    </xf>
    <xf numFmtId="0" fontId="76" fillId="7" borderId="26" xfId="25" applyFont="1" applyFill="1" applyBorder="1" applyAlignment="1">
      <alignment horizontal="left" vertical="center"/>
    </xf>
    <xf numFmtId="3" fontId="76" fillId="7" borderId="26" xfId="25" applyNumberFormat="1" applyFont="1" applyFill="1" applyBorder="1" applyAlignment="1">
      <alignment vertical="center"/>
    </xf>
    <xf numFmtId="3" fontId="13" fillId="7" borderId="26" xfId="25" quotePrefix="1" applyNumberFormat="1" applyFont="1" applyFill="1" applyBorder="1" applyAlignment="1">
      <alignment horizontal="left" vertical="center"/>
    </xf>
    <xf numFmtId="3" fontId="13" fillId="0" borderId="26" xfId="25" quotePrefix="1" applyNumberFormat="1" applyFont="1" applyBorder="1" applyAlignment="1">
      <alignment horizontal="left" vertical="center"/>
    </xf>
    <xf numFmtId="3" fontId="76" fillId="0" borderId="26" xfId="25" applyNumberFormat="1" applyFont="1" applyBorder="1" applyAlignment="1">
      <alignment horizontal="left" vertical="center"/>
    </xf>
    <xf numFmtId="0" fontId="76" fillId="0" borderId="26" xfId="25" applyFont="1" applyBorder="1" applyAlignment="1">
      <alignment horizontal="left" vertical="center"/>
    </xf>
    <xf numFmtId="0" fontId="13" fillId="0" borderId="26" xfId="25" quotePrefix="1" applyFont="1" applyBorder="1" applyAlignment="1">
      <alignment horizontal="left" vertical="center"/>
    </xf>
    <xf numFmtId="0" fontId="112" fillId="0" borderId="30" xfId="25" applyFont="1" applyBorder="1" applyAlignment="1">
      <alignment horizontal="left"/>
    </xf>
    <xf numFmtId="3" fontId="4" fillId="9" borderId="0" xfId="0" applyNumberFormat="1" applyFont="1" applyFill="1"/>
    <xf numFmtId="0" fontId="113" fillId="3" borderId="0" xfId="0" applyFont="1" applyFill="1" applyAlignment="1">
      <alignment horizontal="center"/>
    </xf>
    <xf numFmtId="0" fontId="113" fillId="9" borderId="0" xfId="0" applyFont="1" applyFill="1" applyAlignment="1">
      <alignment horizontal="center" vertical="center"/>
    </xf>
    <xf numFmtId="3" fontId="4" fillId="3" borderId="0" xfId="0" applyNumberFormat="1" applyFont="1" applyFill="1"/>
    <xf numFmtId="0" fontId="114" fillId="0" borderId="0" xfId="0" applyFont="1"/>
    <xf numFmtId="0" fontId="114" fillId="0" borderId="0" xfId="0" applyFont="1" applyAlignment="1">
      <alignment horizontal="center"/>
    </xf>
    <xf numFmtId="0" fontId="114" fillId="0" borderId="1" xfId="0" applyFont="1" applyBorder="1" applyAlignment="1">
      <alignment horizontal="center"/>
    </xf>
    <xf numFmtId="0" fontId="114" fillId="0" borderId="1" xfId="0" applyFont="1" applyBorder="1"/>
    <xf numFmtId="0" fontId="114" fillId="0" borderId="25" xfId="0" applyFont="1" applyBorder="1" applyAlignment="1">
      <alignment horizontal="center"/>
    </xf>
    <xf numFmtId="0" fontId="3" fillId="0" borderId="25" xfId="0" applyFont="1" applyBorder="1" applyAlignment="1">
      <alignment horizontal="left" vertical="center"/>
    </xf>
    <xf numFmtId="0" fontId="75" fillId="0" borderId="25" xfId="0" applyFont="1" applyBorder="1" applyAlignment="1">
      <alignment horizontal="left" vertical="center"/>
    </xf>
    <xf numFmtId="3" fontId="13" fillId="0" borderId="6" xfId="0" quotePrefix="1" applyNumberFormat="1" applyFont="1" applyBorder="1" applyAlignment="1">
      <alignment horizontal="left" vertical="center"/>
    </xf>
    <xf numFmtId="0" fontId="114" fillId="0" borderId="26" xfId="0" applyFont="1" applyBorder="1" applyAlignment="1">
      <alignment horizontal="center"/>
    </xf>
    <xf numFmtId="0" fontId="3" fillId="0" borderId="26" xfId="0" applyFont="1" applyBorder="1" applyAlignment="1">
      <alignment horizontal="left" vertical="center"/>
    </xf>
    <xf numFmtId="0" fontId="75" fillId="0" borderId="26" xfId="0" applyFont="1" applyBorder="1" applyAlignment="1">
      <alignment horizontal="left" vertical="center"/>
    </xf>
    <xf numFmtId="3" fontId="10" fillId="0" borderId="26" xfId="0" applyNumberFormat="1" applyFont="1" applyBorder="1" applyAlignment="1">
      <alignment vertical="center"/>
    </xf>
    <xf numFmtId="3" fontId="76" fillId="0" borderId="26" xfId="0" applyNumberFormat="1" applyFont="1" applyBorder="1" applyAlignment="1">
      <alignment vertical="center"/>
    </xf>
    <xf numFmtId="0" fontId="114" fillId="0" borderId="26" xfId="0" applyFont="1" applyBorder="1" applyAlignment="1">
      <alignment horizontal="left"/>
    </xf>
    <xf numFmtId="0" fontId="112" fillId="0" borderId="26" xfId="0" applyFont="1" applyBorder="1" applyAlignment="1">
      <alignment horizontal="left"/>
    </xf>
    <xf numFmtId="0" fontId="10" fillId="7" borderId="26" xfId="0" applyFont="1" applyFill="1" applyBorder="1" applyAlignment="1">
      <alignment horizontal="left" vertical="center"/>
    </xf>
    <xf numFmtId="0" fontId="76" fillId="7" borderId="26" xfId="0" applyFont="1" applyFill="1" applyBorder="1" applyAlignment="1">
      <alignment horizontal="left" vertical="center"/>
    </xf>
    <xf numFmtId="0" fontId="13" fillId="7" borderId="26" xfId="0" quotePrefix="1" applyFont="1" applyFill="1" applyBorder="1" applyAlignment="1">
      <alignment horizontal="left" vertical="center"/>
    </xf>
    <xf numFmtId="3" fontId="10" fillId="7" borderId="26" xfId="0" applyNumberFormat="1" applyFont="1" applyFill="1" applyBorder="1" applyAlignment="1">
      <alignment vertical="center"/>
    </xf>
    <xf numFmtId="3" fontId="76" fillId="7" borderId="26" xfId="0" applyNumberFormat="1" applyFont="1" applyFill="1" applyBorder="1" applyAlignment="1">
      <alignment vertical="center"/>
    </xf>
    <xf numFmtId="3" fontId="13" fillId="7" borderId="26" xfId="0" quotePrefix="1" applyNumberFormat="1" applyFont="1" applyFill="1" applyBorder="1" applyAlignment="1">
      <alignment horizontal="left" vertical="center"/>
    </xf>
    <xf numFmtId="3" fontId="13" fillId="0" borderId="26" xfId="0" quotePrefix="1" applyNumberFormat="1" applyFont="1" applyBorder="1" applyAlignment="1">
      <alignment horizontal="left" vertical="center"/>
    </xf>
    <xf numFmtId="3" fontId="76" fillId="0" borderId="26" xfId="0" applyNumberFormat="1" applyFont="1" applyBorder="1" applyAlignment="1">
      <alignment horizontal="left" vertical="center"/>
    </xf>
    <xf numFmtId="0" fontId="10" fillId="0" borderId="26" xfId="0" applyFont="1" applyBorder="1" applyAlignment="1">
      <alignment horizontal="left" vertical="center"/>
    </xf>
    <xf numFmtId="0" fontId="76" fillId="0" borderId="26" xfId="0" applyFont="1" applyBorder="1" applyAlignment="1">
      <alignment horizontal="left" vertical="center"/>
    </xf>
    <xf numFmtId="0" fontId="13" fillId="0" borderId="26" xfId="0" quotePrefix="1" applyFont="1" applyBorder="1" applyAlignment="1">
      <alignment horizontal="left" vertical="center"/>
    </xf>
    <xf numFmtId="0" fontId="114" fillId="0" borderId="30" xfId="0" applyFont="1" applyBorder="1" applyAlignment="1">
      <alignment horizontal="center"/>
    </xf>
    <xf numFmtId="0" fontId="114" fillId="0" borderId="30" xfId="0" applyFont="1" applyBorder="1" applyAlignment="1">
      <alignment horizontal="left"/>
    </xf>
    <xf numFmtId="0" fontId="112" fillId="0" borderId="30" xfId="0" applyFont="1" applyBorder="1" applyAlignment="1">
      <alignment horizontal="left"/>
    </xf>
    <xf numFmtId="0" fontId="61" fillId="7" borderId="24" xfId="255" applyFont="1" applyFill="1" applyBorder="1"/>
    <xf numFmtId="0" fontId="8" fillId="7" borderId="15" xfId="255" applyFont="1" applyFill="1" applyBorder="1" applyAlignment="1">
      <alignment horizontal="center"/>
    </xf>
    <xf numFmtId="189" fontId="4" fillId="9" borderId="0" xfId="0" applyNumberFormat="1" applyFont="1" applyFill="1" applyAlignment="1">
      <alignment horizontal="center"/>
    </xf>
    <xf numFmtId="189" fontId="8" fillId="0" borderId="8" xfId="1" applyNumberFormat="1" applyFont="1" applyFill="1" applyBorder="1" applyAlignment="1">
      <alignment horizontal="right" vertical="center" shrinkToFit="1"/>
    </xf>
    <xf numFmtId="192" fontId="8" fillId="0" borderId="8" xfId="1" applyNumberFormat="1" applyFont="1" applyFill="1" applyBorder="1" applyAlignment="1">
      <alignment horizontal="right" vertical="center" shrinkToFit="1"/>
    </xf>
    <xf numFmtId="192" fontId="8" fillId="3" borderId="8" xfId="1" applyNumberFormat="1" applyFont="1" applyFill="1" applyBorder="1" applyAlignment="1">
      <alignment horizontal="right" vertical="center" shrinkToFit="1"/>
    </xf>
    <xf numFmtId="1" fontId="8" fillId="0" borderId="37" xfId="0" applyNumberFormat="1" applyFont="1" applyBorder="1" applyAlignment="1">
      <alignment horizontal="center" wrapText="1"/>
    </xf>
    <xf numFmtId="0" fontId="42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horizontal="left" vertical="center"/>
    </xf>
    <xf numFmtId="3" fontId="42" fillId="0" borderId="16" xfId="1" applyNumberFormat="1" applyFont="1" applyBorder="1" applyAlignment="1">
      <alignment horizontal="right" vertical="center"/>
    </xf>
    <xf numFmtId="3" fontId="42" fillId="0" borderId="16" xfId="0" applyNumberFormat="1" applyFont="1" applyBorder="1" applyAlignment="1">
      <alignment horizontal="center" vertical="center"/>
    </xf>
    <xf numFmtId="3" fontId="42" fillId="0" borderId="16" xfId="0" applyNumberFormat="1" applyFont="1" applyBorder="1" applyAlignment="1">
      <alignment horizontal="right" vertical="center"/>
    </xf>
    <xf numFmtId="0" fontId="8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3" fontId="42" fillId="0" borderId="6" xfId="1" applyNumberFormat="1" applyFont="1" applyBorder="1" applyAlignment="1">
      <alignment horizontal="right" vertical="center"/>
    </xf>
    <xf numFmtId="3" fontId="42" fillId="0" borderId="6" xfId="0" applyNumberFormat="1" applyFont="1" applyBorder="1" applyAlignment="1">
      <alignment horizontal="center" vertical="center"/>
    </xf>
    <xf numFmtId="3" fontId="42" fillId="0" borderId="6" xfId="0" applyNumberFormat="1" applyFont="1" applyBorder="1" applyAlignment="1">
      <alignment horizontal="right" vertical="center"/>
    </xf>
    <xf numFmtId="0" fontId="4" fillId="0" borderId="47" xfId="0" applyFont="1" applyBorder="1" applyAlignment="1">
      <alignment horizontal="center" vertical="center"/>
    </xf>
    <xf numFmtId="43" fontId="42" fillId="0" borderId="0" xfId="1" applyFont="1"/>
    <xf numFmtId="43" fontId="108" fillId="0" borderId="0" xfId="1" applyFont="1"/>
    <xf numFmtId="2" fontId="69" fillId="0" borderId="0" xfId="0" applyNumberFormat="1" applyFont="1"/>
    <xf numFmtId="205" fontId="0" fillId="0" borderId="0" xfId="0" applyNumberFormat="1"/>
    <xf numFmtId="0" fontId="26" fillId="0" borderId="0" xfId="0" applyFont="1" applyAlignment="1">
      <alignment horizontal="center"/>
    </xf>
    <xf numFmtId="0" fontId="19" fillId="0" borderId="0" xfId="0" applyFont="1"/>
    <xf numFmtId="49" fontId="23" fillId="0" borderId="0" xfId="0" applyNumberFormat="1" applyFont="1" applyAlignment="1">
      <alignment horizontal="right"/>
    </xf>
    <xf numFmtId="0" fontId="13" fillId="0" borderId="18" xfId="0" applyFont="1" applyBorder="1" applyAlignment="1">
      <alignment horizontal="center"/>
    </xf>
    <xf numFmtId="0" fontId="13" fillId="0" borderId="16" xfId="0" applyFont="1" applyBorder="1" applyAlignment="1">
      <alignment horizontal="left"/>
    </xf>
    <xf numFmtId="0" fontId="54" fillId="0" borderId="16" xfId="0" applyFont="1" applyBorder="1"/>
    <xf numFmtId="192" fontId="13" fillId="0" borderId="16" xfId="1" applyNumberFormat="1" applyFont="1" applyFill="1" applyBorder="1" applyAlignment="1">
      <alignment horizontal="center"/>
    </xf>
    <xf numFmtId="192" fontId="13" fillId="0" borderId="16" xfId="1" applyNumberFormat="1" applyFont="1" applyFill="1" applyBorder="1"/>
    <xf numFmtId="0" fontId="13" fillId="0" borderId="16" xfId="0" applyFont="1" applyBorder="1"/>
    <xf numFmtId="0" fontId="13" fillId="0" borderId="6" xfId="0" applyFont="1" applyBorder="1" applyAlignment="1">
      <alignment horizontal="left"/>
    </xf>
    <xf numFmtId="0" fontId="54" fillId="0" borderId="6" xfId="0" applyFont="1" applyBorder="1"/>
    <xf numFmtId="192" fontId="13" fillId="0" borderId="6" xfId="1" applyNumberFormat="1" applyFont="1" applyFill="1" applyBorder="1" applyAlignment="1">
      <alignment horizontal="center"/>
    </xf>
    <xf numFmtId="192" fontId="13" fillId="0" borderId="6" xfId="1" applyNumberFormat="1" applyFont="1" applyFill="1" applyBorder="1"/>
    <xf numFmtId="0" fontId="13" fillId="0" borderId="6" xfId="0" applyFont="1" applyBorder="1"/>
    <xf numFmtId="0" fontId="54" fillId="0" borderId="6" xfId="0" applyFont="1" applyBorder="1" applyAlignment="1">
      <alignment vertical="center"/>
    </xf>
    <xf numFmtId="0" fontId="22" fillId="0" borderId="1" xfId="0" applyFont="1" applyBorder="1" applyAlignment="1">
      <alignment horizontal="left"/>
    </xf>
    <xf numFmtId="0" fontId="22" fillId="0" borderId="1" xfId="0" applyFont="1" applyBorder="1"/>
    <xf numFmtId="192" fontId="20" fillId="0" borderId="1" xfId="0" applyNumberFormat="1" applyFont="1" applyBorder="1"/>
    <xf numFmtId="0" fontId="32" fillId="0" borderId="0" xfId="0" applyFont="1"/>
    <xf numFmtId="0" fontId="45" fillId="0" borderId="42" xfId="0" applyFont="1" applyBorder="1" applyAlignment="1">
      <alignment horizontal="center" vertical="center" wrapText="1"/>
    </xf>
    <xf numFmtId="3" fontId="35" fillId="0" borderId="48" xfId="0" applyNumberFormat="1" applyFont="1" applyBorder="1" applyAlignment="1">
      <alignment horizontal="right" vertical="center"/>
    </xf>
    <xf numFmtId="3" fontId="4" fillId="0" borderId="49" xfId="1" applyNumberFormat="1" applyFont="1" applyBorder="1" applyAlignment="1">
      <alignment vertical="center"/>
    </xf>
    <xf numFmtId="3" fontId="4" fillId="0" borderId="50" xfId="1" applyNumberFormat="1" applyFont="1" applyBorder="1" applyAlignment="1">
      <alignment horizontal="right" vertical="center"/>
    </xf>
    <xf numFmtId="3" fontId="4" fillId="0" borderId="8" xfId="1" applyNumberFormat="1" applyFont="1" applyBorder="1" applyAlignment="1">
      <alignment horizontal="right" vertical="center"/>
    </xf>
    <xf numFmtId="3" fontId="35" fillId="0" borderId="51" xfId="0" applyNumberFormat="1" applyFont="1" applyBorder="1" applyAlignment="1">
      <alignment horizontal="center" vertical="center"/>
    </xf>
    <xf numFmtId="0" fontId="10" fillId="9" borderId="26" xfId="0" applyFont="1" applyFill="1" applyBorder="1" applyAlignment="1">
      <alignment horizontal="left" vertical="center"/>
    </xf>
    <xf numFmtId="0" fontId="3" fillId="9" borderId="26" xfId="0" applyFont="1" applyFill="1" applyBorder="1" applyAlignment="1">
      <alignment horizontal="left" vertical="center"/>
    </xf>
    <xf numFmtId="3" fontId="10" fillId="9" borderId="26" xfId="0" applyNumberFormat="1" applyFont="1" applyFill="1" applyBorder="1" applyAlignment="1">
      <alignment vertical="center"/>
    </xf>
    <xf numFmtId="3" fontId="10" fillId="9" borderId="26" xfId="0" applyNumberFormat="1" applyFont="1" applyFill="1" applyBorder="1" applyAlignment="1">
      <alignment horizontal="left" vertical="center"/>
    </xf>
    <xf numFmtId="0" fontId="13" fillId="9" borderId="1" xfId="0" applyFont="1" applyFill="1" applyBorder="1" applyAlignment="1">
      <alignment shrinkToFit="1"/>
    </xf>
    <xf numFmtId="0" fontId="13" fillId="7" borderId="46" xfId="0" applyFont="1" applyFill="1" applyBorder="1" applyAlignment="1">
      <alignment shrinkToFit="1"/>
    </xf>
    <xf numFmtId="0" fontId="13" fillId="9" borderId="44" xfId="0" applyFont="1" applyFill="1" applyBorder="1"/>
    <xf numFmtId="3" fontId="10" fillId="7" borderId="26" xfId="0" applyNumberFormat="1" applyFont="1" applyFill="1" applyBorder="1" applyAlignment="1">
      <alignment horizontal="left" vertical="center"/>
    </xf>
    <xf numFmtId="4" fontId="4" fillId="0" borderId="6" xfId="0" applyNumberFormat="1" applyFont="1" applyBorder="1"/>
    <xf numFmtId="192" fontId="13" fillId="3" borderId="26" xfId="0" applyNumberFormat="1" applyFont="1" applyFill="1" applyBorder="1" applyAlignment="1">
      <alignment horizontal="right"/>
    </xf>
    <xf numFmtId="0" fontId="8" fillId="8" borderId="26" xfId="0" applyFont="1" applyFill="1" applyBorder="1" applyAlignment="1">
      <alignment horizontal="center"/>
    </xf>
    <xf numFmtId="192" fontId="13" fillId="7" borderId="26" xfId="0" applyNumberFormat="1" applyFont="1" applyFill="1" applyBorder="1" applyAlignment="1">
      <alignment horizontal="center"/>
    </xf>
    <xf numFmtId="192" fontId="61" fillId="7" borderId="0" xfId="255" applyNumberFormat="1" applyFont="1" applyFill="1"/>
    <xf numFmtId="0" fontId="115" fillId="7" borderId="1" xfId="255" applyFont="1" applyFill="1" applyBorder="1" applyAlignment="1">
      <alignment horizontal="center" vertical="center"/>
    </xf>
    <xf numFmtId="0" fontId="115" fillId="7" borderId="1" xfId="0" applyFont="1" applyFill="1" applyBorder="1" applyAlignment="1">
      <alignment vertical="center"/>
    </xf>
    <xf numFmtId="0" fontId="116" fillId="7" borderId="26" xfId="0" applyFont="1" applyFill="1" applyBorder="1" applyAlignment="1">
      <alignment horizontal="left" vertical="center"/>
    </xf>
    <xf numFmtId="0" fontId="115" fillId="7" borderId="1" xfId="0" applyFont="1" applyFill="1" applyBorder="1" applyAlignment="1">
      <alignment horizontal="center" vertical="center"/>
    </xf>
    <xf numFmtId="202" fontId="115" fillId="7" borderId="1" xfId="255" applyNumberFormat="1" applyFont="1" applyFill="1" applyBorder="1" applyAlignment="1">
      <alignment horizontal="left" vertical="center"/>
    </xf>
    <xf numFmtId="0" fontId="115" fillId="7" borderId="1" xfId="274" applyFont="1" applyFill="1" applyBorder="1" applyAlignment="1">
      <alignment horizontal="right" vertical="center"/>
    </xf>
    <xf numFmtId="203" fontId="115" fillId="7" borderId="1" xfId="8" applyNumberFormat="1" applyFont="1" applyFill="1" applyBorder="1" applyAlignment="1">
      <alignment horizontal="center" vertical="center"/>
    </xf>
    <xf numFmtId="0" fontId="115" fillId="7" borderId="1" xfId="255" applyFont="1" applyFill="1" applyBorder="1" applyAlignment="1">
      <alignment horizontal="center"/>
    </xf>
    <xf numFmtId="1" fontId="115" fillId="7" borderId="1" xfId="255" applyNumberFormat="1" applyFont="1" applyFill="1" applyBorder="1" applyAlignment="1">
      <alignment horizontal="center"/>
    </xf>
    <xf numFmtId="192" fontId="117" fillId="3" borderId="26" xfId="0" applyNumberFormat="1" applyFont="1" applyFill="1" applyBorder="1" applyAlignment="1">
      <alignment horizontal="right"/>
    </xf>
    <xf numFmtId="0" fontId="115" fillId="8" borderId="26" xfId="0" applyFont="1" applyFill="1" applyBorder="1" applyAlignment="1">
      <alignment horizontal="center"/>
    </xf>
    <xf numFmtId="192" fontId="116" fillId="7" borderId="0" xfId="255" applyNumberFormat="1" applyFont="1" applyFill="1"/>
    <xf numFmtId="192" fontId="117" fillId="7" borderId="26" xfId="0" applyNumberFormat="1" applyFont="1" applyFill="1" applyBorder="1" applyAlignment="1">
      <alignment horizontal="center"/>
    </xf>
    <xf numFmtId="0" fontId="116" fillId="7" borderId="0" xfId="255" applyFont="1" applyFill="1"/>
    <xf numFmtId="0" fontId="116" fillId="7" borderId="6" xfId="255" applyFont="1" applyFill="1" applyBorder="1"/>
    <xf numFmtId="0" fontId="69" fillId="9" borderId="0" xfId="0" applyFont="1" applyFill="1"/>
    <xf numFmtId="0" fontId="70" fillId="9" borderId="0" xfId="0" applyFont="1" applyFill="1" applyAlignment="1">
      <alignment horizontal="center"/>
    </xf>
    <xf numFmtId="0" fontId="70" fillId="9" borderId="14" xfId="0" applyFont="1" applyFill="1" applyBorder="1" applyAlignment="1">
      <alignment horizontal="center"/>
    </xf>
    <xf numFmtId="0" fontId="12" fillId="9" borderId="1" xfId="0" applyFont="1" applyFill="1" applyBorder="1" applyAlignment="1">
      <alignment horizontal="center" vertical="center" wrapText="1"/>
    </xf>
    <xf numFmtId="189" fontId="69" fillId="9" borderId="16" xfId="0" applyNumberFormat="1" applyFont="1" applyFill="1" applyBorder="1" applyAlignment="1">
      <alignment horizontal="center" vertical="center" shrinkToFit="1"/>
    </xf>
    <xf numFmtId="189" fontId="69" fillId="9" borderId="6" xfId="0" applyNumberFormat="1" applyFont="1" applyFill="1" applyBorder="1" applyAlignment="1">
      <alignment horizontal="center" vertical="center" shrinkToFit="1"/>
    </xf>
    <xf numFmtId="189" fontId="7" fillId="9" borderId="6" xfId="0" applyNumberFormat="1" applyFont="1" applyFill="1" applyBorder="1" applyAlignment="1">
      <alignment horizontal="center" vertical="center" shrinkToFit="1"/>
    </xf>
    <xf numFmtId="189" fontId="69" fillId="9" borderId="17" xfId="0" applyNumberFormat="1" applyFont="1" applyFill="1" applyBorder="1" applyAlignment="1">
      <alignment horizontal="center" vertical="center" shrinkToFit="1"/>
    </xf>
    <xf numFmtId="4" fontId="118" fillId="9" borderId="1" xfId="1" applyNumberFormat="1" applyFont="1" applyFill="1" applyBorder="1" applyAlignment="1">
      <alignment vertical="center"/>
    </xf>
    <xf numFmtId="0" fontId="70" fillId="9" borderId="0" xfId="0" applyFont="1" applyFill="1"/>
    <xf numFmtId="4" fontId="70" fillId="9" borderId="0" xfId="0" applyNumberFormat="1" applyFont="1" applyFill="1"/>
    <xf numFmtId="4" fontId="70" fillId="9" borderId="0" xfId="0" applyNumberFormat="1" applyFont="1" applyFill="1" applyAlignment="1">
      <alignment horizontal="center"/>
    </xf>
    <xf numFmtId="4" fontId="69" fillId="9" borderId="0" xfId="0" applyNumberFormat="1" applyFont="1" applyFill="1"/>
    <xf numFmtId="189" fontId="69" fillId="9" borderId="0" xfId="0" applyNumberFormat="1" applyFont="1" applyFill="1"/>
    <xf numFmtId="0" fontId="71" fillId="9" borderId="0" xfId="0" applyFont="1" applyFill="1" applyAlignment="1">
      <alignment horizontal="center"/>
    </xf>
    <xf numFmtId="4" fontId="71" fillId="9" borderId="0" xfId="0" applyNumberFormat="1" applyFont="1" applyFill="1" applyAlignment="1">
      <alignment horizontal="center"/>
    </xf>
    <xf numFmtId="189" fontId="69" fillId="9" borderId="16" xfId="0" applyNumberFormat="1" applyFont="1" applyFill="1" applyBorder="1" applyAlignment="1">
      <alignment horizontal="center"/>
    </xf>
    <xf numFmtId="189" fontId="69" fillId="9" borderId="6" xfId="0" applyNumberFormat="1" applyFont="1" applyFill="1" applyBorder="1" applyAlignment="1">
      <alignment horizontal="center"/>
    </xf>
    <xf numFmtId="189" fontId="7" fillId="9" borderId="6" xfId="0" applyNumberFormat="1" applyFont="1" applyFill="1" applyBorder="1" applyAlignment="1">
      <alignment horizontal="center"/>
    </xf>
    <xf numFmtId="189" fontId="69" fillId="9" borderId="17" xfId="0" applyNumberFormat="1" applyFont="1" applyFill="1" applyBorder="1" applyAlignment="1">
      <alignment horizontal="center"/>
    </xf>
    <xf numFmtId="4" fontId="70" fillId="9" borderId="1" xfId="1" applyNumberFormat="1" applyFont="1" applyFill="1" applyBorder="1" applyAlignment="1">
      <alignment vertical="center"/>
    </xf>
    <xf numFmtId="2" fontId="8" fillId="0" borderId="8" xfId="0" quotePrefix="1" applyNumberFormat="1" applyFont="1" applyBorder="1" applyAlignment="1">
      <alignment horizontal="right" wrapText="1"/>
    </xf>
    <xf numFmtId="2" fontId="12" fillId="0" borderId="48" xfId="0" applyNumberFormat="1" applyFont="1" applyBorder="1" applyAlignment="1">
      <alignment horizontal="right" wrapText="1"/>
    </xf>
    <xf numFmtId="192" fontId="12" fillId="0" borderId="48" xfId="1" applyNumberFormat="1" applyFont="1" applyFill="1" applyBorder="1" applyAlignment="1">
      <alignment horizontal="right" vertical="center" shrinkToFit="1"/>
    </xf>
    <xf numFmtId="189" fontId="12" fillId="0" borderId="48" xfId="1" applyNumberFormat="1" applyFont="1" applyFill="1" applyBorder="1" applyAlignment="1">
      <alignment horizontal="right" vertical="center" shrinkToFit="1"/>
    </xf>
    <xf numFmtId="192" fontId="12" fillId="0" borderId="52" xfId="1" applyNumberFormat="1" applyFont="1" applyFill="1" applyBorder="1" applyAlignment="1">
      <alignment vertical="center" shrinkToFit="1"/>
    </xf>
    <xf numFmtId="1" fontId="8" fillId="0" borderId="8" xfId="0" applyNumberFormat="1" applyFont="1" applyBorder="1" applyAlignment="1">
      <alignment horizontal="center" wrapText="1"/>
    </xf>
    <xf numFmtId="0" fontId="13" fillId="0" borderId="6" xfId="255" applyFont="1" applyBorder="1" applyAlignment="1">
      <alignment horizontal="left" vertical="center"/>
    </xf>
    <xf numFmtId="3" fontId="13" fillId="7" borderId="1" xfId="0" applyNumberFormat="1" applyFont="1" applyFill="1" applyBorder="1" applyAlignment="1">
      <alignment horizontal="left" vertical="center"/>
    </xf>
    <xf numFmtId="3" fontId="13" fillId="7" borderId="1" xfId="0" applyNumberFormat="1" applyFont="1" applyFill="1" applyBorder="1" applyAlignment="1">
      <alignment horizontal="center" vertical="center"/>
    </xf>
    <xf numFmtId="43" fontId="10" fillId="0" borderId="0" xfId="1" applyFont="1" applyFill="1"/>
    <xf numFmtId="0" fontId="13" fillId="0" borderId="6" xfId="0" applyFont="1" applyBorder="1" applyAlignment="1">
      <alignment horizontal="center"/>
    </xf>
    <xf numFmtId="0" fontId="13" fillId="7" borderId="1" xfId="0" applyFont="1" applyFill="1" applyBorder="1" applyAlignment="1">
      <alignment horizontal="center" vertical="center"/>
    </xf>
    <xf numFmtId="3" fontId="22" fillId="0" borderId="0" xfId="0" applyNumberFormat="1" applyFont="1"/>
    <xf numFmtId="0" fontId="21" fillId="0" borderId="16" xfId="0" applyFont="1" applyBorder="1" applyAlignment="1">
      <alignment horizontal="center" vertical="center"/>
    </xf>
    <xf numFmtId="0" fontId="21" fillId="0" borderId="16" xfId="0" applyFont="1" applyBorder="1" applyAlignment="1">
      <alignment horizontal="left" vertical="center"/>
    </xf>
    <xf numFmtId="0" fontId="21" fillId="0" borderId="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/>
    </xf>
    <xf numFmtId="0" fontId="13" fillId="0" borderId="17" xfId="0" applyFont="1" applyBorder="1" applyAlignment="1">
      <alignment horizontal="left"/>
    </xf>
    <xf numFmtId="192" fontId="13" fillId="0" borderId="17" xfId="1" applyNumberFormat="1" applyFont="1" applyFill="1" applyBorder="1" applyAlignment="1">
      <alignment horizontal="center"/>
    </xf>
    <xf numFmtId="192" fontId="13" fillId="0" borderId="17" xfId="1" applyNumberFormat="1" applyFont="1" applyFill="1" applyBorder="1"/>
    <xf numFmtId="0" fontId="13" fillId="0" borderId="17" xfId="0" applyFont="1" applyBorder="1"/>
    <xf numFmtId="0" fontId="20" fillId="0" borderId="0" xfId="0" applyFont="1" applyAlignment="1">
      <alignment horizontal="center"/>
    </xf>
    <xf numFmtId="0" fontId="111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92" fillId="0" borderId="0" xfId="0" applyFont="1"/>
    <xf numFmtId="0" fontId="120" fillId="0" borderId="0" xfId="0" applyFont="1"/>
    <xf numFmtId="0" fontId="93" fillId="0" borderId="0" xfId="0" applyFont="1" applyAlignment="1">
      <alignment horizontal="center"/>
    </xf>
    <xf numFmtId="0" fontId="93" fillId="0" borderId="1" xfId="0" applyFont="1" applyBorder="1" applyAlignment="1">
      <alignment horizontal="center" vertical="center"/>
    </xf>
    <xf numFmtId="0" fontId="93" fillId="0" borderId="1" xfId="0" applyFont="1" applyBorder="1" applyAlignment="1">
      <alignment horizontal="center" vertical="center" wrapText="1"/>
    </xf>
    <xf numFmtId="3" fontId="93" fillId="0" borderId="1" xfId="0" applyNumberFormat="1" applyFont="1" applyBorder="1" applyAlignment="1">
      <alignment horizontal="center" vertical="center"/>
    </xf>
    <xf numFmtId="0" fontId="22" fillId="0" borderId="0" xfId="0" applyFont="1" applyAlignment="1">
      <alignment shrinkToFit="1"/>
    </xf>
    <xf numFmtId="193" fontId="22" fillId="0" borderId="0" xfId="1" applyNumberFormat="1" applyFont="1" applyFill="1"/>
    <xf numFmtId="192" fontId="22" fillId="0" borderId="0" xfId="1" applyNumberFormat="1" applyFont="1" applyFill="1"/>
    <xf numFmtId="192" fontId="23" fillId="0" borderId="0" xfId="0" applyNumberFormat="1" applyFont="1"/>
    <xf numFmtId="191" fontId="92" fillId="0" borderId="0" xfId="1" applyNumberFormat="1" applyFont="1"/>
    <xf numFmtId="0" fontId="94" fillId="0" borderId="0" xfId="0" applyFont="1"/>
    <xf numFmtId="191" fontId="94" fillId="0" borderId="0" xfId="1" applyNumberFormat="1" applyFont="1"/>
    <xf numFmtId="0" fontId="89" fillId="0" borderId="0" xfId="0" applyFont="1"/>
    <xf numFmtId="191" fontId="93" fillId="0" borderId="1" xfId="1" applyNumberFormat="1" applyFont="1" applyBorder="1" applyAlignment="1">
      <alignment horizontal="center" vertical="center" wrapText="1"/>
    </xf>
    <xf numFmtId="0" fontId="96" fillId="3" borderId="1" xfId="0" applyFont="1" applyFill="1" applyBorder="1" applyAlignment="1">
      <alignment horizontal="center" vertical="center" wrapText="1"/>
    </xf>
    <xf numFmtId="191" fontId="96" fillId="3" borderId="1" xfId="1" applyNumberFormat="1" applyFont="1" applyFill="1" applyBorder="1" applyAlignment="1">
      <alignment horizontal="center" vertical="center" wrapText="1"/>
    </xf>
    <xf numFmtId="0" fontId="92" fillId="0" borderId="0" xfId="0" applyFont="1" applyAlignment="1">
      <alignment vertical="center"/>
    </xf>
    <xf numFmtId="0" fontId="92" fillId="0" borderId="6" xfId="0" applyFont="1" applyBorder="1" applyAlignment="1">
      <alignment horizontal="center" vertical="center"/>
    </xf>
    <xf numFmtId="0" fontId="22" fillId="0" borderId="6" xfId="0" applyFont="1" applyBorder="1" applyAlignment="1">
      <alignment horizontal="left" vertical="center"/>
    </xf>
    <xf numFmtId="3" fontId="92" fillId="0" borderId="6" xfId="1" applyNumberFormat="1" applyFont="1" applyBorder="1" applyAlignment="1">
      <alignment horizontal="right" vertical="center"/>
    </xf>
    <xf numFmtId="3" fontId="92" fillId="0" borderId="6" xfId="0" applyNumberFormat="1" applyFont="1" applyBorder="1" applyAlignment="1">
      <alignment horizontal="right" vertical="center"/>
    </xf>
    <xf numFmtId="3" fontId="93" fillId="0" borderId="1" xfId="0" applyNumberFormat="1" applyFont="1" applyBorder="1" applyAlignment="1">
      <alignment horizontal="right" vertical="center"/>
    </xf>
    <xf numFmtId="4" fontId="92" fillId="0" borderId="0" xfId="0" applyNumberFormat="1" applyFont="1" applyAlignment="1">
      <alignment vertical="center"/>
    </xf>
    <xf numFmtId="3" fontId="92" fillId="0" borderId="0" xfId="0" applyNumberFormat="1" applyFont="1" applyAlignment="1">
      <alignment vertical="center"/>
    </xf>
    <xf numFmtId="0" fontId="13" fillId="0" borderId="1" xfId="0" applyFont="1" applyBorder="1"/>
    <xf numFmtId="0" fontId="11" fillId="0" borderId="1" xfId="0" applyFont="1" applyBorder="1" applyAlignment="1">
      <alignment horizontal="center"/>
    </xf>
    <xf numFmtId="0" fontId="13" fillId="7" borderId="1" xfId="28" applyFont="1" applyFill="1" applyBorder="1" applyAlignment="1">
      <alignment horizontal="center"/>
    </xf>
    <xf numFmtId="191" fontId="2" fillId="0" borderId="0" xfId="1" applyNumberFormat="1" applyFont="1" applyFill="1" applyAlignment="1">
      <alignment horizontal="center"/>
    </xf>
    <xf numFmtId="43" fontId="5" fillId="0" borderId="0" xfId="0" applyNumberFormat="1" applyFont="1"/>
    <xf numFmtId="189" fontId="3" fillId="0" borderId="6" xfId="0" applyNumberFormat="1" applyFont="1" applyBorder="1" applyAlignment="1">
      <alignment horizontal="center" vertical="center"/>
    </xf>
    <xf numFmtId="43" fontId="6" fillId="0" borderId="6" xfId="1" applyFont="1" applyFill="1" applyBorder="1" applyAlignment="1">
      <alignment horizontal="center"/>
    </xf>
    <xf numFmtId="189" fontId="1" fillId="0" borderId="12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3" fontId="3" fillId="0" borderId="6" xfId="1" applyFont="1" applyFill="1" applyBorder="1" applyAlignment="1">
      <alignment horizontal="center" vertical="center"/>
    </xf>
    <xf numFmtId="191" fontId="6" fillId="10" borderId="0" xfId="1" applyNumberFormat="1" applyFont="1" applyFill="1"/>
    <xf numFmtId="43" fontId="6" fillId="0" borderId="0" xfId="0" applyNumberFormat="1" applyFont="1"/>
    <xf numFmtId="192" fontId="5" fillId="8" borderId="7" xfId="1" applyNumberFormat="1" applyFont="1" applyFill="1" applyBorder="1"/>
    <xf numFmtId="43" fontId="10" fillId="8" borderId="6" xfId="1" applyFont="1" applyFill="1" applyBorder="1" applyAlignment="1">
      <alignment horizontal="center"/>
    </xf>
    <xf numFmtId="43" fontId="10" fillId="8" borderId="6" xfId="1" applyFont="1" applyFill="1" applyBorder="1" applyAlignment="1">
      <alignment horizontal="center" vertical="center"/>
    </xf>
    <xf numFmtId="192" fontId="5" fillId="0" borderId="0" xfId="0" applyNumberFormat="1" applyFont="1"/>
    <xf numFmtId="0" fontId="122" fillId="0" borderId="0" xfId="0" applyFont="1"/>
    <xf numFmtId="0" fontId="122" fillId="0" borderId="0" xfId="0" applyFont="1" applyAlignment="1">
      <alignment horizontal="center"/>
    </xf>
    <xf numFmtId="0" fontId="97" fillId="7" borderId="0" xfId="255" applyFont="1" applyFill="1"/>
    <xf numFmtId="0" fontId="97" fillId="0" borderId="0" xfId="255" applyFont="1"/>
    <xf numFmtId="0" fontId="66" fillId="7" borderId="15" xfId="255" applyFont="1" applyFill="1" applyBorder="1" applyAlignment="1">
      <alignment horizontal="center" vertical="center"/>
    </xf>
    <xf numFmtId="0" fontId="66" fillId="7" borderId="15" xfId="255" applyFont="1" applyFill="1" applyBorder="1" applyAlignment="1">
      <alignment horizontal="center" vertical="center" wrapText="1"/>
    </xf>
    <xf numFmtId="0" fontId="66" fillId="7" borderId="15" xfId="255" applyFont="1" applyFill="1" applyBorder="1" applyAlignment="1">
      <alignment horizontal="center" vertical="center" wrapText="1" shrinkToFit="1"/>
    </xf>
    <xf numFmtId="203" fontId="13" fillId="0" borderId="1" xfId="8" applyNumberFormat="1" applyFont="1" applyFill="1" applyBorder="1" applyAlignment="1">
      <alignment horizontal="center" vertical="center"/>
    </xf>
    <xf numFmtId="0" fontId="13" fillId="0" borderId="26" xfId="0" applyFont="1" applyBorder="1" applyAlignment="1">
      <alignment horizontal="center"/>
    </xf>
    <xf numFmtId="192" fontId="97" fillId="7" borderId="0" xfId="255" applyNumberFormat="1" applyFont="1" applyFill="1"/>
    <xf numFmtId="0" fontId="97" fillId="7" borderId="6" xfId="255" applyFont="1" applyFill="1" applyBorder="1"/>
    <xf numFmtId="0" fontId="65" fillId="7" borderId="0" xfId="255" applyFont="1" applyFill="1" applyAlignment="1">
      <alignment horizontal="center" vertical="center"/>
    </xf>
    <xf numFmtId="0" fontId="65" fillId="7" borderId="0" xfId="255" applyFont="1" applyFill="1"/>
    <xf numFmtId="0" fontId="66" fillId="7" borderId="0" xfId="255" applyFont="1" applyFill="1" applyAlignment="1">
      <alignment horizontal="center"/>
    </xf>
    <xf numFmtId="0" fontId="97" fillId="7" borderId="24" xfId="255" applyFont="1" applyFill="1" applyBorder="1" applyAlignment="1">
      <alignment horizontal="center"/>
    </xf>
    <xf numFmtId="0" fontId="97" fillId="7" borderId="0" xfId="255" applyFont="1" applyFill="1" applyAlignment="1">
      <alignment horizontal="center"/>
    </xf>
    <xf numFmtId="0" fontId="58" fillId="7" borderId="0" xfId="255" applyFont="1" applyFill="1"/>
    <xf numFmtId="0" fontId="123" fillId="0" borderId="1" xfId="0" applyFont="1" applyBorder="1"/>
    <xf numFmtId="0" fontId="123" fillId="0" borderId="1" xfId="0" applyFont="1" applyBorder="1" applyAlignment="1">
      <alignment horizontal="center"/>
    </xf>
    <xf numFmtId="0" fontId="114" fillId="7" borderId="1" xfId="0" applyFont="1" applyFill="1" applyBorder="1" applyAlignment="1">
      <alignment horizontal="left"/>
    </xf>
    <xf numFmtId="3" fontId="10" fillId="7" borderId="1" xfId="0" applyNumberFormat="1" applyFont="1" applyFill="1" applyBorder="1" applyAlignment="1">
      <alignment horizontal="left" vertical="center"/>
    </xf>
    <xf numFmtId="0" fontId="114" fillId="0" borderId="1" xfId="0" applyFont="1" applyBorder="1" applyAlignment="1">
      <alignment horizontal="left"/>
    </xf>
    <xf numFmtId="0" fontId="13" fillId="7" borderId="1" xfId="28" applyFont="1" applyFill="1" applyBorder="1" applyAlignment="1">
      <alignment horizontal="left"/>
    </xf>
    <xf numFmtId="0" fontId="123" fillId="0" borderId="1" xfId="0" applyFont="1" applyBorder="1" applyAlignment="1">
      <alignment horizontal="left"/>
    </xf>
    <xf numFmtId="191" fontId="13" fillId="0" borderId="1" xfId="1" applyNumberFormat="1" applyFont="1" applyFill="1" applyBorder="1" applyAlignment="1">
      <alignment horizontal="center" vertical="center"/>
    </xf>
    <xf numFmtId="191" fontId="13" fillId="0" borderId="1" xfId="1" applyNumberFormat="1" applyFont="1" applyFill="1" applyBorder="1" applyAlignment="1">
      <alignment vertical="center"/>
    </xf>
    <xf numFmtId="191" fontId="11" fillId="0" borderId="1" xfId="0" applyNumberFormat="1" applyFont="1" applyBorder="1" applyAlignment="1">
      <alignment horizontal="center"/>
    </xf>
    <xf numFmtId="0" fontId="92" fillId="0" borderId="1" xfId="0" applyFont="1" applyBorder="1" applyAlignment="1">
      <alignment horizontal="center" vertical="center"/>
    </xf>
    <xf numFmtId="0" fontId="124" fillId="0" borderId="0" xfId="0" applyFont="1"/>
    <xf numFmtId="0" fontId="125" fillId="0" borderId="0" xfId="0" applyFont="1"/>
    <xf numFmtId="191" fontId="125" fillId="0" borderId="0" xfId="0" applyNumberFormat="1" applyFont="1"/>
    <xf numFmtId="3" fontId="125" fillId="0" borderId="0" xfId="0" applyNumberFormat="1" applyFont="1"/>
    <xf numFmtId="189" fontId="125" fillId="0" borderId="0" xfId="0" applyNumberFormat="1" applyFont="1"/>
    <xf numFmtId="0" fontId="125" fillId="0" borderId="0" xfId="0" applyFont="1" applyAlignment="1">
      <alignment horizontal="center"/>
    </xf>
    <xf numFmtId="0" fontId="20" fillId="0" borderId="1" xfId="0" applyFont="1" applyBorder="1" applyAlignment="1">
      <alignment horizontal="left"/>
    </xf>
    <xf numFmtId="0" fontId="20" fillId="0" borderId="1" xfId="0" applyFont="1" applyBorder="1"/>
    <xf numFmtId="0" fontId="13" fillId="0" borderId="16" xfId="0" applyFont="1" applyBorder="1" applyAlignment="1">
      <alignment horizontal="center"/>
    </xf>
    <xf numFmtId="191" fontId="122" fillId="0" borderId="0" xfId="0" applyNumberFormat="1" applyFont="1"/>
    <xf numFmtId="0" fontId="124" fillId="0" borderId="0" xfId="0" applyFont="1" applyAlignment="1">
      <alignment horizontal="center"/>
    </xf>
    <xf numFmtId="3" fontId="22" fillId="0" borderId="0" xfId="0" applyNumberFormat="1" applyFont="1" applyAlignment="1">
      <alignment horizontal="right"/>
    </xf>
    <xf numFmtId="3" fontId="22" fillId="0" borderId="0" xfId="0" applyNumberFormat="1" applyFont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4" fontId="20" fillId="0" borderId="1" xfId="0" applyNumberFormat="1" applyFont="1" applyBorder="1" applyAlignment="1">
      <alignment horizontal="center" vertical="center" wrapText="1"/>
    </xf>
    <xf numFmtId="3" fontId="20" fillId="0" borderId="1" xfId="0" applyNumberFormat="1" applyFont="1" applyBorder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77" fillId="0" borderId="1" xfId="273" applyFont="1" applyBorder="1" applyAlignment="1">
      <alignment horizontal="center" vertical="center"/>
    </xf>
    <xf numFmtId="4" fontId="22" fillId="0" borderId="1" xfId="1" applyNumberFormat="1" applyFont="1" applyFill="1" applyBorder="1" applyAlignment="1">
      <alignment horizontal="center"/>
    </xf>
    <xf numFmtId="4" fontId="22" fillId="0" borderId="1" xfId="0" applyNumberFormat="1" applyFont="1" applyBorder="1" applyAlignment="1">
      <alignment horizontal="center"/>
    </xf>
    <xf numFmtId="3" fontId="22" fillId="0" borderId="1" xfId="0" applyNumberFormat="1" applyFont="1" applyBorder="1" applyAlignment="1">
      <alignment horizontal="center"/>
    </xf>
    <xf numFmtId="0" fontId="101" fillId="0" borderId="1" xfId="273" applyFont="1" applyBorder="1" applyAlignment="1">
      <alignment horizontal="center" vertical="center"/>
    </xf>
    <xf numFmtId="0" fontId="22" fillId="0" borderId="1" xfId="273" applyFont="1" applyBorder="1" applyAlignment="1">
      <alignment horizontal="center" vertical="center"/>
    </xf>
    <xf numFmtId="0" fontId="22" fillId="0" borderId="1" xfId="273" applyFont="1" applyBorder="1" applyAlignment="1">
      <alignment horizontal="left" vertical="center"/>
    </xf>
    <xf numFmtId="191" fontId="22" fillId="0" borderId="1" xfId="1" applyNumberFormat="1" applyFont="1" applyFill="1" applyBorder="1" applyAlignment="1">
      <alignment horizontal="center"/>
    </xf>
    <xf numFmtId="4" fontId="22" fillId="0" borderId="0" xfId="0" applyNumberFormat="1" applyFont="1"/>
    <xf numFmtId="0" fontId="102" fillId="0" borderId="0" xfId="255" applyFont="1"/>
    <xf numFmtId="3" fontId="102" fillId="0" borderId="0" xfId="255" applyNumberFormat="1" applyFont="1"/>
    <xf numFmtId="0" fontId="103" fillId="0" borderId="0" xfId="255" applyFont="1"/>
    <xf numFmtId="3" fontId="103" fillId="0" borderId="0" xfId="255" applyNumberFormat="1" applyFont="1"/>
    <xf numFmtId="0" fontId="23" fillId="0" borderId="0" xfId="255" applyFont="1" applyAlignment="1">
      <alignment horizontal="center" vertical="center"/>
    </xf>
    <xf numFmtId="0" fontId="77" fillId="0" borderId="1" xfId="273" applyFont="1" applyBorder="1" applyAlignment="1">
      <alignment horizontal="left" vertical="center"/>
    </xf>
    <xf numFmtId="191" fontId="22" fillId="0" borderId="0" xfId="1" applyNumberFormat="1" applyFont="1" applyFill="1"/>
    <xf numFmtId="0" fontId="20" fillId="0" borderId="1" xfId="0" applyFont="1" applyBorder="1" applyAlignment="1">
      <alignment horizontal="center" vertical="center"/>
    </xf>
    <xf numFmtId="191" fontId="20" fillId="0" borderId="1" xfId="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20" fillId="0" borderId="1" xfId="0" applyFont="1" applyBorder="1" applyAlignment="1">
      <alignment horizontal="left" vertical="center"/>
    </xf>
    <xf numFmtId="4" fontId="20" fillId="0" borderId="1" xfId="1" applyNumberFormat="1" applyFont="1" applyFill="1" applyBorder="1" applyAlignment="1">
      <alignment horizontal="right" vertical="center"/>
    </xf>
    <xf numFmtId="3" fontId="20" fillId="0" borderId="1" xfId="1" applyNumberFormat="1" applyFont="1" applyFill="1" applyBorder="1" applyAlignment="1">
      <alignment horizontal="right" vertical="center"/>
    </xf>
    <xf numFmtId="0" fontId="20" fillId="0" borderId="1" xfId="0" applyFont="1" applyBorder="1" applyAlignment="1">
      <alignment horizontal="right" vertical="center"/>
    </xf>
    <xf numFmtId="3" fontId="20" fillId="0" borderId="0" xfId="0" applyNumberFormat="1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22" fillId="0" borderId="1" xfId="0" applyFont="1" applyBorder="1" applyAlignment="1">
      <alignment horizontal="center" vertical="center"/>
    </xf>
    <xf numFmtId="3" fontId="22" fillId="0" borderId="1" xfId="1" applyNumberFormat="1" applyFont="1" applyFill="1" applyBorder="1" applyAlignment="1">
      <alignment horizontal="right" vertical="center"/>
    </xf>
    <xf numFmtId="0" fontId="22" fillId="0" borderId="0" xfId="0" applyFont="1" applyAlignment="1">
      <alignment horizontal="right" vertical="center"/>
    </xf>
    <xf numFmtId="0" fontId="22" fillId="0" borderId="1" xfId="0" applyFont="1" applyBorder="1" applyAlignment="1">
      <alignment horizontal="left" vertical="center"/>
    </xf>
    <xf numFmtId="3" fontId="20" fillId="0" borderId="1" xfId="0" applyNumberFormat="1" applyFont="1" applyBorder="1" applyAlignment="1">
      <alignment horizontal="right" vertical="center"/>
    </xf>
    <xf numFmtId="43" fontId="20" fillId="0" borderId="0" xfId="1" applyFont="1" applyFill="1" applyAlignment="1">
      <alignment horizontal="right" vertical="center"/>
    </xf>
    <xf numFmtId="191" fontId="22" fillId="0" borderId="0" xfId="0" applyNumberFormat="1" applyFont="1"/>
    <xf numFmtId="0" fontId="93" fillId="0" borderId="0" xfId="0" applyFont="1"/>
    <xf numFmtId="0" fontId="105" fillId="0" borderId="0" xfId="0" applyFont="1" applyAlignment="1">
      <alignment horizontal="center"/>
    </xf>
    <xf numFmtId="0" fontId="106" fillId="0" borderId="0" xfId="0" applyFont="1" applyAlignment="1">
      <alignment horizontal="center"/>
    </xf>
    <xf numFmtId="0" fontId="106" fillId="7" borderId="0" xfId="0" applyFont="1" applyFill="1" applyAlignment="1">
      <alignment horizontal="center"/>
    </xf>
    <xf numFmtId="0" fontId="20" fillId="7" borderId="0" xfId="0" applyFont="1" applyFill="1" applyAlignment="1">
      <alignment horizontal="center"/>
    </xf>
    <xf numFmtId="0" fontId="106" fillId="0" borderId="1" xfId="0" applyFont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193" fontId="93" fillId="7" borderId="1" xfId="1" applyNumberFormat="1" applyFont="1" applyFill="1" applyBorder="1" applyAlignment="1">
      <alignment horizontal="center" vertical="center" wrapText="1"/>
    </xf>
    <xf numFmtId="0" fontId="20" fillId="7" borderId="1" xfId="1" applyNumberFormat="1" applyFont="1" applyFill="1" applyBorder="1" applyAlignment="1">
      <alignment horizontal="center" vertical="center" wrapText="1"/>
    </xf>
    <xf numFmtId="0" fontId="92" fillId="3" borderId="0" xfId="0" applyFont="1" applyFill="1"/>
    <xf numFmtId="0" fontId="106" fillId="0" borderId="0" xfId="0" applyFont="1"/>
    <xf numFmtId="4" fontId="106" fillId="0" borderId="0" xfId="0" applyNumberFormat="1" applyFont="1"/>
    <xf numFmtId="0" fontId="93" fillId="7" borderId="0" xfId="0" applyFont="1" applyFill="1"/>
    <xf numFmtId="4" fontId="106" fillId="0" borderId="0" xfId="0" applyNumberFormat="1" applyFont="1" applyAlignment="1">
      <alignment horizontal="center"/>
    </xf>
    <xf numFmtId="2" fontId="106" fillId="0" borderId="0" xfId="0" applyNumberFormat="1" applyFont="1" applyAlignment="1">
      <alignment horizontal="center"/>
    </xf>
    <xf numFmtId="189" fontId="93" fillId="0" borderId="0" xfId="0" applyNumberFormat="1" applyFont="1" applyAlignment="1">
      <alignment horizontal="center"/>
    </xf>
    <xf numFmtId="0" fontId="100" fillId="0" borderId="0" xfId="0" applyFont="1"/>
    <xf numFmtId="4" fontId="100" fillId="0" borderId="0" xfId="0" applyNumberFormat="1" applyFont="1"/>
    <xf numFmtId="4" fontId="92" fillId="0" borderId="0" xfId="0" applyNumberFormat="1" applyFont="1"/>
    <xf numFmtId="4" fontId="100" fillId="7" borderId="0" xfId="0" applyNumberFormat="1" applyFont="1" applyFill="1"/>
    <xf numFmtId="4" fontId="106" fillId="7" borderId="0" xfId="0" applyNumberFormat="1" applyFont="1" applyFill="1" applyAlignment="1">
      <alignment horizontal="center"/>
    </xf>
    <xf numFmtId="0" fontId="100" fillId="7" borderId="0" xfId="0" applyFont="1" applyFill="1"/>
    <xf numFmtId="189" fontId="92" fillId="7" borderId="0" xfId="0" applyNumberFormat="1" applyFont="1" applyFill="1" applyAlignment="1">
      <alignment horizontal="center"/>
    </xf>
    <xf numFmtId="0" fontId="92" fillId="7" borderId="0" xfId="0" applyFont="1" applyFill="1"/>
    <xf numFmtId="2" fontId="100" fillId="0" borderId="0" xfId="0" applyNumberFormat="1" applyFont="1"/>
    <xf numFmtId="4" fontId="92" fillId="7" borderId="0" xfId="0" applyNumberFormat="1" applyFont="1" applyFill="1" applyAlignment="1">
      <alignment horizontal="center"/>
    </xf>
    <xf numFmtId="189" fontId="92" fillId="0" borderId="0" xfId="0" applyNumberFormat="1" applyFont="1"/>
    <xf numFmtId="3" fontId="100" fillId="0" borderId="0" xfId="0" applyNumberFormat="1" applyFont="1"/>
    <xf numFmtId="0" fontId="92" fillId="7" borderId="0" xfId="0" applyFont="1" applyFill="1" applyAlignment="1">
      <alignment horizontal="center"/>
    </xf>
    <xf numFmtId="4" fontId="92" fillId="7" borderId="0" xfId="0" applyNumberFormat="1" applyFont="1" applyFill="1"/>
    <xf numFmtId="189" fontId="100" fillId="7" borderId="0" xfId="0" applyNumberFormat="1" applyFont="1" applyFill="1"/>
    <xf numFmtId="0" fontId="99" fillId="7" borderId="0" xfId="0" applyFont="1" applyFill="1" applyAlignment="1">
      <alignment horizontal="center"/>
    </xf>
    <xf numFmtId="4" fontId="99" fillId="7" borderId="0" xfId="0" applyNumberFormat="1" applyFont="1" applyFill="1" applyAlignment="1">
      <alignment horizontal="center"/>
    </xf>
    <xf numFmtId="189" fontId="94" fillId="7" borderId="0" xfId="0" applyNumberFormat="1" applyFont="1" applyFill="1" applyAlignment="1">
      <alignment horizontal="center"/>
    </xf>
    <xf numFmtId="0" fontId="94" fillId="7" borderId="0" xfId="0" applyFont="1" applyFill="1"/>
    <xf numFmtId="191" fontId="92" fillId="7" borderId="0" xfId="0" applyNumberFormat="1" applyFont="1" applyFill="1"/>
    <xf numFmtId="3" fontId="100" fillId="0" borderId="17" xfId="0" applyNumberFormat="1" applyFont="1" applyBorder="1" applyAlignment="1">
      <alignment vertical="center"/>
    </xf>
    <xf numFmtId="2" fontId="92" fillId="0" borderId="6" xfId="0" applyNumberFormat="1" applyFont="1" applyBorder="1" applyAlignment="1">
      <alignment horizontal="center" vertical="center"/>
    </xf>
    <xf numFmtId="3" fontId="92" fillId="0" borderId="1" xfId="0" applyNumberFormat="1" applyFont="1" applyBorder="1" applyAlignment="1">
      <alignment horizontal="center" vertical="center"/>
    </xf>
    <xf numFmtId="4" fontId="93" fillId="0" borderId="1" xfId="0" applyNumberFormat="1" applyFont="1" applyBorder="1" applyAlignment="1">
      <alignment horizontal="center" vertical="center"/>
    </xf>
    <xf numFmtId="3" fontId="92" fillId="0" borderId="18" xfId="0" applyNumberFormat="1" applyFont="1" applyBorder="1" applyAlignment="1">
      <alignment horizontal="center" vertical="center"/>
    </xf>
    <xf numFmtId="0" fontId="125" fillId="0" borderId="0" xfId="0" applyFont="1" applyAlignment="1">
      <alignment horizontal="center" vertical="center"/>
    </xf>
    <xf numFmtId="0" fontId="124" fillId="0" borderId="0" xfId="0" applyFont="1" applyAlignment="1">
      <alignment horizontal="left" vertical="center"/>
    </xf>
    <xf numFmtId="3" fontId="129" fillId="0" borderId="0" xfId="0" applyNumberFormat="1" applyFont="1" applyAlignment="1">
      <alignment horizontal="right" vertical="center"/>
    </xf>
    <xf numFmtId="198" fontId="129" fillId="0" borderId="0" xfId="0" applyNumberFormat="1" applyFont="1" applyAlignment="1">
      <alignment horizontal="right" vertical="center"/>
    </xf>
    <xf numFmtId="0" fontId="124" fillId="0" borderId="1" xfId="0" applyFont="1" applyBorder="1" applyAlignment="1">
      <alignment horizontal="center" vertical="center"/>
    </xf>
    <xf numFmtId="0" fontId="124" fillId="0" borderId="1" xfId="0" applyFont="1" applyBorder="1" applyAlignment="1">
      <alignment horizontal="center" vertical="center" wrapText="1"/>
    </xf>
    <xf numFmtId="191" fontId="124" fillId="0" borderId="1" xfId="1" applyNumberFormat="1" applyFont="1" applyFill="1" applyBorder="1" applyAlignment="1">
      <alignment horizontal="center" vertical="center"/>
    </xf>
    <xf numFmtId="191" fontId="124" fillId="0" borderId="1" xfId="1" applyNumberFormat="1" applyFont="1" applyFill="1" applyBorder="1" applyAlignment="1">
      <alignment horizontal="center" vertical="center" wrapText="1"/>
    </xf>
    <xf numFmtId="191" fontId="124" fillId="0" borderId="1" xfId="1" applyNumberFormat="1" applyFont="1" applyFill="1" applyBorder="1" applyAlignment="1">
      <alignment vertical="center"/>
    </xf>
    <xf numFmtId="0" fontId="125" fillId="0" borderId="0" xfId="0" applyFont="1" applyAlignment="1">
      <alignment vertical="center"/>
    </xf>
    <xf numFmtId="192" fontId="124" fillId="0" borderId="1" xfId="1" applyNumberFormat="1" applyFont="1" applyFill="1" applyBorder="1" applyAlignment="1">
      <alignment vertical="center"/>
    </xf>
    <xf numFmtId="192" fontId="129" fillId="0" borderId="1" xfId="0" applyNumberFormat="1" applyFont="1" applyBorder="1" applyAlignment="1">
      <alignment vertical="center"/>
    </xf>
    <xf numFmtId="0" fontId="124" fillId="0" borderId="0" xfId="0" applyFont="1" applyAlignment="1">
      <alignment vertical="center"/>
    </xf>
    <xf numFmtId="192" fontId="124" fillId="0" borderId="1" xfId="0" applyNumberFormat="1" applyFont="1" applyBorder="1" applyAlignment="1">
      <alignment vertical="center"/>
    </xf>
    <xf numFmtId="3" fontId="125" fillId="0" borderId="0" xfId="0" applyNumberFormat="1" applyFont="1" applyAlignment="1">
      <alignment vertical="center"/>
    </xf>
    <xf numFmtId="0" fontId="127" fillId="0" borderId="0" xfId="0" applyFont="1" applyAlignment="1">
      <alignment vertical="center"/>
    </xf>
    <xf numFmtId="0" fontId="127" fillId="0" borderId="0" xfId="0" applyFont="1" applyAlignment="1">
      <alignment horizontal="center" vertical="center"/>
    </xf>
    <xf numFmtId="4" fontId="127" fillId="0" borderId="0" xfId="0" applyNumberFormat="1" applyFont="1" applyAlignment="1">
      <alignment vertical="center"/>
    </xf>
    <xf numFmtId="0" fontId="125" fillId="0" borderId="1" xfId="0" applyFont="1" applyBorder="1" applyAlignment="1">
      <alignment horizontal="center" vertical="center"/>
    </xf>
    <xf numFmtId="0" fontId="22" fillId="0" borderId="1" xfId="255" applyFont="1" applyBorder="1" applyAlignment="1">
      <alignment horizontal="left" vertical="center"/>
    </xf>
    <xf numFmtId="192" fontId="125" fillId="0" borderId="1" xfId="1" applyNumberFormat="1" applyFont="1" applyFill="1" applyBorder="1" applyAlignment="1">
      <alignment horizontal="right" vertical="center" indent="1"/>
    </xf>
    <xf numFmtId="192" fontId="125" fillId="0" borderId="1" xfId="1" applyNumberFormat="1" applyFont="1" applyFill="1" applyBorder="1" applyAlignment="1">
      <alignment horizontal="center" vertical="center"/>
    </xf>
    <xf numFmtId="192" fontId="22" fillId="0" borderId="1" xfId="1" applyNumberFormat="1" applyFont="1" applyFill="1" applyBorder="1" applyAlignment="1">
      <alignment vertical="center"/>
    </xf>
    <xf numFmtId="189" fontId="22" fillId="0" borderId="1" xfId="1" applyNumberFormat="1" applyFont="1" applyFill="1" applyBorder="1" applyAlignment="1">
      <alignment vertical="center"/>
    </xf>
    <xf numFmtId="192" fontId="125" fillId="0" borderId="1" xfId="1" applyNumberFormat="1" applyFont="1" applyFill="1" applyBorder="1" applyAlignment="1">
      <alignment vertical="center"/>
    </xf>
    <xf numFmtId="189" fontId="22" fillId="0" borderId="1" xfId="0" applyNumberFormat="1" applyFont="1" applyBorder="1" applyAlignment="1">
      <alignment vertical="center"/>
    </xf>
    <xf numFmtId="192" fontId="125" fillId="0" borderId="1" xfId="0" applyNumberFormat="1" applyFont="1" applyBorder="1" applyAlignment="1">
      <alignment vertical="center"/>
    </xf>
    <xf numFmtId="189" fontId="125" fillId="0" borderId="1" xfId="0" applyNumberFormat="1" applyFont="1" applyBorder="1" applyAlignment="1">
      <alignment vertical="center"/>
    </xf>
    <xf numFmtId="192" fontId="127" fillId="0" borderId="1" xfId="0" applyNumberFormat="1" applyFont="1" applyBorder="1" applyAlignment="1">
      <alignment vertical="center"/>
    </xf>
    <xf numFmtId="0" fontId="124" fillId="0" borderId="0" xfId="0" applyFont="1" applyAlignment="1">
      <alignment horizontal="center" vertical="center"/>
    </xf>
    <xf numFmtId="3" fontId="129" fillId="0" borderId="0" xfId="0" applyNumberFormat="1" applyFont="1" applyAlignment="1">
      <alignment horizontal="center" vertical="center"/>
    </xf>
    <xf numFmtId="206" fontId="129" fillId="0" borderId="0" xfId="0" applyNumberFormat="1" applyFont="1" applyAlignment="1">
      <alignment horizontal="center" vertical="center"/>
    </xf>
    <xf numFmtId="0" fontId="93" fillId="0" borderId="1" xfId="0" quotePrefix="1" applyFont="1" applyBorder="1" applyAlignment="1">
      <alignment horizontal="center" vertical="center"/>
    </xf>
    <xf numFmtId="189" fontId="124" fillId="0" borderId="1" xfId="1" applyNumberFormat="1" applyFont="1" applyFill="1" applyBorder="1" applyAlignment="1">
      <alignment vertical="center"/>
    </xf>
    <xf numFmtId="3" fontId="124" fillId="0" borderId="1" xfId="0" applyNumberFormat="1" applyFont="1" applyBorder="1" applyAlignment="1">
      <alignment vertical="center"/>
    </xf>
    <xf numFmtId="3" fontId="125" fillId="0" borderId="1" xfId="0" applyNumberFormat="1" applyFont="1" applyBorder="1" applyAlignment="1">
      <alignment vertical="center"/>
    </xf>
    <xf numFmtId="189" fontId="92" fillId="0" borderId="1" xfId="3" applyNumberFormat="1" applyFont="1" applyFill="1" applyBorder="1" applyAlignment="1">
      <alignment horizontal="right" vertical="center"/>
    </xf>
    <xf numFmtId="3" fontId="22" fillId="0" borderId="0" xfId="0" applyNumberFormat="1" applyFont="1" applyAlignment="1">
      <alignment horizontal="right" vertical="center"/>
    </xf>
    <xf numFmtId="191" fontId="20" fillId="0" borderId="1" xfId="1" applyNumberFormat="1" applyFont="1" applyFill="1" applyBorder="1" applyAlignment="1">
      <alignment horizontal="right" vertical="center"/>
    </xf>
    <xf numFmtId="191" fontId="22" fillId="0" borderId="1" xfId="1" applyNumberFormat="1" applyFont="1" applyFill="1" applyBorder="1"/>
    <xf numFmtId="191" fontId="20" fillId="0" borderId="1" xfId="1" applyNumberFormat="1" applyFont="1" applyFill="1" applyBorder="1"/>
    <xf numFmtId="191" fontId="20" fillId="0" borderId="0" xfId="1" applyNumberFormat="1" applyFont="1" applyFill="1"/>
    <xf numFmtId="0" fontId="92" fillId="0" borderId="1" xfId="0" applyFont="1" applyBorder="1" applyAlignment="1">
      <alignment vertical="center"/>
    </xf>
    <xf numFmtId="191" fontId="92" fillId="0" borderId="0" xfId="0" applyNumberFormat="1" applyFont="1"/>
    <xf numFmtId="191" fontId="20" fillId="0" borderId="0" xfId="1" applyNumberFormat="1" applyFont="1" applyFill="1" applyAlignment="1">
      <alignment horizontal="right" vertical="center"/>
    </xf>
    <xf numFmtId="0" fontId="127" fillId="0" borderId="0" xfId="0" applyFont="1" applyAlignment="1">
      <alignment horizontal="center"/>
    </xf>
    <xf numFmtId="195" fontId="125" fillId="0" borderId="0" xfId="0" applyNumberFormat="1" applyFont="1"/>
    <xf numFmtId="192" fontId="124" fillId="0" borderId="0" xfId="0" applyNumberFormat="1" applyFont="1" applyAlignment="1">
      <alignment vertical="center"/>
    </xf>
    <xf numFmtId="189" fontId="124" fillId="0" borderId="0" xfId="0" applyNumberFormat="1" applyFont="1" applyAlignment="1">
      <alignment vertical="center"/>
    </xf>
    <xf numFmtId="0" fontId="22" fillId="0" borderId="0" xfId="255" applyFont="1" applyAlignment="1">
      <alignment horizontal="left" vertical="center"/>
    </xf>
    <xf numFmtId="189" fontId="125" fillId="0" borderId="1" xfId="1" applyNumberFormat="1" applyFont="1" applyFill="1" applyBorder="1" applyAlignment="1">
      <alignment vertical="center"/>
    </xf>
    <xf numFmtId="3" fontId="135" fillId="0" borderId="0" xfId="0" applyNumberFormat="1" applyFont="1"/>
    <xf numFmtId="192" fontId="125" fillId="0" borderId="0" xfId="0" applyNumberFormat="1" applyFont="1"/>
    <xf numFmtId="0" fontId="125" fillId="7" borderId="0" xfId="0" applyFont="1" applyFill="1"/>
    <xf numFmtId="0" fontId="124" fillId="7" borderId="0" xfId="0" applyFont="1" applyFill="1"/>
    <xf numFmtId="193" fontId="125" fillId="7" borderId="0" xfId="1" applyNumberFormat="1" applyFont="1" applyFill="1"/>
    <xf numFmtId="192" fontId="125" fillId="7" borderId="0" xfId="1" applyNumberFormat="1" applyFont="1" applyFill="1"/>
    <xf numFmtId="0" fontId="124" fillId="7" borderId="0" xfId="0" applyFont="1" applyFill="1" applyAlignment="1">
      <alignment horizontal="center"/>
    </xf>
    <xf numFmtId="0" fontId="125" fillId="7" borderId="0" xfId="0" applyFont="1" applyFill="1" applyAlignment="1">
      <alignment horizontal="center"/>
    </xf>
    <xf numFmtId="0" fontId="125" fillId="7" borderId="0" xfId="0" applyFont="1" applyFill="1" applyAlignment="1">
      <alignment shrinkToFit="1"/>
    </xf>
    <xf numFmtId="193" fontId="125" fillId="7" borderId="0" xfId="1" applyNumberFormat="1" applyFont="1" applyFill="1" applyBorder="1" applyAlignment="1"/>
    <xf numFmtId="43" fontId="125" fillId="7" borderId="0" xfId="1" applyFont="1" applyFill="1" applyBorder="1" applyAlignment="1"/>
    <xf numFmtId="192" fontId="125" fillId="7" borderId="0" xfId="1" applyNumberFormat="1" applyFont="1" applyFill="1" applyBorder="1" applyAlignment="1">
      <alignment horizontal="center"/>
    </xf>
    <xf numFmtId="192" fontId="125" fillId="7" borderId="0" xfId="1" applyNumberFormat="1" applyFont="1" applyFill="1" applyBorder="1" applyAlignment="1"/>
    <xf numFmtId="192" fontId="125" fillId="7" borderId="0" xfId="1" applyNumberFormat="1" applyFont="1" applyFill="1" applyBorder="1"/>
    <xf numFmtId="0" fontId="124" fillId="7" borderId="0" xfId="0" applyFont="1" applyFill="1" applyAlignment="1">
      <alignment horizontal="center" vertical="center"/>
    </xf>
    <xf numFmtId="193" fontId="124" fillId="7" borderId="1" xfId="1" applyNumberFormat="1" applyFont="1" applyFill="1" applyBorder="1" applyAlignment="1">
      <alignment horizontal="center" vertical="center" wrapText="1"/>
    </xf>
    <xf numFmtId="197" fontId="125" fillId="7" borderId="0" xfId="0" applyNumberFormat="1" applyFont="1" applyFill="1"/>
    <xf numFmtId="192" fontId="125" fillId="7" borderId="0" xfId="1" applyNumberFormat="1" applyFont="1" applyFill="1" applyAlignment="1">
      <alignment horizontal="center"/>
    </xf>
    <xf numFmtId="3" fontId="125" fillId="7" borderId="0" xfId="0" applyNumberFormat="1" applyFont="1" applyFill="1"/>
    <xf numFmtId="192" fontId="125" fillId="7" borderId="0" xfId="0" applyNumberFormat="1" applyFont="1" applyFill="1"/>
    <xf numFmtId="200" fontId="125" fillId="7" borderId="0" xfId="0" applyNumberFormat="1" applyFont="1" applyFill="1"/>
    <xf numFmtId="189" fontId="124" fillId="7" borderId="0" xfId="0" applyNumberFormat="1" applyFont="1" applyFill="1" applyAlignment="1">
      <alignment vertical="center"/>
    </xf>
    <xf numFmtId="194" fontId="125" fillId="7" borderId="0" xfId="0" applyNumberFormat="1" applyFont="1" applyFill="1"/>
    <xf numFmtId="192" fontId="125" fillId="7" borderId="0" xfId="1" applyNumberFormat="1" applyFont="1" applyFill="1" applyAlignment="1">
      <alignment shrinkToFit="1"/>
    </xf>
    <xf numFmtId="3" fontId="125" fillId="7" borderId="0" xfId="0" applyNumberFormat="1" applyFont="1" applyFill="1" applyAlignment="1">
      <alignment horizontal="center"/>
    </xf>
    <xf numFmtId="191" fontId="125" fillId="7" borderId="0" xfId="1" applyNumberFormat="1" applyFont="1" applyFill="1" applyAlignment="1">
      <alignment horizontal="center"/>
    </xf>
    <xf numFmtId="2" fontId="125" fillId="7" borderId="0" xfId="0" applyNumberFormat="1" applyFont="1" applyFill="1"/>
    <xf numFmtId="189" fontId="125" fillId="7" borderId="0" xfId="0" applyNumberFormat="1" applyFont="1" applyFill="1"/>
    <xf numFmtId="0" fontId="130" fillId="7" borderId="0" xfId="0" applyFont="1" applyFill="1"/>
    <xf numFmtId="191" fontId="130" fillId="7" borderId="0" xfId="1" applyNumberFormat="1" applyFont="1" applyFill="1"/>
    <xf numFmtId="193" fontId="130" fillId="7" borderId="0" xfId="1" applyNumberFormat="1" applyFont="1" applyFill="1"/>
    <xf numFmtId="0" fontId="130" fillId="7" borderId="0" xfId="0" applyFont="1" applyFill="1" applyAlignment="1">
      <alignment horizontal="center"/>
    </xf>
    <xf numFmtId="3" fontId="130" fillId="7" borderId="0" xfId="0" applyNumberFormat="1" applyFont="1" applyFill="1"/>
    <xf numFmtId="191" fontId="132" fillId="7" borderId="0" xfId="1" applyNumberFormat="1" applyFont="1" applyFill="1" applyAlignment="1"/>
    <xf numFmtId="191" fontId="125" fillId="7" borderId="0" xfId="0" applyNumberFormat="1" applyFont="1" applyFill="1"/>
    <xf numFmtId="0" fontId="125" fillId="7" borderId="0" xfId="0" applyFont="1" applyFill="1" applyAlignment="1">
      <alignment horizontal="left"/>
    </xf>
    <xf numFmtId="0" fontId="125" fillId="7" borderId="0" xfId="0" applyFont="1" applyFill="1" applyAlignment="1">
      <alignment horizontal="right"/>
    </xf>
    <xf numFmtId="189" fontId="125" fillId="7" borderId="0" xfId="1" applyNumberFormat="1" applyFont="1" applyFill="1"/>
    <xf numFmtId="191" fontId="5" fillId="0" borderId="0" xfId="0" applyNumberFormat="1" applyFont="1"/>
    <xf numFmtId="205" fontId="125" fillId="0" borderId="0" xfId="0" applyNumberFormat="1" applyFont="1"/>
    <xf numFmtId="1" fontId="125" fillId="0" borderId="0" xfId="0" applyNumberFormat="1" applyFont="1"/>
    <xf numFmtId="43" fontId="99" fillId="7" borderId="0" xfId="0" applyNumberFormat="1" applyFont="1" applyFill="1" applyAlignment="1">
      <alignment horizontal="center"/>
    </xf>
    <xf numFmtId="189" fontId="24" fillId="0" borderId="0" xfId="0" applyNumberFormat="1" applyFont="1" applyAlignment="1">
      <alignment horizontal="center"/>
    </xf>
    <xf numFmtId="191" fontId="3" fillId="0" borderId="0" xfId="1" applyNumberFormat="1" applyFont="1"/>
    <xf numFmtId="0" fontId="1" fillId="0" borderId="1" xfId="0" applyFont="1" applyBorder="1" applyAlignment="1">
      <alignment horizontal="center" vertical="center" wrapText="1"/>
    </xf>
    <xf numFmtId="3" fontId="35" fillId="0" borderId="1" xfId="0" applyNumberFormat="1" applyFont="1" applyBorder="1" applyAlignment="1">
      <alignment horizontal="right" vertical="center"/>
    </xf>
    <xf numFmtId="4" fontId="4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65" fillId="7" borderId="1" xfId="255" applyFont="1" applyFill="1" applyBorder="1" applyAlignment="1">
      <alignment horizontal="center" vertical="center"/>
    </xf>
    <xf numFmtId="0" fontId="65" fillId="7" borderId="1" xfId="0" applyFont="1" applyFill="1" applyBorder="1" applyAlignment="1">
      <alignment horizontal="center" vertical="center"/>
    </xf>
    <xf numFmtId="202" fontId="65" fillId="7" borderId="1" xfId="255" applyNumberFormat="1" applyFont="1" applyFill="1" applyBorder="1" applyAlignment="1">
      <alignment horizontal="center" vertical="center"/>
    </xf>
    <xf numFmtId="0" fontId="13" fillId="7" borderId="1" xfId="274" applyFont="1" applyFill="1" applyBorder="1" applyAlignment="1">
      <alignment horizontal="center" vertical="center"/>
    </xf>
    <xf numFmtId="203" fontId="13" fillId="7" borderId="1" xfId="8" applyNumberFormat="1" applyFont="1" applyFill="1" applyBorder="1" applyAlignment="1">
      <alignment horizontal="center" vertical="center"/>
    </xf>
    <xf numFmtId="0" fontId="13" fillId="7" borderId="1" xfId="255" applyFont="1" applyFill="1" applyBorder="1" applyAlignment="1">
      <alignment horizontal="center" vertical="center"/>
    </xf>
    <xf numFmtId="1" fontId="13" fillId="7" borderId="1" xfId="255" applyNumberFormat="1" applyFont="1" applyFill="1" applyBorder="1" applyAlignment="1">
      <alignment horizontal="center" vertical="center"/>
    </xf>
    <xf numFmtId="202" fontId="13" fillId="7" borderId="1" xfId="255" applyNumberFormat="1" applyFont="1" applyFill="1" applyBorder="1" applyAlignment="1">
      <alignment horizontal="center" vertical="center"/>
    </xf>
    <xf numFmtId="0" fontId="13" fillId="7" borderId="1" xfId="255" applyFont="1" applyFill="1" applyBorder="1" applyAlignment="1">
      <alignment horizontal="center"/>
    </xf>
    <xf numFmtId="0" fontId="97" fillId="7" borderId="1" xfId="255" applyFont="1" applyFill="1" applyBorder="1" applyAlignment="1">
      <alignment horizontal="center"/>
    </xf>
    <xf numFmtId="9" fontId="124" fillId="0" borderId="1" xfId="0" applyNumberFormat="1" applyFont="1" applyBorder="1" applyAlignment="1">
      <alignment horizontal="center" vertical="center" wrapText="1"/>
    </xf>
    <xf numFmtId="192" fontId="129" fillId="0" borderId="0" xfId="1" applyNumberFormat="1" applyFont="1" applyFill="1" applyBorder="1" applyAlignment="1">
      <alignment horizontal="center" vertical="center"/>
    </xf>
    <xf numFmtId="191" fontId="22" fillId="0" borderId="1" xfId="1" applyNumberFormat="1" applyFont="1" applyBorder="1" applyAlignment="1">
      <alignment horizontal="center"/>
    </xf>
    <xf numFmtId="191" fontId="20" fillId="0" borderId="1" xfId="1" applyNumberFormat="1" applyFont="1" applyFill="1" applyBorder="1" applyAlignment="1">
      <alignment horizontal="right"/>
    </xf>
    <xf numFmtId="191" fontId="20" fillId="0" borderId="1" xfId="1" applyNumberFormat="1" applyFont="1" applyBorder="1" applyAlignment="1">
      <alignment horizontal="center"/>
    </xf>
    <xf numFmtId="191" fontId="20" fillId="0" borderId="1" xfId="1" applyNumberFormat="1" applyFont="1" applyBorder="1" applyAlignment="1">
      <alignment horizontal="right"/>
    </xf>
    <xf numFmtId="43" fontId="22" fillId="0" borderId="0" xfId="0" applyNumberFormat="1" applyFont="1"/>
    <xf numFmtId="43" fontId="20" fillId="0" borderId="0" xfId="0" applyNumberFormat="1" applyFont="1"/>
    <xf numFmtId="43" fontId="22" fillId="0" borderId="0" xfId="1" applyFont="1" applyFill="1" applyAlignment="1">
      <alignment horizontal="center"/>
    </xf>
    <xf numFmtId="43" fontId="22" fillId="0" borderId="0" xfId="0" applyNumberFormat="1" applyFont="1" applyAlignment="1">
      <alignment horizontal="center"/>
    </xf>
    <xf numFmtId="43" fontId="20" fillId="0" borderId="1" xfId="0" applyNumberFormat="1" applyFont="1" applyBorder="1" applyAlignment="1">
      <alignment horizontal="center" vertical="center" wrapText="1"/>
    </xf>
    <xf numFmtId="43" fontId="102" fillId="0" borderId="0" xfId="255" applyNumberFormat="1" applyFont="1"/>
    <xf numFmtId="43" fontId="22" fillId="0" borderId="0" xfId="1" applyFont="1"/>
    <xf numFmtId="43" fontId="22" fillId="0" borderId="0" xfId="1" applyFont="1" applyAlignment="1">
      <alignment horizontal="center"/>
    </xf>
    <xf numFmtId="43" fontId="23" fillId="0" borderId="0" xfId="1" applyFont="1" applyAlignment="1">
      <alignment horizontal="center" vertical="center"/>
    </xf>
    <xf numFmtId="43" fontId="20" fillId="0" borderId="1" xfId="1" applyFont="1" applyBorder="1" applyAlignment="1">
      <alignment horizontal="center" vertical="center" wrapText="1"/>
    </xf>
    <xf numFmtId="43" fontId="20" fillId="0" borderId="1" xfId="1" applyFont="1" applyFill="1" applyBorder="1" applyAlignment="1">
      <alignment horizontal="right"/>
    </xf>
    <xf numFmtId="43" fontId="22" fillId="0" borderId="1" xfId="1" applyFont="1" applyBorder="1" applyAlignment="1">
      <alignment horizontal="right"/>
    </xf>
    <xf numFmtId="43" fontId="20" fillId="0" borderId="1" xfId="1" applyFont="1" applyBorder="1" applyAlignment="1">
      <alignment horizontal="right"/>
    </xf>
    <xf numFmtId="43" fontId="102" fillId="0" borderId="0" xfId="1" applyFont="1"/>
    <xf numFmtId="43" fontId="103" fillId="0" borderId="0" xfId="1" applyFont="1"/>
    <xf numFmtId="191" fontId="100" fillId="7" borderId="0" xfId="0" applyNumberFormat="1" applyFont="1" applyFill="1"/>
    <xf numFmtId="43" fontId="65" fillId="0" borderId="0" xfId="1" applyFont="1" applyFill="1" applyBorder="1" applyAlignment="1">
      <alignment horizontal="center"/>
    </xf>
    <xf numFmtId="0" fontId="65" fillId="0" borderId="0" xfId="0" applyFont="1" applyAlignment="1">
      <alignment horizontal="center"/>
    </xf>
    <xf numFmtId="0" fontId="7" fillId="0" borderId="0" xfId="0" applyFont="1"/>
    <xf numFmtId="43" fontId="93" fillId="0" borderId="0" xfId="1" applyFont="1" applyFill="1" applyBorder="1" applyAlignment="1">
      <alignment horizontal="center"/>
    </xf>
    <xf numFmtId="218" fontId="4" fillId="0" borderId="0" xfId="1" applyNumberFormat="1" applyFont="1" applyFill="1" applyBorder="1"/>
    <xf numFmtId="43" fontId="4" fillId="0" borderId="0" xfId="1" applyFont="1" applyFill="1" applyBorder="1"/>
    <xf numFmtId="0" fontId="51" fillId="0" borderId="0" xfId="0" applyFont="1" applyAlignment="1">
      <alignment horizontal="center" vertical="center"/>
    </xf>
    <xf numFmtId="0" fontId="51" fillId="0" borderId="0" xfId="0" applyFont="1" applyAlignment="1">
      <alignment horizontal="left" vertical="center"/>
    </xf>
    <xf numFmtId="198" fontId="51" fillId="0" borderId="0" xfId="0" applyNumberFormat="1" applyFont="1" applyAlignment="1">
      <alignment horizontal="left" vertical="center"/>
    </xf>
    <xf numFmtId="218" fontId="51" fillId="0" borderId="0" xfId="1" applyNumberFormat="1" applyFont="1" applyFill="1" applyBorder="1" applyAlignment="1">
      <alignment horizontal="center" vertical="center"/>
    </xf>
    <xf numFmtId="43" fontId="51" fillId="0" borderId="0" xfId="1" applyFont="1" applyFill="1" applyBorder="1" applyAlignment="1">
      <alignment horizontal="center" vertical="center"/>
    </xf>
    <xf numFmtId="0" fontId="140" fillId="0" borderId="0" xfId="0" applyFont="1" applyAlignment="1">
      <alignment horizontal="center" vertical="center"/>
    </xf>
    <xf numFmtId="0" fontId="141" fillId="0" borderId="0" xfId="0" applyFont="1"/>
    <xf numFmtId="218" fontId="141" fillId="0" borderId="0" xfId="1" applyNumberFormat="1" applyFont="1" applyFill="1" applyBorder="1"/>
    <xf numFmtId="43" fontId="141" fillId="0" borderId="0" xfId="1" applyFont="1" applyFill="1" applyBorder="1"/>
    <xf numFmtId="0" fontId="142" fillId="0" borderId="0" xfId="0" applyFont="1"/>
    <xf numFmtId="0" fontId="65" fillId="0" borderId="0" xfId="0" applyFont="1"/>
    <xf numFmtId="0" fontId="51" fillId="0" borderId="0" xfId="0" applyFont="1" applyAlignment="1">
      <alignment horizontal="center" vertical="center" wrapText="1"/>
    </xf>
    <xf numFmtId="9" fontId="65" fillId="0" borderId="0" xfId="287" applyFont="1" applyFill="1" applyAlignment="1">
      <alignment horizontal="center"/>
    </xf>
    <xf numFmtId="0" fontId="141" fillId="0" borderId="1" xfId="0" applyFont="1" applyBorder="1" applyAlignment="1">
      <alignment horizontal="center" vertical="center"/>
    </xf>
    <xf numFmtId="0" fontId="141" fillId="0" borderId="1" xfId="0" applyFont="1" applyBorder="1" applyAlignment="1">
      <alignment horizontal="center" vertical="center" wrapText="1"/>
    </xf>
    <xf numFmtId="0" fontId="141" fillId="0" borderId="1" xfId="0" quotePrefix="1" applyFont="1" applyBorder="1" applyAlignment="1">
      <alignment horizontal="center" vertical="center" wrapText="1"/>
    </xf>
    <xf numFmtId="219" fontId="141" fillId="0" borderId="1" xfId="1" applyNumberFormat="1" applyFont="1" applyFill="1" applyBorder="1" applyAlignment="1">
      <alignment horizontal="center" vertical="center" wrapText="1"/>
    </xf>
    <xf numFmtId="219" fontId="141" fillId="0" borderId="1" xfId="1" quotePrefix="1" applyNumberFormat="1" applyFont="1" applyFill="1" applyBorder="1" applyAlignment="1">
      <alignment horizontal="center" vertical="center" wrapText="1"/>
    </xf>
    <xf numFmtId="219" fontId="141" fillId="0" borderId="1" xfId="0" applyNumberFormat="1" applyFont="1" applyBorder="1" applyAlignment="1">
      <alignment horizontal="center" vertical="center" wrapText="1"/>
    </xf>
    <xf numFmtId="219" fontId="141" fillId="0" borderId="1" xfId="3" applyNumberFormat="1" applyFont="1" applyFill="1" applyBorder="1" applyAlignment="1">
      <alignment horizontal="center" vertical="center"/>
    </xf>
    <xf numFmtId="3" fontId="27" fillId="0" borderId="1" xfId="0" applyNumberFormat="1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/>
    </xf>
    <xf numFmtId="0" fontId="51" fillId="0" borderId="1" xfId="0" applyFont="1" applyBorder="1" applyAlignment="1">
      <alignment horizontal="left" vertical="center"/>
    </xf>
    <xf numFmtId="0" fontId="51" fillId="0" borderId="1" xfId="0" applyFont="1" applyBorder="1" applyAlignment="1">
      <alignment horizontal="center" vertical="center" wrapText="1"/>
    </xf>
    <xf numFmtId="1" fontId="141" fillId="0" borderId="1" xfId="0" applyNumberFormat="1" applyFont="1" applyBorder="1" applyAlignment="1">
      <alignment horizontal="center" vertical="center"/>
    </xf>
    <xf numFmtId="1" fontId="27" fillId="0" borderId="1" xfId="0" applyNumberFormat="1" applyFont="1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1" fontId="27" fillId="0" borderId="1" xfId="0" applyNumberFormat="1" applyFont="1" applyBorder="1" applyAlignment="1">
      <alignment horizontal="center" vertical="center" wrapText="1"/>
    </xf>
    <xf numFmtId="9" fontId="119" fillId="0" borderId="1" xfId="287" applyFont="1" applyFill="1" applyBorder="1" applyAlignment="1">
      <alignment vertical="center" wrapText="1"/>
    </xf>
    <xf numFmtId="1" fontId="141" fillId="0" borderId="1" xfId="0" applyNumberFormat="1" applyFont="1" applyBorder="1" applyAlignment="1">
      <alignment horizontal="center"/>
    </xf>
    <xf numFmtId="0" fontId="141" fillId="0" borderId="0" xfId="0" applyFont="1" applyAlignment="1">
      <alignment vertical="center"/>
    </xf>
    <xf numFmtId="218" fontId="65" fillId="0" borderId="0" xfId="1" applyNumberFormat="1" applyFont="1" applyFill="1" applyAlignment="1">
      <alignment vertical="center"/>
    </xf>
    <xf numFmtId="218" fontId="65" fillId="0" borderId="0" xfId="0" applyNumberFormat="1" applyFont="1" applyAlignment="1">
      <alignment vertical="center"/>
    </xf>
    <xf numFmtId="0" fontId="65" fillId="0" borderId="0" xfId="0" applyFont="1" applyAlignment="1">
      <alignment vertical="center"/>
    </xf>
    <xf numFmtId="3" fontId="141" fillId="0" borderId="0" xfId="0" applyNumberFormat="1" applyFont="1"/>
    <xf numFmtId="218" fontId="51" fillId="0" borderId="0" xfId="1" applyNumberFormat="1" applyFont="1" applyFill="1" applyAlignment="1"/>
    <xf numFmtId="0" fontId="51" fillId="0" borderId="0" xfId="0" applyFont="1"/>
    <xf numFmtId="218" fontId="141" fillId="0" borderId="0" xfId="1" applyNumberFormat="1" applyFont="1" applyFill="1"/>
    <xf numFmtId="43" fontId="141" fillId="0" borderId="0" xfId="1" applyFont="1" applyFill="1"/>
    <xf numFmtId="218" fontId="92" fillId="0" borderId="0" xfId="1" applyNumberFormat="1" applyFont="1" applyFill="1"/>
    <xf numFmtId="43" fontId="92" fillId="0" borderId="0" xfId="1" applyFont="1" applyFill="1"/>
    <xf numFmtId="3" fontId="92" fillId="0" borderId="0" xfId="0" applyNumberFormat="1" applyFont="1"/>
    <xf numFmtId="9" fontId="100" fillId="0" borderId="0" xfId="0" applyNumberFormat="1" applyFont="1"/>
    <xf numFmtId="218" fontId="100" fillId="0" borderId="0" xfId="1" applyNumberFormat="1" applyFont="1" applyFill="1"/>
    <xf numFmtId="9" fontId="65" fillId="0" borderId="0" xfId="287" applyFont="1" applyFill="1" applyBorder="1" applyAlignment="1">
      <alignment horizontal="center"/>
    </xf>
    <xf numFmtId="218" fontId="66" fillId="0" borderId="0" xfId="0" applyNumberFormat="1" applyFont="1" applyAlignment="1">
      <alignment horizontal="center" vertical="center"/>
    </xf>
    <xf numFmtId="0" fontId="66" fillId="0" borderId="0" xfId="0" applyFont="1" applyAlignment="1">
      <alignment vertical="center"/>
    </xf>
    <xf numFmtId="0" fontId="66" fillId="0" borderId="0" xfId="0" applyFont="1" applyAlignment="1">
      <alignment horizontal="center" vertical="center" wrapText="1"/>
    </xf>
    <xf numFmtId="9" fontId="92" fillId="0" borderId="0" xfId="287" applyFont="1" applyFill="1" applyBorder="1"/>
    <xf numFmtId="218" fontId="4" fillId="0" borderId="0" xfId="1" applyNumberFormat="1" applyFont="1" applyFill="1"/>
    <xf numFmtId="43" fontId="4" fillId="0" borderId="0" xfId="1" applyFont="1" applyFill="1"/>
    <xf numFmtId="0" fontId="66" fillId="0" borderId="0" xfId="0" applyFont="1"/>
    <xf numFmtId="0" fontId="139" fillId="0" borderId="0" xfId="0" applyFont="1" applyAlignment="1">
      <alignment vertical="center"/>
    </xf>
    <xf numFmtId="0" fontId="93" fillId="0" borderId="0" xfId="0" applyFont="1" applyAlignment="1">
      <alignment horizontal="center" vertical="center"/>
    </xf>
    <xf numFmtId="0" fontId="93" fillId="0" borderId="0" xfId="0" applyFont="1" applyAlignment="1">
      <alignment horizontal="left" vertical="center"/>
    </xf>
    <xf numFmtId="198" fontId="93" fillId="0" borderId="0" xfId="0" applyNumberFormat="1" applyFont="1" applyAlignment="1">
      <alignment horizontal="left" vertical="center"/>
    </xf>
    <xf numFmtId="218" fontId="93" fillId="0" borderId="0" xfId="1" applyNumberFormat="1" applyFont="1" applyFill="1" applyBorder="1" applyAlignment="1">
      <alignment horizontal="center" vertical="center"/>
    </xf>
    <xf numFmtId="218" fontId="92" fillId="0" borderId="0" xfId="1" applyNumberFormat="1" applyFont="1" applyFill="1" applyBorder="1"/>
    <xf numFmtId="37" fontId="93" fillId="0" borderId="1" xfId="1" applyNumberFormat="1" applyFont="1" applyFill="1" applyBorder="1" applyAlignment="1">
      <alignment horizontal="center" vertical="center" wrapText="1"/>
    </xf>
    <xf numFmtId="218" fontId="93" fillId="0" borderId="1" xfId="1" applyNumberFormat="1" applyFont="1" applyFill="1" applyBorder="1" applyAlignment="1">
      <alignment horizontal="center" vertical="center" wrapText="1"/>
    </xf>
    <xf numFmtId="218" fontId="93" fillId="0" borderId="1" xfId="1" applyNumberFormat="1" applyFont="1" applyFill="1" applyBorder="1" applyAlignment="1">
      <alignment horizontal="center" vertical="center"/>
    </xf>
    <xf numFmtId="0" fontId="141" fillId="0" borderId="0" xfId="0" applyFont="1" applyAlignment="1">
      <alignment horizontal="center"/>
    </xf>
    <xf numFmtId="218" fontId="27" fillId="0" borderId="0" xfId="1" applyNumberFormat="1" applyFont="1" applyFill="1" applyBorder="1" applyAlignment="1">
      <alignment vertical="center"/>
    </xf>
    <xf numFmtId="3" fontId="27" fillId="0" borderId="0" xfId="3" applyNumberFormat="1" applyFont="1" applyFill="1" applyBorder="1" applyAlignment="1">
      <alignment vertical="center"/>
    </xf>
    <xf numFmtId="220" fontId="137" fillId="0" borderId="0" xfId="3" applyNumberFormat="1" applyFont="1" applyFill="1" applyBorder="1" applyAlignment="1">
      <alignment vertical="center"/>
    </xf>
    <xf numFmtId="188" fontId="137" fillId="0" borderId="0" xfId="3" applyNumberFormat="1" applyFont="1" applyFill="1" applyBorder="1" applyAlignment="1">
      <alignment vertical="center"/>
    </xf>
    <xf numFmtId="189" fontId="142" fillId="0" borderId="0" xfId="3" applyNumberFormat="1" applyFont="1" applyFill="1" applyBorder="1" applyAlignment="1">
      <alignment horizontal="right" vertical="center"/>
    </xf>
    <xf numFmtId="218" fontId="141" fillId="0" borderId="0" xfId="1" applyNumberFormat="1" applyFont="1" applyFill="1" applyBorder="1" applyAlignment="1">
      <alignment vertical="center"/>
    </xf>
    <xf numFmtId="218" fontId="141" fillId="0" borderId="0" xfId="0" applyNumberFormat="1" applyFont="1" applyAlignment="1">
      <alignment vertical="center"/>
    </xf>
    <xf numFmtId="218" fontId="66" fillId="0" borderId="0" xfId="1" applyNumberFormat="1" applyFont="1" applyFill="1" applyBorder="1" applyAlignment="1">
      <alignment vertical="center"/>
    </xf>
    <xf numFmtId="4" fontId="65" fillId="0" borderId="0" xfId="0" applyNumberFormat="1" applyFont="1" applyAlignment="1">
      <alignment vertical="center"/>
    </xf>
    <xf numFmtId="0" fontId="93" fillId="0" borderId="1" xfId="0" applyFont="1" applyBorder="1"/>
    <xf numFmtId="218" fontId="93" fillId="0" borderId="1" xfId="1" applyNumberFormat="1" applyFont="1" applyFill="1" applyBorder="1"/>
    <xf numFmtId="43" fontId="93" fillId="0" borderId="0" xfId="1" applyFont="1" applyFill="1" applyBorder="1"/>
    <xf numFmtId="9" fontId="93" fillId="0" borderId="0" xfId="0" applyNumberFormat="1" applyFont="1"/>
    <xf numFmtId="43" fontId="92" fillId="0" borderId="0" xfId="1" applyFont="1" applyFill="1" applyBorder="1"/>
    <xf numFmtId="205" fontId="92" fillId="0" borderId="0" xfId="0" applyNumberFormat="1" applyFont="1"/>
    <xf numFmtId="0" fontId="13" fillId="7" borderId="26" xfId="28" applyFont="1" applyFill="1" applyBorder="1" applyAlignment="1">
      <alignment horizontal="left"/>
    </xf>
    <xf numFmtId="1" fontId="51" fillId="0" borderId="1" xfId="1" applyNumberFormat="1" applyFont="1" applyFill="1" applyBorder="1" applyAlignment="1">
      <alignment horizontal="right" vertical="center" wrapText="1"/>
    </xf>
    <xf numFmtId="1" fontId="141" fillId="0" borderId="1" xfId="1" applyNumberFormat="1" applyFont="1" applyFill="1" applyBorder="1" applyAlignment="1">
      <alignment horizontal="right" vertical="center"/>
    </xf>
    <xf numFmtId="1" fontId="27" fillId="0" borderId="1" xfId="1" applyNumberFormat="1" applyFont="1" applyFill="1" applyBorder="1" applyAlignment="1">
      <alignment horizontal="right" vertical="center"/>
    </xf>
    <xf numFmtId="43" fontId="51" fillId="0" borderId="1" xfId="1" applyFont="1" applyFill="1" applyBorder="1" applyAlignment="1">
      <alignment horizontal="right" vertical="center" wrapText="1"/>
    </xf>
    <xf numFmtId="43" fontId="27" fillId="0" borderId="1" xfId="1" applyFont="1" applyFill="1" applyBorder="1" applyAlignment="1"/>
    <xf numFmtId="43" fontId="124" fillId="0" borderId="1" xfId="1" applyFont="1" applyFill="1" applyBorder="1" applyAlignment="1">
      <alignment vertical="center"/>
    </xf>
    <xf numFmtId="3" fontId="125" fillId="0" borderId="26" xfId="0" applyNumberFormat="1" applyFont="1" applyBorder="1" applyAlignment="1">
      <alignment vertical="center"/>
    </xf>
    <xf numFmtId="189" fontId="92" fillId="0" borderId="26" xfId="3" applyNumberFormat="1" applyFont="1" applyFill="1" applyBorder="1" applyAlignment="1">
      <alignment horizontal="right" vertical="center"/>
    </xf>
    <xf numFmtId="3" fontId="125" fillId="0" borderId="30" xfId="0" applyNumberFormat="1" applyFont="1" applyBorder="1" applyAlignment="1">
      <alignment vertical="center"/>
    </xf>
    <xf numFmtId="189" fontId="92" fillId="0" borderId="30" xfId="3" applyNumberFormat="1" applyFont="1" applyFill="1" applyBorder="1" applyAlignment="1">
      <alignment horizontal="right" vertical="center"/>
    </xf>
    <xf numFmtId="2" fontId="124" fillId="0" borderId="1" xfId="1" applyNumberFormat="1" applyFont="1" applyFill="1" applyBorder="1" applyAlignment="1">
      <alignment horizontal="right" vertical="center" indent="1"/>
    </xf>
    <xf numFmtId="191" fontId="22" fillId="0" borderId="0" xfId="1" applyNumberFormat="1" applyFont="1" applyFill="1" applyAlignment="1">
      <alignment horizontal="center"/>
    </xf>
    <xf numFmtId="191" fontId="22" fillId="0" borderId="1" xfId="1" applyNumberFormat="1" applyFont="1" applyBorder="1" applyAlignment="1">
      <alignment horizontal="center" vertical="center"/>
    </xf>
    <xf numFmtId="192" fontId="124" fillId="0" borderId="1" xfId="0" applyNumberFormat="1" applyFont="1" applyBorder="1" applyAlignment="1">
      <alignment vertical="center" shrinkToFit="1"/>
    </xf>
    <xf numFmtId="192" fontId="129" fillId="0" borderId="1" xfId="1" applyNumberFormat="1" applyFont="1" applyFill="1" applyBorder="1" applyAlignment="1">
      <alignment horizontal="center" vertical="center" shrinkToFit="1"/>
    </xf>
    <xf numFmtId="189" fontId="124" fillId="0" borderId="1" xfId="0" applyNumberFormat="1" applyFont="1" applyBorder="1" applyAlignment="1">
      <alignment vertical="center" shrinkToFit="1"/>
    </xf>
    <xf numFmtId="189" fontId="129" fillId="0" borderId="1" xfId="0" applyNumberFormat="1" applyFont="1" applyBorder="1" applyAlignment="1">
      <alignment vertical="center" shrinkToFit="1"/>
    </xf>
    <xf numFmtId="192" fontId="124" fillId="0" borderId="1" xfId="1" applyNumberFormat="1" applyFont="1" applyFill="1" applyBorder="1" applyAlignment="1">
      <alignment horizontal="right" vertical="center" shrinkToFit="1"/>
    </xf>
    <xf numFmtId="192" fontId="124" fillId="0" borderId="1" xfId="1" applyNumberFormat="1" applyFont="1" applyFill="1" applyBorder="1" applyAlignment="1">
      <alignment vertical="center" shrinkToFit="1"/>
    </xf>
    <xf numFmtId="1" fontId="124" fillId="0" borderId="1" xfId="1" applyNumberFormat="1" applyFont="1" applyFill="1" applyBorder="1" applyAlignment="1">
      <alignment horizontal="right" vertical="center" shrinkToFit="1"/>
    </xf>
    <xf numFmtId="221" fontId="51" fillId="0" borderId="1" xfId="1" applyNumberFormat="1" applyFont="1" applyFill="1" applyBorder="1" applyAlignment="1">
      <alignment horizontal="right" vertical="center" wrapText="1"/>
    </xf>
    <xf numFmtId="192" fontId="27" fillId="0" borderId="1" xfId="11" applyNumberFormat="1" applyFont="1" applyFill="1" applyBorder="1" applyAlignment="1">
      <alignment vertical="center"/>
    </xf>
    <xf numFmtId="43" fontId="13" fillId="0" borderId="25" xfId="1" applyFont="1" applyFill="1" applyBorder="1" applyAlignment="1">
      <alignment horizontal="center" vertical="center" wrapText="1"/>
    </xf>
    <xf numFmtId="43" fontId="13" fillId="0" borderId="26" xfId="1" applyFont="1" applyFill="1" applyBorder="1" applyAlignment="1">
      <alignment horizontal="center" vertical="center" wrapText="1"/>
    </xf>
    <xf numFmtId="0" fontId="125" fillId="0" borderId="26" xfId="0" applyFont="1" applyBorder="1" applyAlignment="1">
      <alignment horizontal="center" vertical="center" shrinkToFit="1"/>
    </xf>
    <xf numFmtId="0" fontId="22" fillId="0" borderId="26" xfId="255" applyFont="1" applyBorder="1" applyAlignment="1">
      <alignment horizontal="left" vertical="center" shrinkToFit="1"/>
    </xf>
    <xf numFmtId="3" fontId="22" fillId="0" borderId="26" xfId="1" applyNumberFormat="1" applyFont="1" applyFill="1" applyBorder="1" applyAlignment="1">
      <alignment vertical="center" shrinkToFit="1"/>
    </xf>
    <xf numFmtId="3" fontId="22" fillId="0" borderId="26" xfId="0" applyNumberFormat="1" applyFont="1" applyBorder="1" applyAlignment="1">
      <alignment vertical="center" shrinkToFit="1"/>
    </xf>
    <xf numFmtId="3" fontId="92" fillId="0" borderId="26" xfId="1" applyNumberFormat="1" applyFont="1" applyFill="1" applyBorder="1" applyAlignment="1">
      <alignment vertical="center" shrinkToFit="1"/>
    </xf>
    <xf numFmtId="3" fontId="125" fillId="0" borderId="26" xfId="0" applyNumberFormat="1" applyFont="1" applyBorder="1" applyAlignment="1">
      <alignment vertical="center" shrinkToFit="1"/>
    </xf>
    <xf numFmtId="189" fontId="92" fillId="0" borderId="26" xfId="3" applyNumberFormat="1" applyFont="1" applyFill="1" applyBorder="1" applyAlignment="1">
      <alignment vertical="center" shrinkToFit="1"/>
    </xf>
    <xf numFmtId="0" fontId="125" fillId="0" borderId="30" xfId="0" applyFont="1" applyBorder="1" applyAlignment="1">
      <alignment horizontal="center" vertical="center" shrinkToFit="1"/>
    </xf>
    <xf numFmtId="0" fontId="22" fillId="0" borderId="30" xfId="255" applyFont="1" applyBorder="1" applyAlignment="1">
      <alignment horizontal="left" vertical="center" shrinkToFit="1"/>
    </xf>
    <xf numFmtId="3" fontId="22" fillId="0" borderId="30" xfId="1" applyNumberFormat="1" applyFont="1" applyFill="1" applyBorder="1" applyAlignment="1">
      <alignment vertical="center" shrinkToFit="1"/>
    </xf>
    <xf numFmtId="3" fontId="22" fillId="0" borderId="30" xfId="0" applyNumberFormat="1" applyFont="1" applyBorder="1" applyAlignment="1">
      <alignment vertical="center" shrinkToFit="1"/>
    </xf>
    <xf numFmtId="3" fontId="92" fillId="0" borderId="30" xfId="1" applyNumberFormat="1" applyFont="1" applyFill="1" applyBorder="1" applyAlignment="1">
      <alignment vertical="center" shrinkToFit="1"/>
    </xf>
    <xf numFmtId="3" fontId="125" fillId="0" borderId="30" xfId="0" applyNumberFormat="1" applyFont="1" applyBorder="1" applyAlignment="1">
      <alignment vertical="center" shrinkToFit="1"/>
    </xf>
    <xf numFmtId="189" fontId="92" fillId="0" borderId="30" xfId="3" applyNumberFormat="1" applyFont="1" applyFill="1" applyBorder="1" applyAlignment="1">
      <alignment vertical="center" shrinkToFit="1"/>
    </xf>
    <xf numFmtId="0" fontId="124" fillId="0" borderId="1" xfId="0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left" vertical="center" shrinkToFit="1"/>
    </xf>
    <xf numFmtId="189" fontId="124" fillId="0" borderId="1" xfId="1" applyNumberFormat="1" applyFont="1" applyFill="1" applyBorder="1" applyAlignment="1">
      <alignment vertical="center" shrinkToFit="1"/>
    </xf>
    <xf numFmtId="0" fontId="125" fillId="0" borderId="1" xfId="0" applyFont="1" applyBorder="1" applyAlignment="1">
      <alignment horizontal="center" vertical="center" shrinkToFit="1"/>
    </xf>
    <xf numFmtId="0" fontId="22" fillId="0" borderId="1" xfId="255" applyFont="1" applyBorder="1" applyAlignment="1">
      <alignment horizontal="left" vertical="center" shrinkToFit="1"/>
    </xf>
    <xf numFmtId="3" fontId="22" fillId="0" borderId="1" xfId="1" applyNumberFormat="1" applyFont="1" applyFill="1" applyBorder="1" applyAlignment="1">
      <alignment vertical="center" shrinkToFit="1"/>
    </xf>
    <xf numFmtId="3" fontId="22" fillId="0" borderId="1" xfId="0" applyNumberFormat="1" applyFont="1" applyBorder="1" applyAlignment="1">
      <alignment vertical="center" shrinkToFit="1"/>
    </xf>
    <xf numFmtId="3" fontId="92" fillId="0" borderId="1" xfId="1" applyNumberFormat="1" applyFont="1" applyFill="1" applyBorder="1" applyAlignment="1">
      <alignment vertical="center" shrinkToFit="1"/>
    </xf>
    <xf numFmtId="3" fontId="125" fillId="0" borderId="1" xfId="0" applyNumberFormat="1" applyFont="1" applyBorder="1" applyAlignment="1">
      <alignment vertical="center" shrinkToFit="1"/>
    </xf>
    <xf numFmtId="189" fontId="92" fillId="0" borderId="1" xfId="3" applyNumberFormat="1" applyFont="1" applyFill="1" applyBorder="1" applyAlignment="1">
      <alignment vertical="center" shrinkToFit="1"/>
    </xf>
    <xf numFmtId="192" fontId="27" fillId="0" borderId="1" xfId="11" applyNumberFormat="1" applyFont="1" applyFill="1" applyBorder="1" applyAlignment="1">
      <alignment horizontal="right" vertical="center"/>
    </xf>
    <xf numFmtId="189" fontId="124" fillId="0" borderId="0" xfId="0" applyNumberFormat="1" applyFont="1" applyAlignment="1">
      <alignment vertical="center" shrinkToFit="1"/>
    </xf>
    <xf numFmtId="192" fontId="124" fillId="0" borderId="0" xfId="0" applyNumberFormat="1" applyFont="1" applyAlignment="1">
      <alignment vertical="center" shrinkToFit="1"/>
    </xf>
    <xf numFmtId="189" fontId="129" fillId="0" borderId="0" xfId="0" applyNumberFormat="1" applyFont="1" applyAlignment="1">
      <alignment vertical="center" shrinkToFit="1"/>
    </xf>
    <xf numFmtId="0" fontId="11" fillId="0" borderId="0" xfId="254" applyFont="1"/>
    <xf numFmtId="0" fontId="8" fillId="0" borderId="0" xfId="254" applyFont="1"/>
    <xf numFmtId="0" fontId="20" fillId="0" borderId="0" xfId="254" applyFont="1" applyAlignment="1">
      <alignment horizontal="center"/>
    </xf>
    <xf numFmtId="0" fontId="8" fillId="0" borderId="0" xfId="254" applyFont="1" applyAlignment="1">
      <alignment horizontal="center"/>
    </xf>
    <xf numFmtId="0" fontId="17" fillId="0" borderId="0" xfId="254" applyFont="1" applyAlignment="1">
      <alignment horizontal="center"/>
    </xf>
    <xf numFmtId="0" fontId="12" fillId="0" borderId="0" xfId="254" applyFont="1" applyAlignment="1">
      <alignment horizontal="center"/>
    </xf>
    <xf numFmtId="0" fontId="13" fillId="0" borderId="0" xfId="254" applyFont="1" applyAlignment="1">
      <alignment horizontal="center"/>
    </xf>
    <xf numFmtId="3" fontId="8" fillId="0" borderId="0" xfId="11" applyNumberFormat="1" applyFont="1" applyFill="1" applyAlignment="1">
      <alignment horizontal="right"/>
    </xf>
    <xf numFmtId="189" fontId="13" fillId="0" borderId="0" xfId="11" applyFont="1" applyFill="1"/>
    <xf numFmtId="0" fontId="13" fillId="0" borderId="0" xfId="254" applyFont="1"/>
    <xf numFmtId="0" fontId="8" fillId="0" borderId="1" xfId="254" applyFont="1" applyBorder="1" applyAlignment="1">
      <alignment vertical="center"/>
    </xf>
    <xf numFmtId="192" fontId="12" fillId="7" borderId="1" xfId="11" applyNumberFormat="1" applyFont="1" applyFill="1" applyBorder="1" applyAlignment="1">
      <alignment horizontal="right" vertical="center" shrinkToFit="1"/>
    </xf>
    <xf numFmtId="192" fontId="12" fillId="0" borderId="1" xfId="254" applyNumberFormat="1" applyFont="1" applyBorder="1" applyAlignment="1">
      <alignment horizontal="right" vertical="center" shrinkToFit="1"/>
    </xf>
    <xf numFmtId="0" fontId="2" fillId="0" borderId="24" xfId="254" applyFont="1" applyBorder="1" applyAlignment="1">
      <alignment vertical="center" shrinkToFit="1"/>
    </xf>
    <xf numFmtId="0" fontId="12" fillId="0" borderId="0" xfId="254" applyFont="1" applyAlignment="1">
      <alignment vertical="center" shrinkToFit="1"/>
    </xf>
    <xf numFmtId="192" fontId="2" fillId="0" borderId="24" xfId="11" applyNumberFormat="1" applyFont="1" applyFill="1" applyBorder="1" applyAlignment="1">
      <alignment vertical="center" shrinkToFit="1"/>
    </xf>
    <xf numFmtId="0" fontId="16" fillId="0" borderId="0" xfId="254" applyFont="1"/>
    <xf numFmtId="0" fontId="16" fillId="0" borderId="0" xfId="254" applyFont="1" applyAlignment="1">
      <alignment horizontal="center"/>
    </xf>
    <xf numFmtId="0" fontId="27" fillId="0" borderId="0" xfId="254" applyFont="1"/>
    <xf numFmtId="192" fontId="27" fillId="0" borderId="0" xfId="254" applyNumberFormat="1" applyFont="1"/>
    <xf numFmtId="0" fontId="27" fillId="0" borderId="0" xfId="254" applyFont="1" applyAlignment="1">
      <alignment horizontal="center"/>
    </xf>
    <xf numFmtId="3" fontId="27" fillId="0" borderId="0" xfId="254" applyNumberFormat="1" applyFont="1" applyAlignment="1">
      <alignment horizontal="right"/>
    </xf>
    <xf numFmtId="189" fontId="27" fillId="0" borderId="0" xfId="254" applyNumberFormat="1" applyFont="1" applyAlignment="1">
      <alignment horizontal="center"/>
    </xf>
    <xf numFmtId="0" fontId="10" fillId="0" borderId="0" xfId="254" applyFont="1" applyAlignment="1">
      <alignment horizontal="right"/>
    </xf>
    <xf numFmtId="189" fontId="10" fillId="0" borderId="0" xfId="11" applyFont="1" applyFill="1" applyAlignment="1">
      <alignment horizontal="right"/>
    </xf>
    <xf numFmtId="189" fontId="10" fillId="0" borderId="0" xfId="254" applyNumberFormat="1" applyFont="1" applyAlignment="1">
      <alignment horizontal="right"/>
    </xf>
    <xf numFmtId="193" fontId="10" fillId="0" borderId="0" xfId="11" applyNumberFormat="1" applyFont="1" applyFill="1" applyAlignment="1">
      <alignment horizontal="right"/>
    </xf>
    <xf numFmtId="3" fontId="27" fillId="0" borderId="0" xfId="254" applyNumberFormat="1" applyFont="1"/>
    <xf numFmtId="222" fontId="10" fillId="0" borderId="0" xfId="11" applyNumberFormat="1" applyFont="1" applyFill="1" applyAlignment="1">
      <alignment horizontal="right"/>
    </xf>
    <xf numFmtId="189" fontId="27" fillId="0" borderId="0" xfId="254" applyNumberFormat="1" applyFont="1"/>
    <xf numFmtId="192" fontId="11" fillId="0" borderId="0" xfId="254" applyNumberFormat="1" applyFont="1" applyAlignment="1">
      <alignment horizontal="center"/>
    </xf>
    <xf numFmtId="0" fontId="11" fillId="0" borderId="0" xfId="254" applyFont="1" applyAlignment="1">
      <alignment horizontal="center"/>
    </xf>
    <xf numFmtId="3" fontId="8" fillId="0" borderId="0" xfId="254" applyNumberFormat="1" applyFont="1" applyAlignment="1">
      <alignment horizontal="right"/>
    </xf>
    <xf numFmtId="192" fontId="13" fillId="0" borderId="0" xfId="254" applyNumberFormat="1" applyFont="1"/>
    <xf numFmtId="189" fontId="13" fillId="0" borderId="0" xfId="254" applyNumberFormat="1" applyFont="1" applyAlignment="1">
      <alignment horizontal="center"/>
    </xf>
    <xf numFmtId="192" fontId="13" fillId="0" borderId="0" xfId="11" applyNumberFormat="1" applyFont="1" applyFill="1" applyAlignment="1">
      <alignment horizontal="center"/>
    </xf>
    <xf numFmtId="43" fontId="13" fillId="0" borderId="0" xfId="254" applyNumberFormat="1" applyFont="1" applyAlignment="1">
      <alignment horizontal="center"/>
    </xf>
    <xf numFmtId="192" fontId="13" fillId="0" borderId="0" xfId="11" applyNumberFormat="1" applyFont="1" applyFill="1"/>
    <xf numFmtId="0" fontId="15" fillId="0" borderId="0" xfId="254" applyFont="1"/>
    <xf numFmtId="189" fontId="8" fillId="0" borderId="0" xfId="254" applyNumberFormat="1" applyFont="1"/>
    <xf numFmtId="189" fontId="8" fillId="0" borderId="0" xfId="11" applyFont="1" applyFill="1" applyAlignment="1">
      <alignment horizontal="center"/>
    </xf>
    <xf numFmtId="192" fontId="8" fillId="0" borderId="0" xfId="254" applyNumberFormat="1" applyFont="1"/>
    <xf numFmtId="202" fontId="22" fillId="0" borderId="26" xfId="0" applyNumberFormat="1" applyFont="1" applyBorder="1" applyAlignment="1">
      <alignment horizontal="right"/>
    </xf>
    <xf numFmtId="0" fontId="11" fillId="0" borderId="1" xfId="254" applyFont="1" applyBorder="1" applyAlignment="1">
      <alignment horizontal="center" vertical="center" shrinkToFit="1"/>
    </xf>
    <xf numFmtId="0" fontId="13" fillId="0" borderId="25" xfId="254" applyFont="1" applyBorder="1" applyAlignment="1">
      <alignment horizontal="center" vertical="center" wrapText="1"/>
    </xf>
    <xf numFmtId="0" fontId="13" fillId="0" borderId="25" xfId="255" applyFont="1" applyBorder="1" applyAlignment="1">
      <alignment vertical="center" wrapText="1"/>
    </xf>
    <xf numFmtId="0" fontId="13" fillId="0" borderId="25" xfId="0" quotePrefix="1" applyFont="1" applyBorder="1" applyAlignment="1">
      <alignment vertical="center"/>
    </xf>
    <xf numFmtId="0" fontId="13" fillId="0" borderId="25" xfId="254" applyFont="1" applyBorder="1" applyAlignment="1">
      <alignment horizontal="left" vertical="center" shrinkToFit="1"/>
    </xf>
    <xf numFmtId="0" fontId="13" fillId="0" borderId="25" xfId="254" applyFont="1" applyBorder="1" applyAlignment="1">
      <alignment horizontal="center" vertical="center" shrinkToFit="1"/>
    </xf>
    <xf numFmtId="0" fontId="13" fillId="0" borderId="26" xfId="254" applyFont="1" applyBorder="1" applyAlignment="1">
      <alignment horizontal="center" vertical="center" wrapText="1"/>
    </xf>
    <xf numFmtId="0" fontId="13" fillId="0" borderId="26" xfId="255" applyFont="1" applyBorder="1" applyAlignment="1">
      <alignment vertical="center" wrapText="1"/>
    </xf>
    <xf numFmtId="212" fontId="13" fillId="0" borderId="26" xfId="11" applyNumberFormat="1" applyFont="1" applyFill="1" applyBorder="1" applyAlignment="1">
      <alignment horizontal="left" vertical="center"/>
    </xf>
    <xf numFmtId="0" fontId="13" fillId="0" borderId="26" xfId="0" quotePrefix="1" applyFont="1" applyBorder="1" applyAlignment="1">
      <alignment vertical="center"/>
    </xf>
    <xf numFmtId="0" fontId="13" fillId="0" borderId="26" xfId="254" applyFont="1" applyBorder="1" applyAlignment="1">
      <alignment horizontal="left" vertical="center" shrinkToFit="1"/>
    </xf>
    <xf numFmtId="0" fontId="13" fillId="0" borderId="26" xfId="254" applyFont="1" applyBorder="1" applyAlignment="1">
      <alignment horizontal="center" vertical="center" shrinkToFit="1"/>
    </xf>
    <xf numFmtId="0" fontId="13" fillId="0" borderId="30" xfId="254" applyFont="1" applyBorder="1" applyAlignment="1">
      <alignment horizontal="center" vertical="center" wrapText="1"/>
    </xf>
    <xf numFmtId="0" fontId="13" fillId="0" borderId="30" xfId="255" applyFont="1" applyBorder="1" applyAlignment="1">
      <alignment vertical="center" wrapText="1"/>
    </xf>
    <xf numFmtId="212" fontId="13" fillId="0" borderId="30" xfId="11" applyNumberFormat="1" applyFont="1" applyFill="1" applyBorder="1" applyAlignment="1">
      <alignment horizontal="left" vertical="center"/>
    </xf>
    <xf numFmtId="0" fontId="13" fillId="0" borderId="30" xfId="0" quotePrefix="1" applyFont="1" applyBorder="1" applyAlignment="1">
      <alignment vertical="center"/>
    </xf>
    <xf numFmtId="0" fontId="13" fillId="0" borderId="30" xfId="254" applyFont="1" applyBorder="1" applyAlignment="1">
      <alignment horizontal="left" vertical="center" shrinkToFit="1"/>
    </xf>
    <xf numFmtId="0" fontId="13" fillId="0" borderId="30" xfId="254" applyFont="1" applyBorder="1" applyAlignment="1">
      <alignment horizontal="center" vertical="center" shrinkToFit="1"/>
    </xf>
    <xf numFmtId="43" fontId="13" fillId="0" borderId="30" xfId="1" applyFont="1" applyFill="1" applyBorder="1" applyAlignment="1">
      <alignment horizontal="center" vertical="center" wrapText="1"/>
    </xf>
    <xf numFmtId="3" fontId="39" fillId="0" borderId="0" xfId="254" applyNumberFormat="1" applyFont="1"/>
    <xf numFmtId="3" fontId="13" fillId="7" borderId="25" xfId="0" applyNumberFormat="1" applyFont="1" applyFill="1" applyBorder="1" applyAlignment="1">
      <alignment horizontal="left" vertical="center"/>
    </xf>
    <xf numFmtId="202" fontId="22" fillId="0" borderId="25" xfId="0" applyNumberFormat="1" applyFont="1" applyBorder="1" applyAlignment="1">
      <alignment horizontal="right"/>
    </xf>
    <xf numFmtId="202" fontId="22" fillId="0" borderId="30" xfId="0" applyNumberFormat="1" applyFont="1" applyBorder="1" applyAlignment="1">
      <alignment horizontal="right"/>
    </xf>
    <xf numFmtId="0" fontId="11" fillId="0" borderId="0" xfId="254" applyFont="1" applyAlignment="1">
      <alignment horizontal="center" vertical="center"/>
    </xf>
    <xf numFmtId="1" fontId="124" fillId="0" borderId="1" xfId="1" applyNumberFormat="1" applyFont="1" applyFill="1" applyBorder="1" applyAlignment="1">
      <alignment vertical="center" shrinkToFit="1"/>
    </xf>
    <xf numFmtId="191" fontId="124" fillId="0" borderId="1" xfId="1" applyNumberFormat="1" applyFont="1" applyBorder="1" applyAlignment="1">
      <alignment vertical="center" shrinkToFit="1"/>
    </xf>
    <xf numFmtId="191" fontId="124" fillId="0" borderId="1" xfId="1" applyNumberFormat="1" applyFont="1" applyFill="1" applyBorder="1" applyAlignment="1">
      <alignment vertical="center" shrinkToFit="1"/>
    </xf>
    <xf numFmtId="0" fontId="12" fillId="0" borderId="0" xfId="254" applyFont="1" applyAlignment="1">
      <alignment horizontal="center" vertical="center"/>
    </xf>
    <xf numFmtId="0" fontId="8" fillId="0" borderId="0" xfId="0" applyFont="1" applyAlignment="1">
      <alignment horizontal="left" vertical="center" shrinkToFit="1"/>
    </xf>
    <xf numFmtId="0" fontId="12" fillId="0" borderId="14" xfId="254" applyFont="1" applyBorder="1" applyAlignment="1">
      <alignment horizontal="center" vertical="center"/>
    </xf>
    <xf numFmtId="0" fontId="11" fillId="0" borderId="14" xfId="254" applyFont="1" applyBorder="1" applyAlignment="1">
      <alignment horizontal="center" vertical="center"/>
    </xf>
    <xf numFmtId="212" fontId="13" fillId="0" borderId="25" xfId="11" applyNumberFormat="1" applyFont="1" applyFill="1" applyBorder="1" applyAlignment="1">
      <alignment horizontal="left" vertical="center"/>
    </xf>
    <xf numFmtId="192" fontId="13" fillId="0" borderId="25" xfId="0" applyNumberFormat="1" applyFont="1" applyBorder="1" applyAlignment="1">
      <alignment horizontal="center" vertical="center" wrapText="1"/>
    </xf>
    <xf numFmtId="192" fontId="13" fillId="0" borderId="26" xfId="0" applyNumberFormat="1" applyFont="1" applyBorder="1" applyAlignment="1">
      <alignment horizontal="center" vertical="center" wrapText="1"/>
    </xf>
    <xf numFmtId="192" fontId="13" fillId="0" borderId="30" xfId="0" applyNumberFormat="1" applyFont="1" applyBorder="1" applyAlignment="1">
      <alignment horizontal="center" vertical="center" wrapText="1"/>
    </xf>
    <xf numFmtId="0" fontId="13" fillId="0" borderId="1" xfId="254" applyFont="1" applyBorder="1" applyAlignment="1">
      <alignment horizontal="center" vertical="center" shrinkToFit="1"/>
    </xf>
    <xf numFmtId="192" fontId="11" fillId="0" borderId="1" xfId="0" applyNumberFormat="1" applyFont="1" applyBorder="1" applyAlignment="1">
      <alignment horizontal="center" vertical="center" wrapText="1"/>
    </xf>
    <xf numFmtId="0" fontId="13" fillId="0" borderId="60" xfId="254" applyFont="1" applyBorder="1" applyAlignment="1">
      <alignment horizontal="center" vertical="center" wrapText="1"/>
    </xf>
    <xf numFmtId="0" fontId="13" fillId="0" borderId="60" xfId="255" applyFont="1" applyBorder="1" applyAlignment="1">
      <alignment vertical="center" wrapText="1"/>
    </xf>
    <xf numFmtId="212" fontId="13" fillId="0" borderId="60" xfId="11" applyNumberFormat="1" applyFont="1" applyFill="1" applyBorder="1" applyAlignment="1">
      <alignment horizontal="left" vertical="center"/>
    </xf>
    <xf numFmtId="0" fontId="13" fillId="0" borderId="60" xfId="254" applyFont="1" applyBorder="1" applyAlignment="1">
      <alignment horizontal="left" vertical="center" shrinkToFit="1"/>
    </xf>
    <xf numFmtId="0" fontId="13" fillId="0" borderId="60" xfId="254" applyFont="1" applyBorder="1" applyAlignment="1">
      <alignment horizontal="center" vertical="center" shrinkToFit="1"/>
    </xf>
    <xf numFmtId="192" fontId="13" fillId="0" borderId="60" xfId="0" applyNumberFormat="1" applyFont="1" applyBorder="1" applyAlignment="1">
      <alignment horizontal="center" vertical="center" wrapText="1"/>
    </xf>
    <xf numFmtId="0" fontId="13" fillId="0" borderId="26" xfId="0" applyFont="1" applyBorder="1" applyAlignment="1">
      <alignment vertical="center"/>
    </xf>
    <xf numFmtId="0" fontId="13" fillId="0" borderId="26" xfId="0" applyFont="1" applyBorder="1" applyAlignment="1">
      <alignment horizontal="left" vertical="center"/>
    </xf>
    <xf numFmtId="0" fontId="13" fillId="0" borderId="30" xfId="0" applyFont="1" applyBorder="1" applyAlignment="1">
      <alignment horizontal="left" vertical="center"/>
    </xf>
    <xf numFmtId="192" fontId="11" fillId="0" borderId="1" xfId="11" applyNumberFormat="1" applyFont="1" applyFill="1" applyBorder="1" applyAlignment="1">
      <alignment vertical="center" shrinkToFit="1"/>
    </xf>
    <xf numFmtId="0" fontId="13" fillId="0" borderId="25" xfId="0" applyFont="1" applyBorder="1" applyAlignment="1">
      <alignment horizontal="left" vertical="center"/>
    </xf>
    <xf numFmtId="192" fontId="13" fillId="0" borderId="25" xfId="11" applyNumberFormat="1" applyFont="1" applyFill="1" applyBorder="1" applyAlignment="1">
      <alignment vertical="center" shrinkToFit="1"/>
    </xf>
    <xf numFmtId="192" fontId="13" fillId="0" borderId="26" xfId="11" applyNumberFormat="1" applyFont="1" applyFill="1" applyBorder="1" applyAlignment="1">
      <alignment vertical="center" shrinkToFit="1"/>
    </xf>
    <xf numFmtId="192" fontId="13" fillId="0" borderId="30" xfId="11" applyNumberFormat="1" applyFont="1" applyFill="1" applyBorder="1" applyAlignment="1">
      <alignment vertical="center" shrinkToFit="1"/>
    </xf>
    <xf numFmtId="0" fontId="13" fillId="0" borderId="1" xfId="254" applyFont="1" applyBorder="1" applyAlignment="1">
      <alignment vertical="center"/>
    </xf>
    <xf numFmtId="192" fontId="11" fillId="7" borderId="1" xfId="11" applyNumberFormat="1" applyFont="1" applyFill="1" applyBorder="1" applyAlignment="1">
      <alignment horizontal="right" vertical="center" shrinkToFit="1"/>
    </xf>
    <xf numFmtId="192" fontId="11" fillId="0" borderId="1" xfId="254" applyNumberFormat="1" applyFont="1" applyBorder="1" applyAlignment="1">
      <alignment horizontal="right" vertical="center" shrinkToFit="1"/>
    </xf>
    <xf numFmtId="0" fontId="11" fillId="0" borderId="24" xfId="254" applyFont="1" applyBorder="1" applyAlignment="1">
      <alignment vertical="center" shrinkToFit="1"/>
    </xf>
    <xf numFmtId="0" fontId="22" fillId="0" borderId="25" xfId="255" applyFont="1" applyBorder="1" applyAlignment="1">
      <alignment horizontal="left" vertical="center" shrinkToFit="1"/>
    </xf>
    <xf numFmtId="0" fontId="149" fillId="0" borderId="0" xfId="0" applyFont="1"/>
    <xf numFmtId="0" fontId="56" fillId="0" borderId="0" xfId="254" applyFont="1"/>
    <xf numFmtId="0" fontId="56" fillId="0" borderId="0" xfId="254" applyFont="1" applyAlignment="1">
      <alignment horizontal="left"/>
    </xf>
    <xf numFmtId="0" fontId="56" fillId="0" borderId="0" xfId="254" applyFont="1" applyAlignment="1">
      <alignment horizontal="center"/>
    </xf>
    <xf numFmtId="0" fontId="150" fillId="0" borderId="0" xfId="254" applyFont="1"/>
    <xf numFmtId="192" fontId="150" fillId="0" borderId="0" xfId="254" applyNumberFormat="1" applyFont="1"/>
    <xf numFmtId="0" fontId="150" fillId="0" borderId="0" xfId="254" applyFont="1" applyAlignment="1">
      <alignment horizontal="center"/>
    </xf>
    <xf numFmtId="189" fontId="150" fillId="0" borderId="0" xfId="254" applyNumberFormat="1" applyFont="1" applyAlignment="1">
      <alignment horizontal="center"/>
    </xf>
    <xf numFmtId="0" fontId="21" fillId="0" borderId="0" xfId="254" applyFont="1" applyAlignment="1">
      <alignment horizontal="right"/>
    </xf>
    <xf numFmtId="189" fontId="21" fillId="0" borderId="0" xfId="11" applyFont="1" applyFill="1" applyAlignment="1">
      <alignment horizontal="right"/>
    </xf>
    <xf numFmtId="0" fontId="151" fillId="0" borderId="0" xfId="0" applyFont="1" applyAlignment="1">
      <alignment horizontal="center"/>
    </xf>
    <xf numFmtId="0" fontId="111" fillId="7" borderId="25" xfId="0" applyFont="1" applyFill="1" applyBorder="1" applyAlignment="1">
      <alignment horizontal="left"/>
    </xf>
    <xf numFmtId="0" fontId="133" fillId="7" borderId="0" xfId="0" applyFont="1" applyFill="1" applyAlignment="1">
      <alignment horizontal="center" vertical="center"/>
    </xf>
    <xf numFmtId="0" fontId="124" fillId="0" borderId="1" xfId="0" applyFont="1" applyBorder="1" applyAlignment="1">
      <alignment vertical="center" wrapText="1"/>
    </xf>
    <xf numFmtId="192" fontId="125" fillId="0" borderId="60" xfId="1" applyNumberFormat="1" applyFont="1" applyFill="1" applyBorder="1" applyAlignment="1">
      <alignment horizontal="center" vertical="center"/>
    </xf>
    <xf numFmtId="192" fontId="124" fillId="0" borderId="1" xfId="1" applyNumberFormat="1" applyFont="1" applyFill="1" applyBorder="1" applyAlignment="1">
      <alignment horizontal="center" vertical="center" shrinkToFit="1"/>
    </xf>
    <xf numFmtId="212" fontId="124" fillId="0" borderId="1" xfId="1" applyNumberFormat="1" applyFont="1" applyFill="1" applyBorder="1" applyAlignment="1">
      <alignment horizontal="right" vertical="center" shrinkToFit="1"/>
    </xf>
    <xf numFmtId="191" fontId="124" fillId="0" borderId="1" xfId="1" applyNumberFormat="1" applyFont="1" applyFill="1" applyBorder="1" applyAlignment="1">
      <alignment horizontal="right" vertical="center" shrinkToFit="1"/>
    </xf>
    <xf numFmtId="43" fontId="124" fillId="0" borderId="1" xfId="1" applyFont="1" applyFill="1" applyBorder="1" applyAlignment="1">
      <alignment horizontal="right" vertical="center" shrinkToFit="1"/>
    </xf>
    <xf numFmtId="189" fontId="124" fillId="0" borderId="1" xfId="1" applyNumberFormat="1" applyFont="1" applyFill="1" applyBorder="1" applyAlignment="1">
      <alignment horizontal="right" vertical="center" shrinkToFit="1"/>
    </xf>
    <xf numFmtId="0" fontId="115" fillId="7" borderId="0" xfId="0" applyFont="1" applyFill="1"/>
    <xf numFmtId="0" fontId="126" fillId="7" borderId="0" xfId="0" applyFont="1" applyFill="1"/>
    <xf numFmtId="0" fontId="118" fillId="7" borderId="0" xfId="0" applyFont="1" applyFill="1" applyAlignment="1">
      <alignment horizontal="left" vertical="center"/>
    </xf>
    <xf numFmtId="192" fontId="118" fillId="7" borderId="0" xfId="11" applyNumberFormat="1" applyFont="1" applyFill="1" applyBorder="1" applyAlignment="1">
      <alignment horizontal="center" vertical="center"/>
    </xf>
    <xf numFmtId="0" fontId="152" fillId="7" borderId="0" xfId="0" applyFont="1" applyFill="1" applyAlignment="1">
      <alignment horizontal="center" vertical="center"/>
    </xf>
    <xf numFmtId="214" fontId="118" fillId="7" borderId="0" xfId="11" applyNumberFormat="1" applyFont="1" applyFill="1" applyBorder="1" applyAlignment="1">
      <alignment horizontal="center" vertical="center"/>
    </xf>
    <xf numFmtId="0" fontId="153" fillId="7" borderId="0" xfId="0" applyFont="1" applyFill="1" applyAlignment="1">
      <alignment horizontal="center" vertical="center"/>
    </xf>
    <xf numFmtId="0" fontId="144" fillId="7" borderId="24" xfId="0" applyFont="1" applyFill="1" applyBorder="1" applyAlignment="1">
      <alignment horizontal="center" vertical="center"/>
    </xf>
    <xf numFmtId="0" fontId="144" fillId="7" borderId="43" xfId="0" applyFont="1" applyFill="1" applyBorder="1" applyAlignment="1">
      <alignment horizontal="center" vertical="center"/>
    </xf>
    <xf numFmtId="0" fontId="144" fillId="7" borderId="14" xfId="0" applyFont="1" applyFill="1" applyBorder="1" applyAlignment="1">
      <alignment horizontal="center" vertical="center"/>
    </xf>
    <xf numFmtId="0" fontId="144" fillId="7" borderId="54" xfId="0" applyFont="1" applyFill="1" applyBorder="1" applyAlignment="1">
      <alignment horizontal="center" vertical="center"/>
    </xf>
    <xf numFmtId="0" fontId="144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/>
    </xf>
    <xf numFmtId="192" fontId="134" fillId="7" borderId="1" xfId="11" applyNumberFormat="1" applyFont="1" applyFill="1" applyBorder="1" applyAlignment="1">
      <alignment vertical="center" shrinkToFit="1"/>
    </xf>
    <xf numFmtId="189" fontId="134" fillId="7" borderId="1" xfId="11" applyFont="1" applyFill="1" applyBorder="1" applyAlignment="1">
      <alignment vertical="center" shrinkToFit="1"/>
    </xf>
    <xf numFmtId="191" fontId="134" fillId="7" borderId="1" xfId="1" applyNumberFormat="1" applyFont="1" applyFill="1" applyBorder="1" applyAlignment="1">
      <alignment vertical="center" shrinkToFit="1"/>
    </xf>
    <xf numFmtId="189" fontId="134" fillId="7" borderId="1" xfId="3" applyNumberFormat="1" applyFont="1" applyFill="1" applyBorder="1" applyAlignment="1">
      <alignment vertical="center"/>
    </xf>
    <xf numFmtId="0" fontId="13" fillId="7" borderId="1" xfId="255" applyFont="1" applyFill="1" applyBorder="1" applyAlignment="1">
      <alignment horizontal="left" vertical="center"/>
    </xf>
    <xf numFmtId="192" fontId="111" fillId="7" borderId="1" xfId="11" applyNumberFormat="1" applyFont="1" applyFill="1" applyBorder="1" applyAlignment="1">
      <alignment horizontal="center" vertical="center"/>
    </xf>
    <xf numFmtId="1" fontId="111" fillId="7" borderId="1" xfId="0" applyNumberFormat="1" applyFont="1" applyFill="1" applyBorder="1" applyAlignment="1">
      <alignment vertical="center"/>
    </xf>
    <xf numFmtId="191" fontId="111" fillId="7" borderId="1" xfId="1" applyNumberFormat="1" applyFont="1" applyFill="1" applyBorder="1" applyAlignment="1">
      <alignment vertical="center"/>
    </xf>
    <xf numFmtId="189" fontId="111" fillId="7" borderId="1" xfId="11" applyFont="1" applyFill="1" applyBorder="1" applyAlignment="1">
      <alignment vertical="center"/>
    </xf>
    <xf numFmtId="191" fontId="8" fillId="7" borderId="1" xfId="3" applyNumberFormat="1" applyFont="1" applyFill="1" applyBorder="1" applyAlignment="1">
      <alignment horizontal="left" vertical="center" wrapText="1"/>
    </xf>
    <xf numFmtId="0" fontId="127" fillId="7" borderId="0" xfId="0" applyFont="1" applyFill="1"/>
    <xf numFmtId="0" fontId="130" fillId="7" borderId="0" xfId="0" applyFont="1" applyFill="1" applyAlignment="1">
      <alignment horizontal="right" vertical="center"/>
    </xf>
    <xf numFmtId="0" fontId="129" fillId="7" borderId="0" xfId="0" applyFont="1" applyFill="1"/>
    <xf numFmtId="192" fontId="111" fillId="7" borderId="24" xfId="11" applyNumberFormat="1" applyFont="1" applyFill="1" applyBorder="1" applyAlignment="1">
      <alignment vertical="center" shrinkToFit="1"/>
    </xf>
    <xf numFmtId="189" fontId="117" fillId="7" borderId="24" xfId="3" applyNumberFormat="1" applyFont="1" applyFill="1" applyBorder="1" applyAlignment="1">
      <alignment horizontal="right" vertical="center"/>
    </xf>
    <xf numFmtId="0" fontId="157" fillId="7" borderId="0" xfId="0" applyFont="1" applyFill="1"/>
    <xf numFmtId="0" fontId="158" fillId="7" borderId="0" xfId="0" applyFont="1" applyFill="1"/>
    <xf numFmtId="0" fontId="155" fillId="7" borderId="0" xfId="0" applyFont="1" applyFill="1" applyAlignment="1">
      <alignment vertical="center"/>
    </xf>
    <xf numFmtId="0" fontId="134" fillId="7" borderId="0" xfId="0" applyFont="1" applyFill="1"/>
    <xf numFmtId="0" fontId="134" fillId="7" borderId="0" xfId="0" applyFont="1" applyFill="1" applyAlignment="1">
      <alignment horizontal="center"/>
    </xf>
    <xf numFmtId="43" fontId="124" fillId="0" borderId="1" xfId="1" applyFont="1" applyBorder="1" applyAlignment="1">
      <alignment vertical="center" shrinkToFit="1"/>
    </xf>
    <xf numFmtId="43" fontId="125" fillId="0" borderId="26" xfId="1" applyFont="1" applyFill="1" applyBorder="1" applyAlignment="1">
      <alignment vertical="center" shrinkToFit="1"/>
    </xf>
    <xf numFmtId="43" fontId="125" fillId="0" borderId="30" xfId="1" applyFont="1" applyFill="1" applyBorder="1" applyAlignment="1">
      <alignment vertical="center" shrinkToFit="1"/>
    </xf>
    <xf numFmtId="43" fontId="124" fillId="0" borderId="1" xfId="1" applyFont="1" applyFill="1" applyBorder="1" applyAlignment="1">
      <alignment vertical="center" shrinkToFit="1"/>
    </xf>
    <xf numFmtId="1" fontId="22" fillId="0" borderId="26" xfId="1" applyNumberFormat="1" applyFont="1" applyBorder="1" applyAlignment="1">
      <alignment vertical="center" shrinkToFit="1"/>
    </xf>
    <xf numFmtId="1" fontId="22" fillId="0" borderId="26" xfId="1" applyNumberFormat="1" applyFont="1" applyFill="1" applyBorder="1" applyAlignment="1">
      <alignment vertical="center" shrinkToFit="1"/>
    </xf>
    <xf numFmtId="1" fontId="22" fillId="0" borderId="30" xfId="1" applyNumberFormat="1" applyFont="1" applyBorder="1" applyAlignment="1">
      <alignment vertical="center" shrinkToFit="1"/>
    </xf>
    <xf numFmtId="1" fontId="22" fillId="0" borderId="30" xfId="1" applyNumberFormat="1" applyFont="1" applyFill="1" applyBorder="1" applyAlignment="1">
      <alignment vertical="center" shrinkToFit="1"/>
    </xf>
    <xf numFmtId="1" fontId="22" fillId="0" borderId="1" xfId="1" applyNumberFormat="1" applyFont="1" applyBorder="1" applyAlignment="1">
      <alignment vertical="center" shrinkToFit="1"/>
    </xf>
    <xf numFmtId="1" fontId="22" fillId="0" borderId="1" xfId="1" applyNumberFormat="1" applyFont="1" applyFill="1" applyBorder="1" applyAlignment="1">
      <alignment vertical="center" shrinkToFit="1"/>
    </xf>
    <xf numFmtId="191" fontId="22" fillId="0" borderId="1" xfId="1" applyNumberFormat="1" applyFont="1" applyBorder="1" applyAlignment="1">
      <alignment vertical="center" shrinkToFit="1"/>
    </xf>
    <xf numFmtId="191" fontId="22" fillId="0" borderId="1" xfId="1" applyNumberFormat="1" applyFont="1" applyFill="1" applyBorder="1" applyAlignment="1">
      <alignment vertical="center" shrinkToFit="1"/>
    </xf>
    <xf numFmtId="43" fontId="100" fillId="0" borderId="26" xfId="1" applyFont="1" applyFill="1" applyBorder="1" applyAlignment="1">
      <alignment horizontal="right" vertical="center" shrinkToFit="1"/>
    </xf>
    <xf numFmtId="43" fontId="100" fillId="0" borderId="30" xfId="1" applyFont="1" applyFill="1" applyBorder="1" applyAlignment="1">
      <alignment horizontal="right" vertical="center" shrinkToFit="1"/>
    </xf>
    <xf numFmtId="43" fontId="100" fillId="0" borderId="1" xfId="1" applyFont="1" applyFill="1" applyBorder="1" applyAlignment="1">
      <alignment horizontal="right" vertical="center" shrinkToFit="1"/>
    </xf>
    <xf numFmtId="0" fontId="159" fillId="0" borderId="0" xfId="0" applyFont="1"/>
    <xf numFmtId="189" fontId="159" fillId="0" borderId="0" xfId="0" applyNumberFormat="1" applyFont="1"/>
    <xf numFmtId="3" fontId="159" fillId="0" borderId="0" xfId="0" applyNumberFormat="1" applyFont="1"/>
    <xf numFmtId="189" fontId="22" fillId="0" borderId="0" xfId="11" applyFont="1" applyFill="1"/>
    <xf numFmtId="3" fontId="22" fillId="0" borderId="0" xfId="11" applyNumberFormat="1" applyFont="1" applyFill="1"/>
    <xf numFmtId="192" fontId="22" fillId="0" borderId="0" xfId="11" applyNumberFormat="1" applyFont="1" applyFill="1"/>
    <xf numFmtId="0" fontId="15" fillId="0" borderId="0" xfId="0" applyFont="1"/>
    <xf numFmtId="0" fontId="8" fillId="0" borderId="0" xfId="0" applyFont="1" applyAlignment="1">
      <alignment horizontal="right" shrinkToFit="1"/>
    </xf>
    <xf numFmtId="193" fontId="13" fillId="0" borderId="0" xfId="11" applyNumberFormat="1" applyFont="1" applyFill="1" applyBorder="1" applyAlignment="1"/>
    <xf numFmtId="189" fontId="13" fillId="0" borderId="0" xfId="11" applyFont="1" applyFill="1" applyBorder="1" applyAlignment="1"/>
    <xf numFmtId="3" fontId="13" fillId="0" borderId="0" xfId="11" applyNumberFormat="1" applyFont="1" applyFill="1" applyBorder="1" applyAlignment="1"/>
    <xf numFmtId="192" fontId="13" fillId="0" borderId="0" xfId="11" applyNumberFormat="1" applyFont="1" applyFill="1" applyBorder="1"/>
    <xf numFmtId="193" fontId="13" fillId="0" borderId="14" xfId="11" applyNumberFormat="1" applyFont="1" applyFill="1" applyBorder="1" applyAlignment="1"/>
    <xf numFmtId="189" fontId="13" fillId="0" borderId="14" xfId="11" applyFont="1" applyFill="1" applyBorder="1" applyAlignment="1"/>
    <xf numFmtId="3" fontId="13" fillId="0" borderId="14" xfId="11" applyNumberFormat="1" applyFont="1" applyFill="1" applyBorder="1" applyAlignment="1"/>
    <xf numFmtId="192" fontId="13" fillId="0" borderId="14" xfId="11" applyNumberFormat="1" applyFont="1" applyFill="1" applyBorder="1"/>
    <xf numFmtId="0" fontId="11" fillId="0" borderId="14" xfId="0" applyFont="1" applyBorder="1"/>
    <xf numFmtId="0" fontId="11" fillId="0" borderId="1" xfId="0" quotePrefix="1" applyFont="1" applyBorder="1" applyAlignment="1">
      <alignment vertical="center" shrinkToFit="1"/>
    </xf>
    <xf numFmtId="192" fontId="13" fillId="0" borderId="22" xfId="0" applyNumberFormat="1" applyFont="1" applyBorder="1" applyAlignment="1">
      <alignment vertical="center"/>
    </xf>
    <xf numFmtId="0" fontId="11" fillId="0" borderId="27" xfId="254" applyFont="1" applyBorder="1" applyAlignment="1">
      <alignment vertical="center" shrinkToFit="1"/>
    </xf>
    <xf numFmtId="0" fontId="11" fillId="0" borderId="21" xfId="254" applyFont="1" applyBorder="1" applyAlignment="1">
      <alignment vertical="center" shrinkToFit="1"/>
    </xf>
    <xf numFmtId="0" fontId="11" fillId="0" borderId="0" xfId="0" applyFont="1" applyAlignment="1">
      <alignment horizontal="center" vertical="center" shrinkToFit="1"/>
    </xf>
    <xf numFmtId="0" fontId="13" fillId="0" borderId="22" xfId="0" applyFont="1" applyBorder="1" applyAlignment="1">
      <alignment horizontal="center" vertical="center" shrinkToFit="1"/>
    </xf>
    <xf numFmtId="0" fontId="13" fillId="0" borderId="22" xfId="0" quotePrefix="1" applyFont="1" applyBorder="1" applyAlignment="1">
      <alignment horizontal="center" vertical="center"/>
    </xf>
    <xf numFmtId="0" fontId="13" fillId="0" borderId="22" xfId="254" quotePrefix="1" applyFont="1" applyBorder="1" applyAlignment="1">
      <alignment horizontal="center" vertical="center" shrinkToFit="1"/>
    </xf>
    <xf numFmtId="0" fontId="13" fillId="0" borderId="27" xfId="254" quotePrefix="1" applyFont="1" applyBorder="1" applyAlignment="1">
      <alignment horizontal="center" vertical="center" shrinkToFit="1"/>
    </xf>
    <xf numFmtId="0" fontId="11" fillId="0" borderId="21" xfId="254" quotePrefix="1" applyFont="1" applyBorder="1" applyAlignment="1">
      <alignment vertical="center" shrinkToFit="1"/>
    </xf>
    <xf numFmtId="0" fontId="160" fillId="0" borderId="0" xfId="255" applyFont="1" applyAlignment="1">
      <alignment vertical="center" wrapText="1"/>
    </xf>
    <xf numFmtId="0" fontId="13" fillId="0" borderId="30" xfId="0" applyFont="1" applyBorder="1" applyAlignment="1">
      <alignment vertical="center"/>
    </xf>
    <xf numFmtId="0" fontId="13" fillId="0" borderId="1" xfId="0" applyFont="1" applyBorder="1" applyAlignment="1">
      <alignment horizontal="center" vertical="center" shrinkToFit="1"/>
    </xf>
    <xf numFmtId="0" fontId="161" fillId="0" borderId="1" xfId="255" applyFont="1" applyBorder="1" applyAlignment="1">
      <alignment vertical="center" wrapText="1"/>
    </xf>
    <xf numFmtId="0" fontId="13" fillId="0" borderId="30" xfId="0" applyFont="1" applyBorder="1" applyAlignment="1">
      <alignment horizontal="center" vertical="center" shrinkToFit="1"/>
    </xf>
    <xf numFmtId="0" fontId="160" fillId="0" borderId="30" xfId="255" applyFont="1" applyBorder="1" applyAlignment="1">
      <alignment vertical="center" wrapText="1"/>
    </xf>
    <xf numFmtId="0" fontId="13" fillId="0" borderId="30" xfId="0" quotePrefix="1" applyFont="1" applyBorder="1" applyAlignment="1">
      <alignment horizontal="center" vertical="center"/>
    </xf>
    <xf numFmtId="0" fontId="13" fillId="0" borderId="30" xfId="254" quotePrefix="1" applyFont="1" applyBorder="1" applyAlignment="1">
      <alignment horizontal="center" vertical="center" shrinkToFit="1"/>
    </xf>
    <xf numFmtId="0" fontId="13" fillId="0" borderId="61" xfId="0" applyFont="1" applyBorder="1" applyAlignment="1">
      <alignment vertical="center" shrinkToFit="1"/>
    </xf>
    <xf numFmtId="0" fontId="11" fillId="0" borderId="63" xfId="0" applyFont="1" applyBorder="1" applyAlignment="1">
      <alignment vertical="center" shrinkToFit="1"/>
    </xf>
    <xf numFmtId="0" fontId="13" fillId="0" borderId="25" xfId="0" applyFont="1" applyBorder="1" applyAlignment="1">
      <alignment vertical="center" shrinkToFit="1"/>
    </xf>
    <xf numFmtId="0" fontId="11" fillId="0" borderId="25" xfId="0" applyFont="1" applyBorder="1" applyAlignment="1">
      <alignment vertical="center" shrinkToFit="1"/>
    </xf>
    <xf numFmtId="189" fontId="11" fillId="0" borderId="25" xfId="11" applyFont="1" applyFill="1" applyBorder="1" applyAlignment="1">
      <alignment vertical="center" shrinkToFit="1"/>
    </xf>
    <xf numFmtId="192" fontId="11" fillId="0" borderId="25" xfId="0" applyNumberFormat="1" applyFont="1" applyBorder="1" applyAlignment="1">
      <alignment vertical="center"/>
    </xf>
    <xf numFmtId="0" fontId="146" fillId="7" borderId="0" xfId="0" applyFont="1" applyFill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0" fillId="0" borderId="0" xfId="0" applyFont="1" applyAlignment="1">
      <alignment vertical="center"/>
    </xf>
    <xf numFmtId="0" fontId="8" fillId="0" borderId="0" xfId="0" applyFont="1" applyAlignment="1">
      <alignment horizontal="center" vertical="center" shrinkToFit="1"/>
    </xf>
    <xf numFmtId="3" fontId="13" fillId="0" borderId="0" xfId="0" applyNumberFormat="1" applyFont="1"/>
    <xf numFmtId="192" fontId="12" fillId="0" borderId="0" xfId="254" applyNumberFormat="1" applyFont="1"/>
    <xf numFmtId="192" fontId="8" fillId="0" borderId="0" xfId="11" applyNumberFormat="1" applyFont="1" applyFill="1" applyBorder="1" applyAlignment="1">
      <alignment vertical="center" shrinkToFit="1"/>
    </xf>
    <xf numFmtId="192" fontId="8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 shrinkToFit="1"/>
    </xf>
    <xf numFmtId="189" fontId="13" fillId="0" borderId="0" xfId="0" applyNumberFormat="1" applyFont="1" applyAlignment="1">
      <alignment horizontal="center"/>
    </xf>
    <xf numFmtId="3" fontId="13" fillId="0" borderId="0" xfId="11" applyNumberFormat="1" applyFont="1" applyFill="1" applyAlignment="1">
      <alignment horizontal="center"/>
    </xf>
    <xf numFmtId="192" fontId="117" fillId="0" borderId="0" xfId="0" applyNumberFormat="1" applyFont="1" applyAlignment="1">
      <alignment horizontal="center"/>
    </xf>
    <xf numFmtId="0" fontId="12" fillId="0" borderId="0" xfId="0" applyFont="1" applyAlignment="1">
      <alignment vertical="center"/>
    </xf>
    <xf numFmtId="189" fontId="12" fillId="0" borderId="0" xfId="0" applyNumberFormat="1" applyFont="1" applyAlignment="1">
      <alignment vertical="center"/>
    </xf>
    <xf numFmtId="3" fontId="13" fillId="0" borderId="0" xfId="0" applyNumberFormat="1" applyFont="1" applyAlignment="1">
      <alignment horizontal="center"/>
    </xf>
    <xf numFmtId="0" fontId="117" fillId="0" borderId="0" xfId="0" applyFont="1"/>
    <xf numFmtId="3" fontId="13" fillId="0" borderId="0" xfId="11" applyNumberFormat="1" applyFont="1" applyFill="1"/>
    <xf numFmtId="188" fontId="13" fillId="0" borderId="0" xfId="0" applyNumberFormat="1" applyFont="1"/>
    <xf numFmtId="189" fontId="12" fillId="0" borderId="0" xfId="11" applyFont="1" applyFill="1" applyBorder="1" applyAlignment="1">
      <alignment vertical="center" shrinkToFit="1"/>
    </xf>
    <xf numFmtId="188" fontId="12" fillId="0" borderId="0" xfId="0" applyNumberFormat="1" applyFont="1" applyAlignment="1">
      <alignment vertical="center"/>
    </xf>
    <xf numFmtId="3" fontId="117" fillId="0" borderId="0" xfId="0" applyNumberFormat="1" applyFont="1" applyAlignment="1">
      <alignment horizontal="center"/>
    </xf>
    <xf numFmtId="192" fontId="8" fillId="0" borderId="0" xfId="11" applyNumberFormat="1" applyFont="1" applyFill="1"/>
    <xf numFmtId="192" fontId="12" fillId="0" borderId="0" xfId="11" applyNumberFormat="1" applyFont="1" applyFill="1" applyBorder="1" applyAlignment="1">
      <alignment vertical="center" shrinkToFit="1"/>
    </xf>
    <xf numFmtId="0" fontId="13" fillId="0" borderId="0" xfId="0" applyFont="1" applyAlignment="1">
      <alignment horizontal="center" vertical="center" shrinkToFit="1"/>
    </xf>
    <xf numFmtId="192" fontId="32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center"/>
    </xf>
    <xf numFmtId="0" fontId="36" fillId="0" borderId="0" xfId="0" applyFont="1" applyAlignment="1">
      <alignment horizontal="center" vertical="center"/>
    </xf>
    <xf numFmtId="0" fontId="115" fillId="0" borderId="0" xfId="0" applyFont="1" applyAlignment="1">
      <alignment vertical="center"/>
    </xf>
    <xf numFmtId="188" fontId="115" fillId="0" borderId="0" xfId="0" applyNumberFormat="1" applyFont="1" applyAlignment="1">
      <alignment vertical="center"/>
    </xf>
    <xf numFmtId="188" fontId="8" fillId="0" borderId="0" xfId="0" applyNumberFormat="1" applyFont="1" applyAlignment="1">
      <alignment vertical="center"/>
    </xf>
    <xf numFmtId="189" fontId="8" fillId="0" borderId="0" xfId="11" applyFont="1" applyFill="1" applyAlignment="1">
      <alignment vertical="center"/>
    </xf>
    <xf numFmtId="0" fontId="8" fillId="7" borderId="0" xfId="0" applyFont="1" applyFill="1" applyAlignment="1">
      <alignment vertical="center"/>
    </xf>
    <xf numFmtId="3" fontId="8" fillId="0" borderId="0" xfId="0" applyNumberFormat="1" applyFont="1" applyAlignment="1">
      <alignment vertical="center"/>
    </xf>
    <xf numFmtId="188" fontId="8" fillId="7" borderId="0" xfId="0" applyNumberFormat="1" applyFont="1" applyFill="1" applyAlignment="1">
      <alignment vertical="center"/>
    </xf>
    <xf numFmtId="192" fontId="22" fillId="0" borderId="0" xfId="0" applyNumberFormat="1" applyFont="1" applyAlignment="1">
      <alignment vertical="center"/>
    </xf>
    <xf numFmtId="0" fontId="11" fillId="0" borderId="1" xfId="254" quotePrefix="1" applyFont="1" applyBorder="1" applyAlignment="1">
      <alignment vertical="center" shrinkToFit="1"/>
    </xf>
    <xf numFmtId="191" fontId="11" fillId="0" borderId="1" xfId="1" quotePrefix="1" applyNumberFormat="1" applyFont="1" applyBorder="1" applyAlignment="1">
      <alignment horizontal="center" vertical="center" shrinkToFit="1"/>
    </xf>
    <xf numFmtId="3" fontId="13" fillId="0" borderId="25" xfId="0" applyNumberFormat="1" applyFont="1" applyBorder="1" applyAlignment="1">
      <alignment vertical="center" shrinkToFit="1"/>
    </xf>
    <xf numFmtId="191" fontId="121" fillId="0" borderId="1" xfId="1" applyNumberFormat="1" applyFont="1" applyBorder="1" applyAlignment="1">
      <alignment horizontal="center" vertical="center" shrinkToFit="1"/>
    </xf>
    <xf numFmtId="191" fontId="13" fillId="0" borderId="25" xfId="1" applyNumberFormat="1" applyFont="1" applyBorder="1" applyAlignment="1">
      <alignment horizontal="center" vertical="center" shrinkToFit="1"/>
    </xf>
    <xf numFmtId="191" fontId="13" fillId="0" borderId="22" xfId="1" applyNumberFormat="1" applyFont="1" applyBorder="1" applyAlignment="1">
      <alignment horizontal="center" vertical="center" shrinkToFit="1"/>
    </xf>
    <xf numFmtId="191" fontId="13" fillId="0" borderId="30" xfId="1" applyNumberFormat="1" applyFont="1" applyBorder="1" applyAlignment="1">
      <alignment horizontal="center" vertical="center" shrinkToFit="1"/>
    </xf>
    <xf numFmtId="191" fontId="11" fillId="0" borderId="1" xfId="1" applyNumberFormat="1" applyFont="1" applyFill="1" applyBorder="1" applyAlignment="1">
      <alignment horizontal="right" vertical="center" shrinkToFit="1"/>
    </xf>
    <xf numFmtId="191" fontId="13" fillId="0" borderId="25" xfId="1" applyNumberFormat="1" applyFont="1" applyFill="1" applyBorder="1" applyAlignment="1">
      <alignment horizontal="right" vertical="center" shrinkToFit="1"/>
    </xf>
    <xf numFmtId="191" fontId="13" fillId="0" borderId="22" xfId="1" applyNumberFormat="1" applyFont="1" applyFill="1" applyBorder="1" applyAlignment="1">
      <alignment horizontal="right" vertical="center" shrinkToFit="1"/>
    </xf>
    <xf numFmtId="191" fontId="11" fillId="0" borderId="1" xfId="1" quotePrefix="1" applyNumberFormat="1" applyFont="1" applyBorder="1" applyAlignment="1">
      <alignment horizontal="right" vertical="center" shrinkToFit="1"/>
    </xf>
    <xf numFmtId="191" fontId="13" fillId="0" borderId="30" xfId="1" applyNumberFormat="1" applyFont="1" applyFill="1" applyBorder="1" applyAlignment="1">
      <alignment horizontal="right" vertical="center" shrinkToFit="1"/>
    </xf>
    <xf numFmtId="0" fontId="13" fillId="7" borderId="30" xfId="28" applyFont="1" applyFill="1" applyBorder="1" applyAlignment="1">
      <alignment horizontal="left"/>
    </xf>
    <xf numFmtId="0" fontId="16" fillId="0" borderId="0" xfId="0" applyFont="1" applyAlignment="1">
      <alignment horizontal="center"/>
    </xf>
    <xf numFmtId="0" fontId="8" fillId="0" borderId="14" xfId="0" applyFont="1" applyBorder="1" applyAlignment="1">
      <alignment horizontal="right" vertical="center" shrinkToFit="1"/>
    </xf>
    <xf numFmtId="198" fontId="8" fillId="0" borderId="14" xfId="11" applyNumberFormat="1" applyFont="1" applyFill="1" applyBorder="1" applyAlignment="1">
      <alignment horizontal="center" vertical="center" shrinkToFit="1"/>
    </xf>
    <xf numFmtId="0" fontId="133" fillId="7" borderId="0" xfId="0" applyFont="1" applyFill="1" applyAlignment="1">
      <alignment horizontal="center"/>
    </xf>
    <xf numFmtId="0" fontId="124" fillId="0" borderId="21" xfId="0" applyFont="1" applyBorder="1" applyAlignment="1">
      <alignment horizontal="center" vertical="center"/>
    </xf>
    <xf numFmtId="0" fontId="124" fillId="0" borderId="31" xfId="0" applyFont="1" applyBorder="1" applyAlignment="1">
      <alignment horizontal="center" vertical="center"/>
    </xf>
    <xf numFmtId="0" fontId="163" fillId="7" borderId="0" xfId="0" applyFont="1" applyFill="1" applyAlignment="1">
      <alignment horizontal="center"/>
    </xf>
    <xf numFmtId="0" fontId="164" fillId="7" borderId="0" xfId="0" applyFont="1" applyFill="1" applyAlignment="1">
      <alignment horizontal="center" shrinkToFit="1"/>
    </xf>
    <xf numFmtId="0" fontId="164" fillId="7" borderId="0" xfId="0" applyFont="1" applyFill="1" applyAlignment="1">
      <alignment shrinkToFit="1"/>
    </xf>
    <xf numFmtId="0" fontId="101" fillId="0" borderId="0" xfId="0" applyFont="1"/>
    <xf numFmtId="191" fontId="150" fillId="0" borderId="0" xfId="1" applyNumberFormat="1" applyFont="1" applyAlignment="1">
      <alignment horizontal="center"/>
    </xf>
    <xf numFmtId="191" fontId="101" fillId="0" borderId="0" xfId="1" applyNumberFormat="1" applyFont="1" applyAlignment="1">
      <alignment horizontal="center"/>
    </xf>
    <xf numFmtId="191" fontId="101" fillId="0" borderId="0" xfId="1" applyNumberFormat="1" applyFont="1"/>
    <xf numFmtId="43" fontId="101" fillId="0" borderId="0" xfId="1" applyFont="1" applyAlignment="1">
      <alignment horizontal="center"/>
    </xf>
    <xf numFmtId="224" fontId="101" fillId="0" borderId="0" xfId="1" applyNumberFormat="1" applyFont="1" applyAlignment="1">
      <alignment horizontal="center"/>
    </xf>
    <xf numFmtId="43" fontId="22" fillId="0" borderId="26" xfId="1" applyFont="1" applyBorder="1" applyAlignment="1">
      <alignment vertical="center" shrinkToFit="1"/>
    </xf>
    <xf numFmtId="43" fontId="22" fillId="0" borderId="30" xfId="1" applyFont="1" applyBorder="1" applyAlignment="1">
      <alignment vertical="center" shrinkToFit="1"/>
    </xf>
    <xf numFmtId="43" fontId="22" fillId="0" borderId="1" xfId="1" applyFont="1" applyBorder="1" applyAlignment="1">
      <alignment vertical="center" shrinkToFit="1"/>
    </xf>
    <xf numFmtId="1" fontId="124" fillId="0" borderId="1" xfId="1" applyNumberFormat="1" applyFont="1" applyFill="1" applyBorder="1" applyAlignment="1">
      <alignment vertical="center"/>
    </xf>
    <xf numFmtId="212" fontId="124" fillId="0" borderId="1" xfId="1" applyNumberFormat="1" applyFont="1" applyFill="1" applyBorder="1" applyAlignment="1">
      <alignment vertical="center" shrinkToFit="1"/>
    </xf>
    <xf numFmtId="0" fontId="164" fillId="0" borderId="25" xfId="0" applyFont="1" applyBorder="1" applyAlignment="1">
      <alignment horizontal="center" vertical="center"/>
    </xf>
    <xf numFmtId="0" fontId="164" fillId="0" borderId="25" xfId="0" applyFont="1" applyBorder="1" applyAlignment="1">
      <alignment horizontal="left" vertical="center"/>
    </xf>
    <xf numFmtId="1" fontId="164" fillId="0" borderId="25" xfId="1" applyNumberFormat="1" applyFont="1" applyFill="1" applyBorder="1" applyAlignment="1">
      <alignment vertical="center"/>
    </xf>
    <xf numFmtId="43" fontId="124" fillId="0" borderId="25" xfId="1" applyFont="1" applyFill="1" applyBorder="1" applyAlignment="1">
      <alignment vertical="center"/>
    </xf>
    <xf numFmtId="192" fontId="124" fillId="0" borderId="25" xfId="1" applyNumberFormat="1" applyFont="1" applyFill="1" applyBorder="1" applyAlignment="1">
      <alignment vertical="center"/>
    </xf>
    <xf numFmtId="191" fontId="164" fillId="0" borderId="25" xfId="1" applyNumberFormat="1" applyFont="1" applyFill="1" applyBorder="1" applyAlignment="1">
      <alignment vertical="center" shrinkToFit="1"/>
    </xf>
    <xf numFmtId="3" fontId="22" fillId="0" borderId="25" xfId="0" applyNumberFormat="1" applyFont="1" applyBorder="1" applyAlignment="1">
      <alignment vertical="center" shrinkToFit="1"/>
    </xf>
    <xf numFmtId="3" fontId="92" fillId="0" borderId="25" xfId="1" applyNumberFormat="1" applyFont="1" applyFill="1" applyBorder="1" applyAlignment="1">
      <alignment vertical="center" shrinkToFit="1"/>
    </xf>
    <xf numFmtId="43" fontId="100" fillId="0" borderId="25" xfId="1" applyFont="1" applyFill="1" applyBorder="1" applyAlignment="1">
      <alignment horizontal="right" vertical="center" shrinkToFit="1"/>
    </xf>
    <xf numFmtId="3" fontId="125" fillId="0" borderId="25" xfId="0" applyNumberFormat="1" applyFont="1" applyBorder="1" applyAlignment="1">
      <alignment vertical="center" shrinkToFit="1"/>
    </xf>
    <xf numFmtId="189" fontId="92" fillId="0" borderId="25" xfId="3" applyNumberFormat="1" applyFont="1" applyFill="1" applyBorder="1" applyAlignment="1">
      <alignment vertical="center" shrinkToFit="1"/>
    </xf>
    <xf numFmtId="3" fontId="125" fillId="0" borderId="25" xfId="0" applyNumberFormat="1" applyFont="1" applyBorder="1" applyAlignment="1">
      <alignment vertical="center"/>
    </xf>
    <xf numFmtId="189" fontId="92" fillId="0" borderId="25" xfId="3" applyNumberFormat="1" applyFont="1" applyFill="1" applyBorder="1" applyAlignment="1">
      <alignment horizontal="right" vertical="center"/>
    </xf>
    <xf numFmtId="191" fontId="164" fillId="0" borderId="26" xfId="1" applyNumberFormat="1" applyFont="1" applyFill="1" applyBorder="1" applyAlignment="1">
      <alignment vertical="center" shrinkToFit="1"/>
    </xf>
    <xf numFmtId="191" fontId="164" fillId="0" borderId="30" xfId="1" applyNumberFormat="1" applyFont="1" applyFill="1" applyBorder="1" applyAlignment="1">
      <alignment vertical="center" shrinkToFit="1"/>
    </xf>
    <xf numFmtId="2" fontId="164" fillId="0" borderId="25" xfId="1" applyNumberFormat="1" applyFont="1" applyFill="1" applyBorder="1" applyAlignment="1">
      <alignment horizontal="right" vertical="center" indent="1"/>
    </xf>
    <xf numFmtId="43" fontId="125" fillId="0" borderId="22" xfId="1" applyFont="1" applyFill="1" applyBorder="1" applyAlignment="1">
      <alignment horizontal="center" vertical="center"/>
    </xf>
    <xf numFmtId="43" fontId="124" fillId="0" borderId="1" xfId="1" applyFont="1" applyFill="1" applyBorder="1" applyAlignment="1">
      <alignment horizontal="center" vertical="center" shrinkToFit="1"/>
    </xf>
    <xf numFmtId="0" fontId="164" fillId="0" borderId="16" xfId="0" applyFont="1" applyBorder="1" applyAlignment="1">
      <alignment horizontal="center" vertical="center"/>
    </xf>
    <xf numFmtId="0" fontId="164" fillId="0" borderId="16" xfId="0" applyFont="1" applyBorder="1" applyAlignment="1">
      <alignment horizontal="left" vertical="center"/>
    </xf>
    <xf numFmtId="192" fontId="164" fillId="0" borderId="16" xfId="1" applyNumberFormat="1" applyFont="1" applyFill="1" applyBorder="1" applyAlignment="1">
      <alignment horizontal="right" vertical="center" shrinkToFit="1"/>
    </xf>
    <xf numFmtId="192" fontId="164" fillId="0" borderId="16" xfId="1" applyNumberFormat="1" applyFont="1" applyFill="1" applyBorder="1" applyAlignment="1">
      <alignment vertical="center" shrinkToFit="1"/>
    </xf>
    <xf numFmtId="1" fontId="164" fillId="0" borderId="16" xfId="1" applyNumberFormat="1" applyFont="1" applyFill="1" applyBorder="1" applyAlignment="1">
      <alignment horizontal="right" vertical="center" shrinkToFit="1"/>
    </xf>
    <xf numFmtId="43" fontId="164" fillId="0" borderId="16" xfId="1" applyFont="1" applyFill="1" applyBorder="1" applyAlignment="1">
      <alignment horizontal="right" vertical="center" indent="1"/>
    </xf>
    <xf numFmtId="2" fontId="164" fillId="0" borderId="16" xfId="1" applyNumberFormat="1" applyFont="1" applyFill="1" applyBorder="1" applyAlignment="1">
      <alignment horizontal="right" vertical="center" indent="1"/>
    </xf>
    <xf numFmtId="189" fontId="22" fillId="0" borderId="16" xfId="0" applyNumberFormat="1" applyFont="1" applyBorder="1" applyAlignment="1">
      <alignment vertical="center"/>
    </xf>
    <xf numFmtId="0" fontId="124" fillId="0" borderId="16" xfId="0" applyFont="1" applyBorder="1" applyAlignment="1">
      <alignment horizontal="center" vertical="center"/>
    </xf>
    <xf numFmtId="0" fontId="164" fillId="0" borderId="6" xfId="0" applyFont="1" applyBorder="1" applyAlignment="1">
      <alignment horizontal="center" vertical="center"/>
    </xf>
    <xf numFmtId="0" fontId="22" fillId="0" borderId="6" xfId="255" applyFont="1" applyBorder="1" applyAlignment="1">
      <alignment horizontal="left" vertical="center"/>
    </xf>
    <xf numFmtId="192" fontId="125" fillId="0" borderId="6" xfId="1" applyNumberFormat="1" applyFont="1" applyFill="1" applyBorder="1" applyAlignment="1">
      <alignment horizontal="right" vertical="center" indent="1"/>
    </xf>
    <xf numFmtId="192" fontId="125" fillId="0" borderId="6" xfId="1" applyNumberFormat="1" applyFont="1" applyFill="1" applyBorder="1" applyAlignment="1">
      <alignment horizontal="center" vertical="center"/>
    </xf>
    <xf numFmtId="1" fontId="164" fillId="0" borderId="6" xfId="1" applyNumberFormat="1" applyFont="1" applyFill="1" applyBorder="1" applyAlignment="1">
      <alignment horizontal="right" vertical="center" shrinkToFit="1"/>
    </xf>
    <xf numFmtId="189" fontId="22" fillId="0" borderId="6" xfId="1" applyNumberFormat="1" applyFont="1" applyFill="1" applyBorder="1" applyAlignment="1">
      <alignment vertical="center"/>
    </xf>
    <xf numFmtId="192" fontId="125" fillId="0" borderId="6" xfId="1" applyNumberFormat="1" applyFont="1" applyFill="1" applyBorder="1" applyAlignment="1">
      <alignment vertical="center"/>
    </xf>
    <xf numFmtId="189" fontId="22" fillId="0" borderId="6" xfId="0" applyNumberFormat="1" applyFont="1" applyBorder="1" applyAlignment="1">
      <alignment vertical="center"/>
    </xf>
    <xf numFmtId="2" fontId="164" fillId="0" borderId="6" xfId="1" applyNumberFormat="1" applyFont="1" applyFill="1" applyBorder="1" applyAlignment="1">
      <alignment horizontal="right" vertical="center" indent="1"/>
    </xf>
    <xf numFmtId="192" fontId="125" fillId="0" borderId="6" xfId="0" applyNumberFormat="1" applyFont="1" applyBorder="1" applyAlignment="1">
      <alignment vertical="center"/>
    </xf>
    <xf numFmtId="192" fontId="127" fillId="0" borderId="6" xfId="0" applyNumberFormat="1" applyFont="1" applyBorder="1" applyAlignment="1">
      <alignment vertical="center"/>
    </xf>
    <xf numFmtId="0" fontId="164" fillId="0" borderId="17" xfId="0" applyFont="1" applyBorder="1" applyAlignment="1">
      <alignment horizontal="center" vertical="center"/>
    </xf>
    <xf numFmtId="0" fontId="22" fillId="0" borderId="17" xfId="255" applyFont="1" applyBorder="1" applyAlignment="1">
      <alignment horizontal="left" vertical="center"/>
    </xf>
    <xf numFmtId="192" fontId="125" fillId="0" borderId="17" xfId="1" applyNumberFormat="1" applyFont="1" applyFill="1" applyBorder="1" applyAlignment="1">
      <alignment horizontal="right" vertical="center" indent="1"/>
    </xf>
    <xf numFmtId="192" fontId="125" fillId="0" borderId="17" xfId="1" applyNumberFormat="1" applyFont="1" applyFill="1" applyBorder="1" applyAlignment="1">
      <alignment horizontal="center" vertical="center"/>
    </xf>
    <xf numFmtId="1" fontId="164" fillId="0" borderId="17" xfId="1" applyNumberFormat="1" applyFont="1" applyFill="1" applyBorder="1" applyAlignment="1">
      <alignment horizontal="right" vertical="center" shrinkToFit="1"/>
    </xf>
    <xf numFmtId="189" fontId="22" fillId="0" borderId="17" xfId="1" applyNumberFormat="1" applyFont="1" applyFill="1" applyBorder="1" applyAlignment="1">
      <alignment vertical="center"/>
    </xf>
    <xf numFmtId="192" fontId="125" fillId="0" borderId="17" xfId="1" applyNumberFormat="1" applyFont="1" applyFill="1" applyBorder="1" applyAlignment="1">
      <alignment vertical="center"/>
    </xf>
    <xf numFmtId="189" fontId="22" fillId="0" borderId="17" xfId="0" applyNumberFormat="1" applyFont="1" applyBorder="1" applyAlignment="1">
      <alignment vertical="center"/>
    </xf>
    <xf numFmtId="2" fontId="164" fillId="0" borderId="17" xfId="1" applyNumberFormat="1" applyFont="1" applyFill="1" applyBorder="1" applyAlignment="1">
      <alignment horizontal="right" vertical="center" indent="1"/>
    </xf>
    <xf numFmtId="192" fontId="125" fillId="0" borderId="17" xfId="0" applyNumberFormat="1" applyFont="1" applyBorder="1" applyAlignment="1">
      <alignment vertical="center"/>
    </xf>
    <xf numFmtId="192" fontId="127" fillId="0" borderId="17" xfId="0" applyNumberFormat="1" applyFont="1" applyBorder="1" applyAlignment="1">
      <alignment vertical="center"/>
    </xf>
    <xf numFmtId="2" fontId="8" fillId="0" borderId="14" xfId="11" applyNumberFormat="1" applyFont="1" applyFill="1" applyBorder="1" applyAlignment="1">
      <alignment horizontal="center" vertical="center" shrinkToFit="1"/>
    </xf>
    <xf numFmtId="0" fontId="77" fillId="3" borderId="0" xfId="255" applyFont="1" applyFill="1"/>
    <xf numFmtId="0" fontId="166" fillId="3" borderId="0" xfId="255" applyFont="1" applyFill="1"/>
    <xf numFmtId="0" fontId="77" fillId="0" borderId="1" xfId="0" applyFont="1" applyBorder="1" applyAlignment="1">
      <alignment horizontal="center" vertical="center"/>
    </xf>
    <xf numFmtId="0" fontId="77" fillId="0" borderId="1" xfId="0" applyFont="1" applyBorder="1" applyAlignment="1">
      <alignment horizontal="center" vertical="center" wrapText="1"/>
    </xf>
    <xf numFmtId="0" fontId="77" fillId="0" borderId="1" xfId="0" applyFont="1" applyBorder="1"/>
    <xf numFmtId="192" fontId="77" fillId="0" borderId="1" xfId="0" applyNumberFormat="1" applyFont="1" applyBorder="1"/>
    <xf numFmtId="0" fontId="3" fillId="3" borderId="0" xfId="255" applyFont="1" applyFill="1" applyAlignment="1">
      <alignment horizontal="center" vertical="center" shrinkToFit="1"/>
    </xf>
    <xf numFmtId="0" fontId="61" fillId="0" borderId="0" xfId="255" applyFont="1"/>
    <xf numFmtId="0" fontId="72" fillId="0" borderId="0" xfId="255" applyFont="1"/>
    <xf numFmtId="0" fontId="72" fillId="0" borderId="0" xfId="255" applyFont="1" applyAlignment="1">
      <alignment horizontal="center"/>
    </xf>
    <xf numFmtId="0" fontId="10" fillId="0" borderId="0" xfId="0" applyFont="1" applyAlignment="1">
      <alignment vertical="center"/>
    </xf>
    <xf numFmtId="0" fontId="170" fillId="0" borderId="0" xfId="0" applyFont="1" applyAlignment="1">
      <alignment horizontal="center" vertical="center"/>
    </xf>
    <xf numFmtId="0" fontId="10" fillId="0" borderId="25" xfId="0" applyFont="1" applyBorder="1" applyAlignment="1">
      <alignment vertical="center"/>
    </xf>
    <xf numFmtId="0" fontId="10" fillId="0" borderId="25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192" fontId="10" fillId="0" borderId="25" xfId="3" applyNumberFormat="1" applyFont="1" applyBorder="1" applyAlignment="1">
      <alignment horizontal="center" vertical="center"/>
    </xf>
    <xf numFmtId="0" fontId="10" fillId="0" borderId="26" xfId="0" applyFont="1" applyBorder="1" applyAlignment="1">
      <alignment vertical="center"/>
    </xf>
    <xf numFmtId="0" fontId="10" fillId="0" borderId="26" xfId="0" applyFont="1" applyBorder="1" applyAlignment="1">
      <alignment horizontal="center" vertical="center"/>
    </xf>
    <xf numFmtId="192" fontId="10" fillId="0" borderId="26" xfId="3" applyNumberFormat="1" applyFont="1" applyBorder="1" applyAlignment="1">
      <alignment horizontal="center" vertical="center"/>
    </xf>
    <xf numFmtId="0" fontId="145" fillId="0" borderId="1" xfId="0" applyFont="1" applyBorder="1" applyAlignment="1">
      <alignment horizontal="center" vertical="center"/>
    </xf>
    <xf numFmtId="192" fontId="145" fillId="0" borderId="1" xfId="3" applyNumberFormat="1" applyFont="1" applyBorder="1" applyAlignment="1">
      <alignment horizontal="center" vertical="center"/>
    </xf>
    <xf numFmtId="0" fontId="145" fillId="0" borderId="0" xfId="0" applyFont="1" applyAlignment="1">
      <alignment vertical="center"/>
    </xf>
    <xf numFmtId="14" fontId="116" fillId="0" borderId="0" xfId="0" applyNumberFormat="1" applyFont="1" applyAlignment="1">
      <alignment vertical="center"/>
    </xf>
    <xf numFmtId="0" fontId="10" fillId="9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72" fillId="0" borderId="0" xfId="0" applyFont="1" applyAlignment="1">
      <alignment vertical="center"/>
    </xf>
    <xf numFmtId="0" fontId="10" fillId="0" borderId="30" xfId="0" applyFont="1" applyBorder="1" applyAlignment="1">
      <alignment vertical="center"/>
    </xf>
    <xf numFmtId="0" fontId="10" fillId="0" borderId="30" xfId="0" applyFont="1" applyBorder="1" applyAlignment="1">
      <alignment horizontal="center" vertical="center"/>
    </xf>
    <xf numFmtId="0" fontId="10" fillId="0" borderId="60" xfId="0" applyFont="1" applyBorder="1" applyAlignment="1">
      <alignment vertical="center"/>
    </xf>
    <xf numFmtId="192" fontId="10" fillId="0" borderId="30" xfId="3" applyNumberFormat="1" applyFont="1" applyBorder="1" applyAlignment="1">
      <alignment horizontal="center" vertical="center"/>
    </xf>
    <xf numFmtId="0" fontId="92" fillId="0" borderId="25" xfId="0" applyFont="1" applyBorder="1" applyAlignment="1">
      <alignment horizontal="center" vertical="center"/>
    </xf>
    <xf numFmtId="3" fontId="92" fillId="0" borderId="25" xfId="0" applyNumberFormat="1" applyFont="1" applyBorder="1" applyAlignment="1">
      <alignment horizontal="center" vertical="center"/>
    </xf>
    <xf numFmtId="0" fontId="39" fillId="0" borderId="0" xfId="0" applyFont="1" applyAlignment="1">
      <alignment vertical="center"/>
    </xf>
    <xf numFmtId="0" fontId="39" fillId="0" borderId="14" xfId="0" applyFont="1" applyBorder="1" applyAlignment="1">
      <alignment horizontal="right" vertical="center" shrinkToFit="1"/>
    </xf>
    <xf numFmtId="192" fontId="11" fillId="0" borderId="1" xfId="0" applyNumberFormat="1" applyFont="1" applyBorder="1" applyAlignment="1">
      <alignment vertical="center"/>
    </xf>
    <xf numFmtId="192" fontId="13" fillId="0" borderId="22" xfId="11" applyNumberFormat="1" applyFont="1" applyFill="1" applyBorder="1" applyAlignment="1">
      <alignment vertical="center" shrinkToFit="1"/>
    </xf>
    <xf numFmtId="192" fontId="13" fillId="0" borderId="1" xfId="11" applyNumberFormat="1" applyFont="1" applyFill="1" applyBorder="1" applyAlignment="1">
      <alignment vertical="center" shrinkToFit="1"/>
    </xf>
    <xf numFmtId="191" fontId="13" fillId="0" borderId="30" xfId="1" quotePrefix="1" applyNumberFormat="1" applyFont="1" applyFill="1" applyBorder="1" applyAlignment="1">
      <alignment horizontal="right" vertical="center" shrinkToFit="1"/>
    </xf>
    <xf numFmtId="0" fontId="13" fillId="0" borderId="62" xfId="0" applyFont="1" applyBorder="1" applyAlignment="1">
      <alignment horizontal="center" vertical="center" shrinkToFit="1"/>
    </xf>
    <xf numFmtId="191" fontId="13" fillId="0" borderId="30" xfId="1" quotePrefix="1" applyNumberFormat="1" applyFont="1" applyBorder="1" applyAlignment="1">
      <alignment horizontal="center" vertical="center" shrinkToFit="1"/>
    </xf>
    <xf numFmtId="191" fontId="11" fillId="0" borderId="30" xfId="1" applyNumberFormat="1" applyFont="1" applyFill="1" applyBorder="1" applyAlignment="1">
      <alignment horizontal="right" vertical="center" shrinkToFit="1"/>
    </xf>
    <xf numFmtId="189" fontId="11" fillId="0" borderId="30" xfId="11" applyFont="1" applyFill="1" applyBorder="1" applyAlignment="1">
      <alignment vertical="center" shrinkToFit="1"/>
    </xf>
    <xf numFmtId="0" fontId="13" fillId="0" borderId="14" xfId="0" applyFont="1" applyBorder="1" applyAlignment="1">
      <alignment vertical="center"/>
    </xf>
    <xf numFmtId="191" fontId="13" fillId="0" borderId="20" xfId="1" quotePrefix="1" applyNumberFormat="1" applyFont="1" applyBorder="1" applyAlignment="1">
      <alignment horizontal="center" vertical="center" shrinkToFit="1"/>
    </xf>
    <xf numFmtId="191" fontId="13" fillId="0" borderId="20" xfId="1" applyNumberFormat="1" applyFont="1" applyFill="1" applyBorder="1" applyAlignment="1">
      <alignment horizontal="right" vertical="center" shrinkToFit="1"/>
    </xf>
    <xf numFmtId="191" fontId="11" fillId="0" borderId="20" xfId="1" applyNumberFormat="1" applyFont="1" applyFill="1" applyBorder="1" applyAlignment="1">
      <alignment horizontal="right" vertical="center" shrinkToFit="1"/>
    </xf>
    <xf numFmtId="189" fontId="11" fillId="0" borderId="20" xfId="11" applyFont="1" applyFill="1" applyBorder="1" applyAlignment="1">
      <alignment vertical="center" shrinkToFit="1"/>
    </xf>
    <xf numFmtId="0" fontId="11" fillId="0" borderId="27" xfId="0" applyFont="1" applyBorder="1" applyAlignment="1">
      <alignment horizontal="center" vertical="center" shrinkToFit="1"/>
    </xf>
    <xf numFmtId="0" fontId="11" fillId="0" borderId="21" xfId="0" applyFont="1" applyBorder="1" applyAlignment="1">
      <alignment vertical="center" shrinkToFit="1"/>
    </xf>
    <xf numFmtId="191" fontId="11" fillId="0" borderId="1" xfId="1" applyNumberFormat="1" applyFont="1" applyFill="1" applyBorder="1" applyAlignment="1">
      <alignment horizontal="center" vertical="center" shrinkToFit="1"/>
    </xf>
    <xf numFmtId="191" fontId="11" fillId="0" borderId="1" xfId="1" applyNumberFormat="1" applyFont="1" applyBorder="1" applyAlignment="1">
      <alignment horizontal="center" vertical="center" shrinkToFit="1"/>
    </xf>
    <xf numFmtId="191" fontId="11" fillId="0" borderId="31" xfId="1" applyNumberFormat="1" applyFont="1" applyBorder="1" applyAlignment="1">
      <alignment horizontal="right" vertical="center" shrinkToFit="1"/>
    </xf>
    <xf numFmtId="189" fontId="11" fillId="0" borderId="1" xfId="11" applyFont="1" applyFill="1" applyBorder="1" applyAlignment="1">
      <alignment vertical="center" shrinkToFit="1"/>
    </xf>
    <xf numFmtId="0" fontId="11" fillId="0" borderId="1" xfId="0" applyFont="1" applyBorder="1" applyAlignment="1">
      <alignment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1" xfId="254" quotePrefix="1" applyFont="1" applyBorder="1" applyAlignment="1">
      <alignment horizontal="center" vertical="center" shrinkToFit="1"/>
    </xf>
    <xf numFmtId="192" fontId="13" fillId="0" borderId="1" xfId="0" applyNumberFormat="1" applyFont="1" applyBorder="1" applyAlignment="1">
      <alignment vertical="center"/>
    </xf>
    <xf numFmtId="192" fontId="13" fillId="0" borderId="30" xfId="0" applyNumberFormat="1" applyFont="1" applyBorder="1" applyAlignment="1">
      <alignment vertical="center"/>
    </xf>
    <xf numFmtId="0" fontId="11" fillId="0" borderId="64" xfId="0" applyFont="1" applyBorder="1" applyAlignment="1">
      <alignment horizontal="center" vertical="center" shrinkToFit="1"/>
    </xf>
    <xf numFmtId="191" fontId="13" fillId="0" borderId="1" xfId="1" applyNumberFormat="1" applyFont="1" applyFill="1" applyBorder="1" applyAlignment="1">
      <alignment horizontal="right" vertical="center" shrinkToFit="1"/>
    </xf>
    <xf numFmtId="0" fontId="11" fillId="0" borderId="14" xfId="0" applyFont="1" applyBorder="1" applyAlignment="1">
      <alignment horizontal="center" vertical="center" shrinkToFit="1"/>
    </xf>
    <xf numFmtId="0" fontId="11" fillId="0" borderId="28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1" fillId="0" borderId="54" xfId="0" applyFont="1" applyBorder="1" applyAlignment="1">
      <alignment horizontal="center" vertical="center" shrinkToFit="1"/>
    </xf>
    <xf numFmtId="191" fontId="11" fillId="0" borderId="20" xfId="1" quotePrefix="1" applyNumberFormat="1" applyFont="1" applyBorder="1" applyAlignment="1">
      <alignment horizontal="center" vertical="center" shrinkToFit="1"/>
    </xf>
    <xf numFmtId="192" fontId="11" fillId="0" borderId="20" xfId="0" applyNumberFormat="1" applyFont="1" applyBorder="1" applyAlignment="1">
      <alignment vertical="center"/>
    </xf>
    <xf numFmtId="0" fontId="13" fillId="0" borderId="28" xfId="0" applyFont="1" applyBorder="1" applyAlignment="1">
      <alignment vertical="center"/>
    </xf>
    <xf numFmtId="0" fontId="13" fillId="0" borderId="54" xfId="0" applyFont="1" applyBorder="1" applyAlignment="1">
      <alignment horizontal="center" vertical="center" shrinkToFit="1"/>
    </xf>
    <xf numFmtId="192" fontId="13" fillId="0" borderId="20" xfId="0" applyNumberFormat="1" applyFont="1" applyBorder="1" applyAlignment="1">
      <alignment vertical="center"/>
    </xf>
    <xf numFmtId="0" fontId="1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93" fillId="0" borderId="1" xfId="0" applyFont="1" applyBorder="1" applyAlignment="1">
      <alignment horizontal="center" vertical="center"/>
    </xf>
    <xf numFmtId="0" fontId="77" fillId="3" borderId="0" xfId="255" applyFont="1" applyFill="1" applyAlignment="1">
      <alignment horizontal="center"/>
    </xf>
    <xf numFmtId="0" fontId="51" fillId="0" borderId="0" xfId="0" quotePrefix="1" applyFont="1" applyAlignment="1">
      <alignment horizontal="center"/>
    </xf>
    <xf numFmtId="0" fontId="22" fillId="0" borderId="0" xfId="0" applyFont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65" xfId="0" applyFont="1" applyBorder="1" applyAlignment="1">
      <alignment horizontal="left" vertical="center" wrapText="1"/>
    </xf>
    <xf numFmtId="0" fontId="145" fillId="0" borderId="15" xfId="0" applyFont="1" applyBorder="1" applyAlignment="1">
      <alignment horizontal="center" vertical="center" wrapText="1"/>
    </xf>
    <xf numFmtId="0" fontId="145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51" fillId="0" borderId="0" xfId="0" quotePrefix="1" applyFont="1" applyAlignment="1"/>
    <xf numFmtId="0" fontId="101" fillId="3" borderId="0" xfId="255" applyFont="1" applyFill="1" applyAlignment="1"/>
    <xf numFmtId="0" fontId="66" fillId="0" borderId="0" xfId="0" applyFont="1" applyAlignment="1"/>
    <xf numFmtId="0" fontId="93" fillId="0" borderId="0" xfId="0" applyFont="1" applyAlignment="1"/>
    <xf numFmtId="0" fontId="22" fillId="0" borderId="0" xfId="0" applyFont="1" applyAlignment="1"/>
    <xf numFmtId="0" fontId="20" fillId="0" borderId="0" xfId="0" applyFont="1" applyAlignment="1"/>
    <xf numFmtId="192" fontId="10" fillId="0" borderId="60" xfId="3" applyNumberFormat="1" applyFont="1" applyBorder="1" applyAlignment="1">
      <alignment horizontal="center" vertical="center"/>
    </xf>
    <xf numFmtId="192" fontId="10" fillId="0" borderId="60" xfId="0" applyNumberFormat="1" applyFont="1" applyBorder="1" applyAlignment="1">
      <alignment vertical="center"/>
    </xf>
    <xf numFmtId="0" fontId="145" fillId="0" borderId="1" xfId="0" applyFont="1" applyBorder="1" applyAlignment="1">
      <alignment vertical="center"/>
    </xf>
    <xf numFmtId="218" fontId="92" fillId="0" borderId="25" xfId="1" applyNumberFormat="1" applyFont="1" applyFill="1" applyBorder="1" applyAlignment="1">
      <alignment vertical="center" wrapText="1"/>
    </xf>
    <xf numFmtId="218" fontId="92" fillId="0" borderId="30" xfId="1" applyNumberFormat="1" applyFont="1" applyFill="1" applyBorder="1" applyAlignment="1">
      <alignment vertical="center" wrapText="1"/>
    </xf>
    <xf numFmtId="1" fontId="124" fillId="7" borderId="0" xfId="0" applyNumberFormat="1" applyFont="1" applyFill="1" applyBorder="1" applyAlignment="1">
      <alignment horizontal="center"/>
    </xf>
    <xf numFmtId="0" fontId="125" fillId="7" borderId="0" xfId="0" applyFont="1" applyFill="1" applyBorder="1" applyAlignment="1">
      <alignment vertical="center"/>
    </xf>
    <xf numFmtId="0" fontId="125" fillId="7" borderId="0" xfId="0" applyFont="1" applyFill="1" applyBorder="1"/>
    <xf numFmtId="4" fontId="124" fillId="7" borderId="0" xfId="1" applyNumberFormat="1" applyFont="1" applyFill="1" applyBorder="1" applyAlignment="1">
      <alignment vertical="center" shrinkToFit="1"/>
    </xf>
    <xf numFmtId="0" fontId="124" fillId="7" borderId="0" xfId="0" applyFont="1" applyFill="1" applyBorder="1" applyAlignment="1">
      <alignment vertical="center"/>
    </xf>
    <xf numFmtId="0" fontId="125" fillId="7" borderId="1" xfId="0" applyFont="1" applyFill="1" applyBorder="1" applyAlignment="1">
      <alignment horizontal="center" vertical="center"/>
    </xf>
    <xf numFmtId="0" fontId="128" fillId="7" borderId="1" xfId="25" applyFont="1" applyFill="1" applyBorder="1" applyAlignment="1">
      <alignment horizontal="left" vertical="center"/>
    </xf>
    <xf numFmtId="3" fontId="125" fillId="7" borderId="1" xfId="0" applyNumberFormat="1" applyFont="1" applyFill="1" applyBorder="1" applyAlignment="1">
      <alignment horizontal="center" vertical="center"/>
    </xf>
    <xf numFmtId="0" fontId="125" fillId="7" borderId="1" xfId="0" applyFont="1" applyFill="1" applyBorder="1" applyAlignment="1">
      <alignment horizontal="left" vertical="center"/>
    </xf>
    <xf numFmtId="200" fontId="125" fillId="7" borderId="1" xfId="0" applyNumberFormat="1" applyFont="1" applyFill="1" applyBorder="1" applyAlignment="1">
      <alignment vertical="center"/>
    </xf>
    <xf numFmtId="188" fontId="125" fillId="7" borderId="1" xfId="1" applyNumberFormat="1" applyFont="1" applyFill="1" applyBorder="1" applyAlignment="1">
      <alignment vertical="center"/>
    </xf>
    <xf numFmtId="188" fontId="125" fillId="7" borderId="1" xfId="0" applyNumberFormat="1" applyFont="1" applyFill="1" applyBorder="1" applyAlignment="1">
      <alignment vertical="center"/>
    </xf>
    <xf numFmtId="200" fontId="125" fillId="7" borderId="1" xfId="0" applyNumberFormat="1" applyFont="1" applyFill="1" applyBorder="1" applyAlignment="1">
      <alignment horizontal="center" vertical="center"/>
    </xf>
    <xf numFmtId="191" fontId="125" fillId="7" borderId="1" xfId="1" applyNumberFormat="1" applyFont="1" applyFill="1" applyBorder="1" applyAlignment="1">
      <alignment horizontal="right" vertical="center" wrapText="1"/>
    </xf>
    <xf numFmtId="213" fontId="125" fillId="7" borderId="1" xfId="1" applyNumberFormat="1" applyFont="1" applyFill="1" applyBorder="1" applyAlignment="1">
      <alignment horizontal="right" vertical="center" shrinkToFit="1"/>
    </xf>
    <xf numFmtId="3" fontId="128" fillId="7" borderId="1" xfId="25" applyNumberFormat="1" applyFont="1" applyFill="1" applyBorder="1" applyAlignment="1">
      <alignment vertical="center"/>
    </xf>
    <xf numFmtId="3" fontId="128" fillId="7" borderId="1" xfId="25" applyNumberFormat="1" applyFont="1" applyFill="1" applyBorder="1" applyAlignment="1">
      <alignment horizontal="left" vertical="center"/>
    </xf>
    <xf numFmtId="0" fontId="128" fillId="7" borderId="1" xfId="0" applyFont="1" applyFill="1" applyBorder="1" applyAlignment="1">
      <alignment horizontal="left" vertical="center"/>
    </xf>
    <xf numFmtId="189" fontId="20" fillId="0" borderId="1" xfId="0" applyNumberFormat="1" applyFont="1" applyBorder="1"/>
    <xf numFmtId="191" fontId="20" fillId="0" borderId="1" xfId="1" applyNumberFormat="1" applyFont="1" applyBorder="1"/>
    <xf numFmtId="224" fontId="150" fillId="0" borderId="0" xfId="1" applyNumberFormat="1" applyFont="1" applyAlignment="1">
      <alignment horizontal="center"/>
    </xf>
    <xf numFmtId="0" fontId="95" fillId="0" borderId="25" xfId="0" applyFont="1" applyBorder="1" applyAlignment="1">
      <alignment horizontal="center" vertical="center"/>
    </xf>
    <xf numFmtId="2" fontId="95" fillId="0" borderId="25" xfId="0" applyNumberFormat="1" applyFont="1" applyBorder="1" applyAlignment="1">
      <alignment horizontal="center" vertical="center" wrapText="1"/>
    </xf>
    <xf numFmtId="3" fontId="92" fillId="0" borderId="25" xfId="1" applyNumberFormat="1" applyFont="1" applyBorder="1" applyAlignment="1">
      <alignment horizontal="center" vertical="center"/>
    </xf>
    <xf numFmtId="0" fontId="95" fillId="0" borderId="25" xfId="0" applyFont="1" applyBorder="1" applyAlignment="1">
      <alignment horizontal="center" vertical="center" wrapText="1"/>
    </xf>
    <xf numFmtId="1" fontId="95" fillId="0" borderId="25" xfId="0" applyNumberFormat="1" applyFont="1" applyBorder="1" applyAlignment="1">
      <alignment horizontal="center" vertical="center" wrapText="1"/>
    </xf>
    <xf numFmtId="1" fontId="93" fillId="0" borderId="1" xfId="0" applyNumberFormat="1" applyFont="1" applyBorder="1" applyAlignment="1">
      <alignment horizontal="center" vertical="center"/>
    </xf>
    <xf numFmtId="0" fontId="13" fillId="0" borderId="6" xfId="303" applyFont="1" applyBorder="1" applyAlignment="1">
      <alignment horizontal="left"/>
    </xf>
    <xf numFmtId="0" fontId="13" fillId="0" borderId="1" xfId="303" applyFont="1" applyBorder="1" applyAlignment="1">
      <alignment horizontal="left"/>
    </xf>
    <xf numFmtId="3" fontId="125" fillId="7" borderId="0" xfId="0" applyNumberFormat="1" applyFont="1" applyFill="1" applyAlignment="1">
      <alignment horizontal="center"/>
    </xf>
    <xf numFmtId="191" fontId="125" fillId="7" borderId="0" xfId="1" applyNumberFormat="1" applyFont="1" applyFill="1" applyAlignment="1">
      <alignment horizontal="center"/>
    </xf>
    <xf numFmtId="0" fontId="133" fillId="7" borderId="0" xfId="0" applyFont="1" applyFill="1" applyAlignment="1">
      <alignment horizontal="center"/>
    </xf>
    <xf numFmtId="191" fontId="105" fillId="0" borderId="0" xfId="1" applyNumberFormat="1" applyFont="1" applyAlignment="1">
      <alignment horizontal="center"/>
    </xf>
    <xf numFmtId="191" fontId="20" fillId="7" borderId="0" xfId="1" applyNumberFormat="1" applyFont="1" applyFill="1" applyAlignment="1">
      <alignment horizontal="center"/>
    </xf>
    <xf numFmtId="191" fontId="93" fillId="7" borderId="1" xfId="1" applyNumberFormat="1" applyFont="1" applyFill="1" applyBorder="1" applyAlignment="1">
      <alignment horizontal="center" vertical="center" wrapText="1"/>
    </xf>
    <xf numFmtId="191" fontId="92" fillId="7" borderId="0" xfId="1" applyNumberFormat="1" applyFont="1" applyFill="1"/>
    <xf numFmtId="43" fontId="20" fillId="0" borderId="1" xfId="1" applyNumberFormat="1" applyFont="1" applyBorder="1"/>
    <xf numFmtId="0" fontId="101" fillId="0" borderId="16" xfId="0" applyFont="1" applyBorder="1"/>
    <xf numFmtId="192" fontId="101" fillId="0" borderId="16" xfId="11" applyNumberFormat="1" applyFont="1" applyBorder="1"/>
    <xf numFmtId="0" fontId="101" fillId="0" borderId="6" xfId="0" applyFont="1" applyBorder="1"/>
    <xf numFmtId="192" fontId="101" fillId="0" borderId="6" xfId="11" applyNumberFormat="1" applyFont="1" applyBorder="1"/>
    <xf numFmtId="0" fontId="101" fillId="0" borderId="17" xfId="0" applyFont="1" applyBorder="1"/>
    <xf numFmtId="192" fontId="101" fillId="0" borderId="17" xfId="11" applyNumberFormat="1" applyFont="1" applyBorder="1"/>
    <xf numFmtId="0" fontId="22" fillId="0" borderId="16" xfId="0" applyFont="1" applyBorder="1" applyAlignment="1">
      <alignment horizontal="center" vertical="center"/>
    </xf>
    <xf numFmtId="0" fontId="104" fillId="0" borderId="16" xfId="25" applyFont="1" applyBorder="1" applyAlignment="1">
      <alignment horizontal="left" vertical="center"/>
    </xf>
    <xf numFmtId="3" fontId="22" fillId="0" borderId="16" xfId="0" applyNumberFormat="1" applyFont="1" applyBorder="1" applyAlignment="1">
      <alignment horizontal="center" vertical="center"/>
    </xf>
    <xf numFmtId="189" fontId="22" fillId="0" borderId="16" xfId="0" applyNumberFormat="1" applyFont="1" applyBorder="1" applyAlignment="1">
      <alignment horizontal="right" vertical="center"/>
    </xf>
    <xf numFmtId="3" fontId="22" fillId="0" borderId="16" xfId="1" applyNumberFormat="1" applyFont="1" applyFill="1" applyBorder="1" applyAlignment="1">
      <alignment horizontal="right" vertical="center"/>
    </xf>
    <xf numFmtId="191" fontId="22" fillId="0" borderId="16" xfId="1" applyNumberFormat="1" applyFont="1" applyFill="1" applyBorder="1" applyAlignment="1">
      <alignment horizontal="right" vertical="center"/>
    </xf>
    <xf numFmtId="0" fontId="22" fillId="0" borderId="16" xfId="0" applyFont="1" applyBorder="1" applyAlignment="1">
      <alignment horizontal="right" vertical="center"/>
    </xf>
    <xf numFmtId="0" fontId="22" fillId="0" borderId="6" xfId="0" applyFont="1" applyBorder="1" applyAlignment="1">
      <alignment horizontal="center" vertical="center"/>
    </xf>
    <xf numFmtId="0" fontId="104" fillId="0" borderId="6" xfId="25" applyFont="1" applyBorder="1" applyAlignment="1">
      <alignment horizontal="left" vertical="center"/>
    </xf>
    <xf numFmtId="3" fontId="22" fillId="0" borderId="6" xfId="0" applyNumberFormat="1" applyFont="1" applyBorder="1" applyAlignment="1">
      <alignment horizontal="center" vertical="center"/>
    </xf>
    <xf numFmtId="189" fontId="22" fillId="0" borderId="6" xfId="0" applyNumberFormat="1" applyFont="1" applyBorder="1" applyAlignment="1">
      <alignment horizontal="right" vertical="center"/>
    </xf>
    <xf numFmtId="3" fontId="22" fillId="0" borderId="6" xfId="1" applyNumberFormat="1" applyFont="1" applyFill="1" applyBorder="1" applyAlignment="1">
      <alignment horizontal="right" vertical="center"/>
    </xf>
    <xf numFmtId="191" fontId="22" fillId="0" borderId="6" xfId="1" applyNumberFormat="1" applyFont="1" applyFill="1" applyBorder="1" applyAlignment="1">
      <alignment horizontal="right" vertical="center"/>
    </xf>
    <xf numFmtId="0" fontId="22" fillId="0" borderId="6" xfId="0" applyFont="1" applyBorder="1" applyAlignment="1">
      <alignment horizontal="right" vertical="center"/>
    </xf>
    <xf numFmtId="0" fontId="22" fillId="0" borderId="17" xfId="0" applyFont="1" applyBorder="1" applyAlignment="1">
      <alignment horizontal="center" vertical="center"/>
    </xf>
    <xf numFmtId="0" fontId="104" fillId="0" borderId="17" xfId="25" applyFont="1" applyBorder="1" applyAlignment="1">
      <alignment horizontal="left" vertical="center"/>
    </xf>
    <xf numFmtId="3" fontId="22" fillId="0" borderId="17" xfId="0" applyNumberFormat="1" applyFont="1" applyBorder="1" applyAlignment="1">
      <alignment horizontal="center" vertical="center"/>
    </xf>
    <xf numFmtId="189" fontId="22" fillId="0" borderId="17" xfId="0" applyNumberFormat="1" applyFont="1" applyBorder="1" applyAlignment="1">
      <alignment horizontal="right" vertical="center"/>
    </xf>
    <xf numFmtId="191" fontId="22" fillId="0" borderId="17" xfId="1" applyNumberFormat="1" applyFont="1" applyFill="1" applyBorder="1" applyAlignment="1">
      <alignment horizontal="right" vertical="center"/>
    </xf>
    <xf numFmtId="3" fontId="104" fillId="0" borderId="16" xfId="25" applyNumberFormat="1" applyFont="1" applyBorder="1" applyAlignment="1">
      <alignment horizontal="left" vertical="center"/>
    </xf>
    <xf numFmtId="0" fontId="13" fillId="0" borderId="16" xfId="303" applyFont="1" applyBorder="1" applyAlignment="1">
      <alignment horizontal="left"/>
    </xf>
    <xf numFmtId="43" fontId="22" fillId="0" borderId="6" xfId="1" applyNumberFormat="1" applyFont="1" applyBorder="1" applyAlignment="1">
      <alignment horizontal="right" vertical="center"/>
    </xf>
    <xf numFmtId="3" fontId="104" fillId="0" borderId="6" xfId="25" applyNumberFormat="1" applyFont="1" applyBorder="1" applyAlignment="1">
      <alignment horizontal="left" vertical="center"/>
    </xf>
    <xf numFmtId="191" fontId="127" fillId="0" borderId="6" xfId="1" applyNumberFormat="1" applyFont="1" applyFill="1" applyBorder="1" applyAlignment="1">
      <alignment horizontal="right" vertical="center"/>
    </xf>
    <xf numFmtId="0" fontId="20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right" vertical="center"/>
    </xf>
    <xf numFmtId="3" fontId="22" fillId="0" borderId="6" xfId="0" applyNumberFormat="1" applyFont="1" applyBorder="1" applyAlignment="1">
      <alignment horizontal="right" vertical="center"/>
    </xf>
    <xf numFmtId="43" fontId="11" fillId="0" borderId="1" xfId="1" quotePrefix="1" applyNumberFormat="1" applyFont="1" applyBorder="1" applyAlignment="1">
      <alignment horizontal="right" vertical="center" shrinkToFit="1"/>
    </xf>
    <xf numFmtId="43" fontId="13" fillId="0" borderId="30" xfId="1" applyNumberFormat="1" applyFont="1" applyFill="1" applyBorder="1" applyAlignment="1">
      <alignment horizontal="right" vertical="center" shrinkToFit="1"/>
    </xf>
    <xf numFmtId="43" fontId="11" fillId="0" borderId="1" xfId="1" applyNumberFormat="1" applyFont="1" applyFill="1" applyBorder="1" applyAlignment="1">
      <alignment horizontal="right" vertical="center" shrinkToFit="1"/>
    </xf>
    <xf numFmtId="192" fontId="10" fillId="0" borderId="1" xfId="3" applyNumberFormat="1" applyFont="1" applyBorder="1" applyAlignment="1">
      <alignment horizontal="center" vertical="center"/>
    </xf>
    <xf numFmtId="0" fontId="180" fillId="12" borderId="1" xfId="28" applyFont="1" applyFill="1" applyBorder="1" applyAlignment="1" applyProtection="1">
      <alignment horizontal="left"/>
    </xf>
    <xf numFmtId="0" fontId="180" fillId="0" borderId="6" xfId="303" applyFont="1" applyBorder="1" applyAlignment="1">
      <alignment horizontal="left"/>
    </xf>
    <xf numFmtId="191" fontId="125" fillId="7" borderId="0" xfId="1" applyNumberFormat="1" applyFont="1" applyFill="1" applyBorder="1"/>
    <xf numFmtId="191" fontId="125" fillId="7" borderId="0" xfId="0" applyNumberFormat="1" applyFont="1" applyFill="1" applyBorder="1"/>
    <xf numFmtId="0" fontId="129" fillId="7" borderId="0" xfId="0" applyFont="1" applyFill="1" applyAlignment="1">
      <alignment horizontal="center" vertical="center"/>
    </xf>
    <xf numFmtId="0" fontId="16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0" fillId="0" borderId="1" xfId="0" applyFont="1" applyBorder="1" applyAlignment="1">
      <alignment horizontal="center" vertical="center"/>
    </xf>
    <xf numFmtId="191" fontId="22" fillId="0" borderId="0" xfId="1" applyNumberFormat="1" applyFont="1" applyFill="1" applyAlignment="1">
      <alignment horizontal="center"/>
    </xf>
    <xf numFmtId="0" fontId="9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202" fontId="21" fillId="0" borderId="0" xfId="0" applyNumberFormat="1" applyFont="1" applyFill="1"/>
    <xf numFmtId="0" fontId="21" fillId="0" borderId="0" xfId="0" applyFont="1" applyFill="1"/>
    <xf numFmtId="0" fontId="101" fillId="0" borderId="0" xfId="0" applyFont="1" applyFill="1"/>
    <xf numFmtId="0" fontId="30" fillId="0" borderId="0" xfId="0" applyFont="1" applyFill="1" applyAlignment="1">
      <alignment horizontal="center"/>
    </xf>
    <xf numFmtId="0" fontId="38" fillId="0" borderId="0" xfId="0" applyFont="1" applyFill="1"/>
    <xf numFmtId="0" fontId="38" fillId="0" borderId="0" xfId="0" applyFont="1" applyFill="1" applyBorder="1" applyAlignment="1">
      <alignment vertical="center" shrinkToFit="1"/>
    </xf>
    <xf numFmtId="0" fontId="186" fillId="0" borderId="0" xfId="0" applyFont="1" applyFill="1"/>
    <xf numFmtId="0" fontId="186" fillId="0" borderId="0" xfId="0" applyFont="1" applyFill="1" applyAlignment="1">
      <alignment horizontal="left"/>
    </xf>
    <xf numFmtId="0" fontId="38" fillId="0" borderId="0" xfId="0" applyFont="1" applyFill="1" applyAlignment="1">
      <alignment horizontal="left"/>
    </xf>
    <xf numFmtId="0" fontId="56" fillId="0" borderId="0" xfId="0" applyFont="1" applyFill="1"/>
    <xf numFmtId="0" fontId="29" fillId="0" borderId="0" xfId="0" applyFont="1" applyFill="1"/>
    <xf numFmtId="0" fontId="39" fillId="0" borderId="0" xfId="0" applyFont="1" applyFill="1" applyAlignment="1">
      <alignment horizontal="left"/>
    </xf>
    <xf numFmtId="0" fontId="56" fillId="0" borderId="0" xfId="0" applyFont="1" applyFill="1" applyAlignment="1"/>
    <xf numFmtId="0" fontId="38" fillId="0" borderId="0" xfId="0" applyFont="1" applyFill="1" applyAlignment="1"/>
    <xf numFmtId="0" fontId="21" fillId="0" borderId="0" xfId="0" applyFont="1" applyFill="1" applyAlignment="1"/>
    <xf numFmtId="0" fontId="39" fillId="0" borderId="0" xfId="0" applyFont="1" applyFill="1" applyAlignment="1"/>
    <xf numFmtId="218" fontId="21" fillId="0" borderId="0" xfId="8" applyNumberFormat="1" applyFont="1" applyFill="1"/>
    <xf numFmtId="189" fontId="187" fillId="0" borderId="1" xfId="0" applyNumberFormat="1" applyFont="1" applyBorder="1" applyAlignment="1">
      <alignment horizontal="center" vertical="center" shrinkToFit="1"/>
    </xf>
    <xf numFmtId="189" fontId="187" fillId="7" borderId="1" xfId="0" applyNumberFormat="1" applyFont="1" applyFill="1" applyBorder="1" applyAlignment="1">
      <alignment horizontal="center" vertical="center" shrinkToFit="1"/>
    </xf>
    <xf numFmtId="37" fontId="173" fillId="7" borderId="1" xfId="1" applyNumberFormat="1" applyFont="1" applyFill="1" applyBorder="1" applyAlignment="1">
      <alignment horizontal="center" vertical="center" shrinkToFit="1"/>
    </xf>
    <xf numFmtId="43" fontId="77" fillId="7" borderId="1" xfId="1" applyFont="1" applyFill="1" applyBorder="1" applyAlignment="1">
      <alignment horizontal="center" vertical="center" shrinkToFit="1"/>
    </xf>
    <xf numFmtId="195" fontId="77" fillId="3" borderId="1" xfId="0" applyNumberFormat="1" applyFont="1" applyFill="1" applyBorder="1" applyAlignment="1">
      <alignment horizontal="center" vertical="center" shrinkToFit="1"/>
    </xf>
    <xf numFmtId="0" fontId="95" fillId="0" borderId="0" xfId="0" applyFont="1" applyAlignment="1">
      <alignment vertical="center"/>
    </xf>
    <xf numFmtId="0" fontId="173" fillId="7" borderId="0" xfId="0" applyFont="1" applyFill="1"/>
    <xf numFmtId="0" fontId="23" fillId="0" borderId="0" xfId="0" applyFont="1"/>
    <xf numFmtId="195" fontId="77" fillId="7" borderId="1" xfId="0" applyNumberFormat="1" applyFont="1" applyFill="1" applyBorder="1" applyAlignment="1">
      <alignment horizontal="center" vertical="center" shrinkToFit="1"/>
    </xf>
    <xf numFmtId="0" fontId="94" fillId="7" borderId="0" xfId="0" applyFont="1" applyFill="1" applyAlignment="1">
      <alignment horizontal="center"/>
    </xf>
    <xf numFmtId="0" fontId="65" fillId="7" borderId="0" xfId="255" applyFont="1" applyFill="1" applyBorder="1" applyAlignment="1">
      <alignment horizontal="center" vertical="center"/>
    </xf>
    <xf numFmtId="1" fontId="65" fillId="7" borderId="1" xfId="0" applyNumberFormat="1" applyFont="1" applyFill="1" applyBorder="1" applyAlignment="1">
      <alignment horizontal="center" vertical="center"/>
    </xf>
    <xf numFmtId="192" fontId="13" fillId="7" borderId="0" xfId="0" applyNumberFormat="1" applyFont="1" applyFill="1" applyBorder="1" applyAlignment="1">
      <alignment horizontal="center"/>
    </xf>
    <xf numFmtId="203" fontId="13" fillId="0" borderId="0" xfId="8" applyNumberFormat="1" applyFont="1" applyFill="1" applyBorder="1" applyAlignment="1">
      <alignment horizontal="center" vertical="center"/>
    </xf>
    <xf numFmtId="0" fontId="97" fillId="7" borderId="0" xfId="255" applyFont="1" applyFill="1" applyBorder="1"/>
    <xf numFmtId="0" fontId="97" fillId="7" borderId="0" xfId="255" applyFont="1" applyFill="1" applyBorder="1" applyAlignment="1">
      <alignment horizontal="center"/>
    </xf>
    <xf numFmtId="0" fontId="11" fillId="7" borderId="0" xfId="255" applyFont="1" applyFill="1" applyBorder="1" applyAlignment="1">
      <alignment horizontal="center"/>
    </xf>
    <xf numFmtId="202" fontId="65" fillId="7" borderId="0" xfId="255" applyNumberFormat="1" applyFont="1" applyFill="1" applyBorder="1" applyAlignment="1">
      <alignment horizontal="center" vertical="center"/>
    </xf>
    <xf numFmtId="202" fontId="13" fillId="7" borderId="0" xfId="275" applyNumberFormat="1" applyFont="1" applyFill="1" applyBorder="1" applyAlignment="1">
      <alignment horizontal="left"/>
    </xf>
    <xf numFmtId="0" fontId="13" fillId="7" borderId="0" xfId="255" applyFont="1" applyFill="1" applyBorder="1" applyAlignment="1">
      <alignment horizontal="center"/>
    </xf>
    <xf numFmtId="204" fontId="13" fillId="7" borderId="0" xfId="255" applyNumberFormat="1" applyFont="1" applyFill="1" applyBorder="1" applyAlignment="1">
      <alignment horizontal="center"/>
    </xf>
    <xf numFmtId="202" fontId="13" fillId="7" borderId="0" xfId="275" applyNumberFormat="1" applyFont="1" applyFill="1" applyBorder="1" applyAlignment="1">
      <alignment horizontal="center"/>
    </xf>
    <xf numFmtId="0" fontId="11" fillId="7" borderId="0" xfId="255" applyFont="1" applyFill="1" applyBorder="1" applyAlignment="1">
      <alignment vertical="center" shrinkToFit="1"/>
    </xf>
    <xf numFmtId="0" fontId="65" fillId="7" borderId="0" xfId="255" applyFont="1" applyFill="1" applyBorder="1" applyAlignment="1">
      <alignment vertical="center"/>
    </xf>
    <xf numFmtId="3" fontId="97" fillId="7" borderId="0" xfId="255" applyNumberFormat="1" applyFont="1" applyFill="1" applyBorder="1" applyAlignment="1"/>
    <xf numFmtId="0" fontId="97" fillId="7" borderId="0" xfId="255" applyFont="1" applyFill="1" applyBorder="1" applyAlignment="1">
      <alignment vertical="center" wrapText="1"/>
    </xf>
    <xf numFmtId="202" fontId="11" fillId="7" borderId="1" xfId="255" applyNumberFormat="1" applyFont="1" applyFill="1" applyBorder="1" applyAlignment="1">
      <alignment horizontal="center"/>
    </xf>
    <xf numFmtId="3" fontId="97" fillId="7" borderId="1" xfId="255" applyNumberFormat="1" applyFont="1" applyFill="1" applyBorder="1" applyAlignment="1"/>
    <xf numFmtId="0" fontId="180" fillId="0" borderId="17" xfId="303" applyFont="1" applyBorder="1" applyAlignment="1">
      <alignment horizontal="left"/>
    </xf>
    <xf numFmtId="0" fontId="27" fillId="0" borderId="0" xfId="0" applyFont="1" applyAlignment="1">
      <alignment horizontal="right" vertical="center"/>
    </xf>
    <xf numFmtId="0" fontId="16" fillId="0" borderId="6" xfId="0" applyFont="1" applyBorder="1" applyAlignment="1">
      <alignment horizontal="left" vertical="center"/>
    </xf>
    <xf numFmtId="189" fontId="16" fillId="0" borderId="6" xfId="0" applyNumberFormat="1" applyFont="1" applyBorder="1" applyAlignment="1">
      <alignment horizontal="left" vertical="center"/>
    </xf>
    <xf numFmtId="3" fontId="16" fillId="0" borderId="6" xfId="1" applyNumberFormat="1" applyFont="1" applyFill="1" applyBorder="1" applyAlignment="1">
      <alignment horizontal="right" vertical="center"/>
    </xf>
    <xf numFmtId="191" fontId="16" fillId="0" borderId="6" xfId="1" applyNumberFormat="1" applyFont="1" applyFill="1" applyBorder="1" applyAlignment="1">
      <alignment horizontal="right" vertical="center"/>
    </xf>
    <xf numFmtId="0" fontId="16" fillId="0" borderId="6" xfId="0" applyFont="1" applyBorder="1" applyAlignment="1">
      <alignment horizontal="center" vertical="center"/>
    </xf>
    <xf numFmtId="4" fontId="16" fillId="0" borderId="6" xfId="1" applyNumberFormat="1" applyFont="1" applyFill="1" applyBorder="1" applyAlignment="1">
      <alignment horizontal="right" vertical="center"/>
    </xf>
    <xf numFmtId="0" fontId="27" fillId="0" borderId="6" xfId="0" applyFont="1" applyBorder="1" applyAlignment="1">
      <alignment horizontal="right" vertical="center"/>
    </xf>
    <xf numFmtId="3" fontId="16" fillId="0" borderId="6" xfId="0" applyNumberFormat="1" applyFont="1" applyBorder="1" applyAlignment="1">
      <alignment horizontal="center" vertical="center"/>
    </xf>
    <xf numFmtId="191" fontId="22" fillId="0" borderId="16" xfId="1" applyNumberFormat="1" applyFont="1" applyFill="1" applyBorder="1" applyAlignment="1">
      <alignment horizontal="center" vertical="center"/>
    </xf>
    <xf numFmtId="189" fontId="16" fillId="0" borderId="6" xfId="0" applyNumberFormat="1" applyFont="1" applyBorder="1" applyAlignment="1">
      <alignment horizontal="center" vertical="center"/>
    </xf>
    <xf numFmtId="191" fontId="22" fillId="0" borderId="6" xfId="1" applyNumberFormat="1" applyFont="1" applyFill="1" applyBorder="1" applyAlignment="1">
      <alignment horizontal="center" vertical="center"/>
    </xf>
    <xf numFmtId="191" fontId="16" fillId="0" borderId="6" xfId="1" applyNumberFormat="1" applyFont="1" applyFill="1" applyBorder="1" applyAlignment="1">
      <alignment horizontal="center" vertical="center"/>
    </xf>
    <xf numFmtId="191" fontId="16" fillId="0" borderId="6" xfId="1" applyNumberFormat="1" applyFont="1" applyBorder="1" applyAlignment="1">
      <alignment horizontal="center" vertical="center"/>
    </xf>
    <xf numFmtId="3" fontId="20" fillId="0" borderId="1" xfId="1" applyNumberFormat="1" applyFont="1" applyFill="1" applyBorder="1" applyAlignment="1">
      <alignment horizontal="center" vertical="center"/>
    </xf>
    <xf numFmtId="3" fontId="22" fillId="0" borderId="1" xfId="1" applyNumberFormat="1" applyFont="1" applyFill="1" applyBorder="1" applyAlignment="1">
      <alignment horizontal="center" vertical="center"/>
    </xf>
    <xf numFmtId="191" fontId="104" fillId="0" borderId="0" xfId="1" applyNumberFormat="1" applyFont="1" applyFill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16" fillId="0" borderId="21" xfId="0" applyFont="1" applyBorder="1" applyAlignment="1">
      <alignment horizontal="left" vertical="center"/>
    </xf>
    <xf numFmtId="0" fontId="16" fillId="0" borderId="31" xfId="0" applyFont="1" applyBorder="1" applyAlignment="1">
      <alignment horizontal="left" vertical="center"/>
    </xf>
    <xf numFmtId="4" fontId="16" fillId="0" borderId="1" xfId="1" applyNumberFormat="1" applyFont="1" applyFill="1" applyBorder="1" applyAlignment="1">
      <alignment horizontal="right" vertical="center"/>
    </xf>
    <xf numFmtId="3" fontId="16" fillId="0" borderId="1" xfId="1" applyNumberFormat="1" applyFont="1" applyFill="1" applyBorder="1" applyAlignment="1">
      <alignment horizontal="right" vertical="center"/>
    </xf>
    <xf numFmtId="3" fontId="16" fillId="0" borderId="1" xfId="1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right" vertical="center"/>
    </xf>
    <xf numFmtId="0" fontId="27" fillId="0" borderId="0" xfId="0" applyFont="1" applyAlignment="1">
      <alignment vertical="center"/>
    </xf>
    <xf numFmtId="3" fontId="27" fillId="0" borderId="0" xfId="0" applyNumberFormat="1" applyFont="1" applyAlignment="1">
      <alignment vertical="center"/>
    </xf>
    <xf numFmtId="0" fontId="20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77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13" fillId="0" borderId="6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right" vertical="center"/>
    </xf>
    <xf numFmtId="189" fontId="22" fillId="0" borderId="0" xfId="0" applyNumberFormat="1" applyFont="1" applyBorder="1"/>
    <xf numFmtId="0" fontId="101" fillId="0" borderId="1" xfId="0" applyFont="1" applyFill="1" applyBorder="1" applyAlignment="1">
      <alignment horizontal="left" vertical="center" wrapText="1"/>
    </xf>
    <xf numFmtId="2" fontId="189" fillId="0" borderId="0" xfId="0" applyNumberFormat="1" applyFont="1"/>
    <xf numFmtId="0" fontId="189" fillId="0" borderId="0" xfId="0" applyFont="1"/>
    <xf numFmtId="0" fontId="189" fillId="0" borderId="0" xfId="0" applyFon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0" fontId="190" fillId="0" borderId="0" xfId="0" applyFont="1"/>
    <xf numFmtId="0" fontId="191" fillId="0" borderId="0" xfId="0" applyFont="1" applyAlignment="1">
      <alignment horizontal="center"/>
    </xf>
    <xf numFmtId="0" fontId="83" fillId="0" borderId="0" xfId="0" applyFont="1"/>
    <xf numFmtId="0" fontId="15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2" fontId="83" fillId="0" borderId="0" xfId="0" applyNumberFormat="1" applyFont="1"/>
    <xf numFmtId="0" fontId="83" fillId="0" borderId="0" xfId="0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17" fillId="0" borderId="1" xfId="0" applyFont="1" applyBorder="1" applyAlignment="1">
      <alignment horizontal="center" vertical="center" wrapText="1"/>
    </xf>
    <xf numFmtId="2" fontId="17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wrapText="1"/>
    </xf>
    <xf numFmtId="0" fontId="19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wrapText="1"/>
    </xf>
    <xf numFmtId="2" fontId="12" fillId="0" borderId="1" xfId="0" applyNumberFormat="1" applyFont="1" applyBorder="1" applyAlignment="1">
      <alignment horizontal="center" wrapText="1"/>
    </xf>
    <xf numFmtId="0" fontId="189" fillId="0" borderId="1" xfId="0" applyFont="1" applyBorder="1"/>
    <xf numFmtId="0" fontId="12" fillId="0" borderId="1" xfId="0" applyFont="1" applyBorder="1" applyAlignment="1">
      <alignment horizontal="center" vertical="top" wrapText="1"/>
    </xf>
    <xf numFmtId="0" fontId="12" fillId="13" borderId="68" xfId="0" applyFont="1" applyFill="1" applyBorder="1" applyAlignment="1">
      <alignment horizontal="left" shrinkToFit="1"/>
    </xf>
    <xf numFmtId="192" fontId="12" fillId="0" borderId="1" xfId="1" applyNumberFormat="1" applyFont="1" applyBorder="1" applyAlignment="1">
      <alignment horizontal="center" wrapText="1"/>
    </xf>
    <xf numFmtId="0" fontId="189" fillId="0" borderId="1" xfId="0" applyFont="1" applyBorder="1" applyAlignment="1">
      <alignment horizontal="center"/>
    </xf>
    <xf numFmtId="2" fontId="189" fillId="0" borderId="1" xfId="0" applyNumberFormat="1" applyFont="1" applyBorder="1" applyAlignment="1">
      <alignment horizontal="center"/>
    </xf>
    <xf numFmtId="192" fontId="189" fillId="0" borderId="1" xfId="1" applyNumberFormat="1" applyFont="1" applyBorder="1" applyAlignment="1">
      <alignment horizontal="center"/>
    </xf>
    <xf numFmtId="0" fontId="14" fillId="0" borderId="0" xfId="0" applyFont="1"/>
    <xf numFmtId="0" fontId="193" fillId="0" borderId="0" xfId="0" applyFont="1"/>
    <xf numFmtId="0" fontId="13" fillId="0" borderId="0" xfId="0" applyFont="1" applyAlignment="1">
      <alignment horizontal="left" indent="6"/>
    </xf>
    <xf numFmtId="0" fontId="15" fillId="0" borderId="0" xfId="0" applyFont="1" applyAlignment="1">
      <alignment horizontal="left" indent="6"/>
    </xf>
    <xf numFmtId="0" fontId="11" fillId="0" borderId="0" xfId="0" applyFont="1" applyAlignment="1">
      <alignment horizontal="left"/>
    </xf>
    <xf numFmtId="0" fontId="11" fillId="0" borderId="0" xfId="0" applyFont="1" applyAlignment="1"/>
    <xf numFmtId="0" fontId="145" fillId="13" borderId="68" xfId="0" applyNumberFormat="1" applyFont="1" applyFill="1" applyBorder="1" applyAlignment="1">
      <alignment horizontal="left" shrinkToFit="1"/>
    </xf>
    <xf numFmtId="0" fontId="39" fillId="13" borderId="68" xfId="0" applyFont="1" applyFill="1" applyBorder="1" applyAlignment="1">
      <alignment horizontal="left" shrinkToFit="1"/>
    </xf>
    <xf numFmtId="0" fontId="20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191" fontId="22" fillId="0" borderId="0" xfId="1" applyNumberFormat="1" applyFont="1" applyFill="1" applyAlignment="1">
      <alignment horizontal="center"/>
    </xf>
    <xf numFmtId="0" fontId="24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56" fillId="0" borderId="0" xfId="0" applyFont="1" applyFill="1" applyBorder="1" applyAlignment="1">
      <alignment horizontal="left" vertical="center"/>
    </xf>
    <xf numFmtId="3" fontId="11" fillId="0" borderId="0" xfId="0" applyNumberFormat="1" applyFont="1" applyFill="1" applyBorder="1" applyAlignment="1">
      <alignment vertical="center"/>
    </xf>
    <xf numFmtId="3" fontId="56" fillId="0" borderId="0" xfId="0" applyNumberFormat="1" applyFont="1" applyFill="1" applyBorder="1" applyAlignment="1">
      <alignment vertical="center"/>
    </xf>
    <xf numFmtId="0" fontId="58" fillId="0" borderId="0" xfId="0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2" fontId="58" fillId="0" borderId="0" xfId="0" applyNumberFormat="1" applyFont="1" applyFill="1" applyBorder="1" applyAlignment="1">
      <alignment horizontal="center" vertical="center"/>
    </xf>
    <xf numFmtId="197" fontId="30" fillId="0" borderId="0" xfId="0" applyNumberFormat="1" applyFont="1" applyFill="1" applyBorder="1" applyAlignment="1">
      <alignment horizontal="center" vertical="center"/>
    </xf>
    <xf numFmtId="197" fontId="58" fillId="0" borderId="0" xfId="0" applyNumberFormat="1" applyFont="1" applyFill="1" applyBorder="1" applyAlignment="1">
      <alignment horizontal="center" vertical="center"/>
    </xf>
    <xf numFmtId="0" fontId="197" fillId="0" borderId="0" xfId="0" applyFont="1"/>
    <xf numFmtId="0" fontId="179" fillId="0" borderId="1" xfId="0" quotePrefix="1" applyNumberFormat="1" applyFont="1" applyFill="1" applyBorder="1" applyAlignment="1">
      <alignment horizontal="center" vertical="center" wrapText="1"/>
    </xf>
    <xf numFmtId="2" fontId="179" fillId="0" borderId="1" xfId="0" quotePrefix="1" applyNumberFormat="1" applyFont="1" applyFill="1" applyBorder="1" applyAlignment="1">
      <alignment horizontal="center" vertical="center" wrapText="1"/>
    </xf>
    <xf numFmtId="197" fontId="179" fillId="0" borderId="1" xfId="0" quotePrefix="1" applyNumberFormat="1" applyFont="1" applyFill="1" applyBorder="1" applyAlignment="1">
      <alignment horizontal="center" vertical="center" wrapText="1"/>
    </xf>
    <xf numFmtId="0" fontId="199" fillId="0" borderId="16" xfId="0" applyFont="1" applyFill="1" applyBorder="1" applyAlignment="1">
      <alignment horizontal="center" vertical="center" wrapText="1"/>
    </xf>
    <xf numFmtId="0" fontId="199" fillId="0" borderId="16" xfId="0" applyFont="1" applyFill="1" applyBorder="1" applyAlignment="1">
      <alignment vertical="center" wrapText="1"/>
    </xf>
    <xf numFmtId="0" fontId="200" fillId="0" borderId="16" xfId="0" applyNumberFormat="1" applyFont="1" applyFill="1" applyBorder="1" applyAlignment="1">
      <alignment horizontal="center" vertical="center"/>
    </xf>
    <xf numFmtId="3" fontId="179" fillId="0" borderId="16" xfId="0" quotePrefix="1" applyNumberFormat="1" applyFont="1" applyFill="1" applyBorder="1" applyAlignment="1">
      <alignment horizontal="center" vertical="center"/>
    </xf>
    <xf numFmtId="2" fontId="179" fillId="0" borderId="16" xfId="0" quotePrefix="1" applyNumberFormat="1" applyFont="1" applyFill="1" applyBorder="1" applyAlignment="1">
      <alignment horizontal="center" vertical="center"/>
    </xf>
    <xf numFmtId="197" fontId="179" fillId="0" borderId="16" xfId="0" quotePrefix="1" applyNumberFormat="1" applyFont="1" applyFill="1" applyBorder="1" applyAlignment="1">
      <alignment horizontal="center" vertical="center"/>
    </xf>
    <xf numFmtId="197" fontId="179" fillId="0" borderId="16" xfId="10" applyNumberFormat="1" applyFont="1" applyFill="1" applyBorder="1" applyAlignment="1">
      <alignment horizontal="center" vertical="center" wrapText="1"/>
    </xf>
    <xf numFmtId="0" fontId="199" fillId="0" borderId="16" xfId="0" quotePrefix="1" applyNumberFormat="1" applyFont="1" applyFill="1" applyBorder="1" applyAlignment="1">
      <alignment horizontal="center" vertical="center"/>
    </xf>
    <xf numFmtId="0" fontId="199" fillId="0" borderId="6" xfId="0" applyFont="1" applyFill="1" applyBorder="1" applyAlignment="1">
      <alignment horizontal="center" vertical="center" wrapText="1"/>
    </xf>
    <xf numFmtId="0" fontId="199" fillId="0" borderId="6" xfId="0" applyFont="1" applyFill="1" applyBorder="1" applyAlignment="1">
      <alignment horizontal="left" vertical="center" wrapText="1"/>
    </xf>
    <xf numFmtId="0" fontId="200" fillId="0" borderId="6" xfId="0" applyFont="1" applyFill="1" applyBorder="1" applyAlignment="1">
      <alignment horizontal="left" vertical="center" wrapText="1"/>
    </xf>
    <xf numFmtId="0" fontId="179" fillId="0" borderId="6" xfId="0" applyFont="1" applyFill="1" applyBorder="1" applyAlignment="1">
      <alignment horizontal="center" vertical="center" wrapText="1"/>
    </xf>
    <xf numFmtId="2" fontId="179" fillId="0" borderId="6" xfId="0" applyNumberFormat="1" applyFont="1" applyFill="1" applyBorder="1" applyAlignment="1">
      <alignment horizontal="center" vertical="center" wrapText="1"/>
    </xf>
    <xf numFmtId="197" fontId="179" fillId="0" borderId="6" xfId="0" applyNumberFormat="1" applyFont="1" applyFill="1" applyBorder="1" applyAlignment="1">
      <alignment horizontal="center" vertical="center" wrapText="1"/>
    </xf>
    <xf numFmtId="197" fontId="179" fillId="0" borderId="6" xfId="10" applyNumberFormat="1" applyFont="1" applyFill="1" applyBorder="1" applyAlignment="1">
      <alignment horizontal="center" vertical="center" wrapText="1"/>
    </xf>
    <xf numFmtId="0" fontId="199" fillId="0" borderId="6" xfId="0" quotePrefix="1" applyNumberFormat="1" applyFont="1" applyFill="1" applyBorder="1" applyAlignment="1">
      <alignment horizontal="center" vertical="center" wrapText="1"/>
    </xf>
    <xf numFmtId="0" fontId="201" fillId="0" borderId="6" xfId="0" applyFont="1" applyFill="1" applyBorder="1" applyAlignment="1">
      <alignment horizontal="center" vertical="center" wrapText="1"/>
    </xf>
    <xf numFmtId="0" fontId="201" fillId="0" borderId="6" xfId="0" applyFont="1" applyFill="1" applyBorder="1" applyAlignment="1">
      <alignment horizontal="left" vertical="center" wrapText="1"/>
    </xf>
    <xf numFmtId="0" fontId="202" fillId="0" borderId="6" xfId="0" applyFont="1" applyFill="1" applyBorder="1" applyAlignment="1">
      <alignment horizontal="center" vertical="center" wrapText="1"/>
    </xf>
    <xf numFmtId="195" fontId="201" fillId="0" borderId="6" xfId="0" quotePrefix="1" applyNumberFormat="1" applyFont="1" applyFill="1" applyBorder="1" applyAlignment="1">
      <alignment horizontal="center" vertical="center" wrapText="1"/>
    </xf>
    <xf numFmtId="197" fontId="181" fillId="0" borderId="6" xfId="0" applyNumberFormat="1" applyFont="1" applyFill="1" applyBorder="1" applyAlignment="1">
      <alignment horizontal="center" vertical="center" wrapText="1"/>
    </xf>
    <xf numFmtId="0" fontId="201" fillId="0" borderId="6" xfId="0" quotePrefix="1" applyNumberFormat="1" applyFont="1" applyFill="1" applyBorder="1" applyAlignment="1">
      <alignment horizontal="center" vertical="center" wrapText="1"/>
    </xf>
    <xf numFmtId="0" fontId="200" fillId="0" borderId="6" xfId="0" applyFont="1" applyFill="1" applyBorder="1" applyAlignment="1">
      <alignment horizontal="center" vertical="center" wrapText="1"/>
    </xf>
    <xf numFmtId="0" fontId="202" fillId="0" borderId="6" xfId="0" applyNumberFormat="1" applyFont="1" applyFill="1" applyBorder="1" applyAlignment="1">
      <alignment horizontal="center" vertical="center"/>
    </xf>
    <xf numFmtId="197" fontId="180" fillId="0" borderId="6" xfId="10" applyNumberFormat="1" applyFont="1" applyFill="1" applyBorder="1" applyAlignment="1">
      <alignment horizontal="center" vertical="center"/>
    </xf>
    <xf numFmtId="3" fontId="199" fillId="0" borderId="6" xfId="0" applyNumberFormat="1" applyFont="1" applyFill="1" applyBorder="1" applyAlignment="1">
      <alignment horizontal="center" vertical="center" wrapText="1"/>
    </xf>
    <xf numFmtId="0" fontId="199" fillId="0" borderId="6" xfId="0" applyFont="1" applyFill="1" applyBorder="1" applyAlignment="1">
      <alignment vertical="center" wrapText="1"/>
    </xf>
    <xf numFmtId="0" fontId="180" fillId="0" borderId="6" xfId="0" applyNumberFormat="1" applyFont="1" applyFill="1" applyBorder="1" applyAlignment="1">
      <alignment horizontal="center" vertical="center"/>
    </xf>
    <xf numFmtId="3" fontId="179" fillId="0" borderId="6" xfId="0" quotePrefix="1" applyNumberFormat="1" applyFont="1" applyFill="1" applyBorder="1" applyAlignment="1">
      <alignment horizontal="left" vertical="center"/>
    </xf>
    <xf numFmtId="3" fontId="180" fillId="0" borderId="6" xfId="0" quotePrefix="1" applyNumberFormat="1" applyFont="1" applyFill="1" applyBorder="1" applyAlignment="1">
      <alignment horizontal="left" vertical="center"/>
    </xf>
    <xf numFmtId="197" fontId="179" fillId="0" borderId="6" xfId="0" quotePrefix="1" applyNumberFormat="1" applyFont="1" applyFill="1" applyBorder="1" applyAlignment="1">
      <alignment horizontal="center" vertical="center"/>
    </xf>
    <xf numFmtId="3" fontId="180" fillId="0" borderId="6" xfId="0" quotePrefix="1" applyNumberFormat="1" applyFont="1" applyFill="1" applyBorder="1" applyAlignment="1">
      <alignment horizontal="center" vertical="center"/>
    </xf>
    <xf numFmtId="197" fontId="179" fillId="0" borderId="6" xfId="10" applyNumberFormat="1" applyFont="1" applyFill="1" applyBorder="1" applyAlignment="1">
      <alignment horizontal="center" vertical="center"/>
    </xf>
    <xf numFmtId="0" fontId="203" fillId="0" borderId="0" xfId="0" applyFont="1"/>
    <xf numFmtId="3" fontId="201" fillId="0" borderId="6" xfId="0" applyNumberFormat="1" applyFont="1" applyFill="1" applyBorder="1" applyAlignment="1">
      <alignment horizontal="center" vertical="center" wrapText="1"/>
    </xf>
    <xf numFmtId="1" fontId="182" fillId="7" borderId="6" xfId="10" applyNumberFormat="1" applyFont="1" applyFill="1" applyBorder="1" applyAlignment="1">
      <alignment horizontal="center" vertical="center"/>
    </xf>
    <xf numFmtId="4" fontId="180" fillId="7" borderId="6" xfId="273" applyNumberFormat="1" applyFont="1" applyFill="1" applyBorder="1" applyAlignment="1">
      <alignment horizontal="center" vertical="center"/>
    </xf>
    <xf numFmtId="1" fontId="182" fillId="7" borderId="6" xfId="273" applyNumberFormat="1" applyFont="1" applyFill="1" applyBorder="1" applyAlignment="1">
      <alignment horizontal="center" vertical="center"/>
    </xf>
    <xf numFmtId="4" fontId="204" fillId="7" borderId="6" xfId="273" applyNumberFormat="1" applyFont="1" applyFill="1" applyBorder="1" applyAlignment="1">
      <alignment horizontal="center" vertical="center"/>
    </xf>
    <xf numFmtId="195" fontId="201" fillId="0" borderId="6" xfId="10" applyNumberFormat="1" applyFont="1" applyFill="1" applyBorder="1" applyAlignment="1">
      <alignment horizontal="center" vertical="center" wrapText="1"/>
    </xf>
    <xf numFmtId="4" fontId="197" fillId="0" borderId="0" xfId="0" applyNumberFormat="1" applyFont="1"/>
    <xf numFmtId="0" fontId="201" fillId="0" borderId="23" xfId="0" applyFont="1" applyFill="1" applyBorder="1" applyAlignment="1">
      <alignment vertical="center" wrapText="1"/>
    </xf>
    <xf numFmtId="4" fontId="101" fillId="0" borderId="18" xfId="305" applyNumberFormat="1" applyFont="1" applyFill="1" applyBorder="1" applyAlignment="1">
      <alignment horizontal="center" vertical="center" wrapText="1"/>
    </xf>
    <xf numFmtId="2" fontId="204" fillId="0" borderId="6" xfId="0" quotePrefix="1" applyNumberFormat="1" applyFont="1" applyFill="1" applyBorder="1" applyAlignment="1">
      <alignment horizontal="center" vertical="center"/>
    </xf>
    <xf numFmtId="1" fontId="179" fillId="7" borderId="6" xfId="10" applyNumberFormat="1" applyFont="1" applyFill="1" applyBorder="1" applyAlignment="1">
      <alignment horizontal="center" vertical="center"/>
    </xf>
    <xf numFmtId="1" fontId="181" fillId="7" borderId="6" xfId="10" applyNumberFormat="1" applyFont="1" applyFill="1" applyBorder="1" applyAlignment="1">
      <alignment horizontal="center" vertical="center"/>
    </xf>
    <xf numFmtId="1" fontId="204" fillId="7" borderId="6" xfId="10" applyNumberFormat="1" applyFont="1" applyFill="1" applyBorder="1" applyAlignment="1">
      <alignment horizontal="center" vertical="center"/>
    </xf>
    <xf numFmtId="1" fontId="204" fillId="7" borderId="6" xfId="273" applyNumberFormat="1" applyFont="1" applyFill="1" applyBorder="1" applyAlignment="1">
      <alignment horizontal="center" vertical="center"/>
    </xf>
    <xf numFmtId="0" fontId="179" fillId="0" borderId="6" xfId="0" applyNumberFormat="1" applyFont="1" applyFill="1" applyBorder="1" applyAlignment="1">
      <alignment horizontal="center" vertical="center"/>
    </xf>
    <xf numFmtId="1" fontId="182" fillId="7" borderId="6" xfId="273" applyNumberFormat="1" applyFont="1" applyFill="1" applyBorder="1" applyAlignment="1">
      <alignment horizontal="center" vertical="center" wrapText="1"/>
    </xf>
    <xf numFmtId="0" fontId="199" fillId="7" borderId="6" xfId="273" applyFont="1" applyFill="1" applyBorder="1" applyAlignment="1">
      <alignment vertical="center"/>
    </xf>
    <xf numFmtId="0" fontId="200" fillId="0" borderId="6" xfId="0" applyNumberFormat="1" applyFont="1" applyFill="1" applyBorder="1" applyAlignment="1">
      <alignment horizontal="center" vertical="center"/>
    </xf>
    <xf numFmtId="3" fontId="179" fillId="0" borderId="6" xfId="0" quotePrefix="1" applyNumberFormat="1" applyFont="1" applyFill="1" applyBorder="1" applyAlignment="1">
      <alignment horizontal="center" vertical="center"/>
    </xf>
    <xf numFmtId="0" fontId="199" fillId="0" borderId="6" xfId="0" quotePrefix="1" applyNumberFormat="1" applyFont="1" applyFill="1" applyBorder="1" applyAlignment="1">
      <alignment horizontal="center" vertical="center"/>
    </xf>
    <xf numFmtId="0" fontId="201" fillId="0" borderId="6" xfId="0" applyFont="1" applyFill="1" applyBorder="1" applyAlignment="1">
      <alignment vertical="center" wrapText="1"/>
    </xf>
    <xf numFmtId="4" fontId="179" fillId="0" borderId="6" xfId="0" applyNumberFormat="1" applyFont="1" applyFill="1" applyBorder="1" applyAlignment="1">
      <alignment horizontal="center" vertical="center"/>
    </xf>
    <xf numFmtId="2" fontId="180" fillId="0" borderId="6" xfId="0" applyNumberFormat="1" applyFont="1" applyFill="1" applyBorder="1" applyAlignment="1">
      <alignment horizontal="center" vertical="center"/>
    </xf>
    <xf numFmtId="197" fontId="179" fillId="0" borderId="6" xfId="0" applyNumberFormat="1" applyFont="1" applyFill="1" applyBorder="1" applyAlignment="1">
      <alignment vertical="center"/>
    </xf>
    <xf numFmtId="3" fontId="180" fillId="0" borderId="6" xfId="0" applyNumberFormat="1" applyFont="1" applyFill="1" applyBorder="1" applyAlignment="1">
      <alignment horizontal="center" vertical="center"/>
    </xf>
    <xf numFmtId="197" fontId="180" fillId="0" borderId="6" xfId="0" applyNumberFormat="1" applyFont="1" applyFill="1" applyBorder="1" applyAlignment="1">
      <alignment horizontal="center" vertical="center"/>
    </xf>
    <xf numFmtId="0" fontId="201" fillId="0" borderId="6" xfId="0" quotePrefix="1" applyNumberFormat="1" applyFont="1" applyFill="1" applyBorder="1" applyAlignment="1">
      <alignment horizontal="center" vertical="center"/>
    </xf>
    <xf numFmtId="0" fontId="179" fillId="0" borderId="17" xfId="0" quotePrefix="1" applyNumberFormat="1" applyFont="1" applyFill="1" applyBorder="1" applyAlignment="1">
      <alignment horizontal="center" vertical="center" wrapText="1"/>
    </xf>
    <xf numFmtId="2" fontId="179" fillId="0" borderId="17" xfId="0" quotePrefix="1" applyNumberFormat="1" applyFont="1" applyFill="1" applyBorder="1" applyAlignment="1">
      <alignment horizontal="center" vertical="center" wrapText="1"/>
    </xf>
    <xf numFmtId="197" fontId="179" fillId="0" borderId="17" xfId="0" quotePrefix="1" applyNumberFormat="1" applyFont="1" applyFill="1" applyBorder="1" applyAlignment="1">
      <alignment horizontal="center" vertical="center" wrapText="1"/>
    </xf>
    <xf numFmtId="197" fontId="179" fillId="0" borderId="17" xfId="10" applyNumberFormat="1" applyFont="1" applyFill="1" applyBorder="1" applyAlignment="1">
      <alignment horizontal="center" vertical="center" wrapText="1"/>
    </xf>
    <xf numFmtId="0" fontId="199" fillId="0" borderId="17" xfId="0" quotePrefix="1" applyNumberFormat="1" applyFont="1" applyFill="1" applyBorder="1" applyAlignment="1">
      <alignment horizontal="center" vertical="center" wrapText="1"/>
    </xf>
    <xf numFmtId="0" fontId="180" fillId="0" borderId="0" xfId="0" applyFont="1" applyFill="1" applyBorder="1" applyAlignment="1">
      <alignment horizontal="center" vertical="center"/>
    </xf>
    <xf numFmtId="0" fontId="179" fillId="0" borderId="0" xfId="0" applyFont="1" applyFill="1" applyAlignment="1">
      <alignment vertical="center"/>
    </xf>
    <xf numFmtId="0" fontId="205" fillId="0" borderId="0" xfId="0" applyFont="1" applyFill="1" applyBorder="1" applyAlignment="1">
      <alignment vertical="center"/>
    </xf>
    <xf numFmtId="0" fontId="183" fillId="0" borderId="0" xfId="0" applyFont="1" applyFill="1" applyBorder="1" applyAlignment="1">
      <alignment horizontal="center" vertical="center"/>
    </xf>
    <xf numFmtId="0" fontId="198" fillId="0" borderId="0" xfId="0" applyFont="1" applyFill="1" applyBorder="1" applyAlignment="1">
      <alignment vertical="center"/>
    </xf>
    <xf numFmtId="0" fontId="183" fillId="0" borderId="0" xfId="0" applyFont="1" applyFill="1" applyBorder="1" applyAlignment="1">
      <alignment vertical="center"/>
    </xf>
    <xf numFmtId="0" fontId="179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center"/>
    </xf>
    <xf numFmtId="0" fontId="11" fillId="0" borderId="0" xfId="0" applyFont="1" applyFill="1" applyAlignment="1">
      <alignment vertical="center"/>
    </xf>
    <xf numFmtId="0" fontId="56" fillId="0" borderId="0" xfId="0" applyFont="1" applyFill="1" applyAlignment="1">
      <alignment vertical="center"/>
    </xf>
    <xf numFmtId="4" fontId="56" fillId="0" borderId="0" xfId="0" applyNumberFormat="1" applyFont="1" applyFill="1" applyAlignment="1">
      <alignment vertical="center"/>
    </xf>
    <xf numFmtId="197" fontId="56" fillId="0" borderId="0" xfId="0" applyNumberFormat="1" applyFont="1" applyFill="1" applyAlignment="1">
      <alignment vertical="center"/>
    </xf>
    <xf numFmtId="3" fontId="11" fillId="0" borderId="0" xfId="0" applyNumberFormat="1" applyFont="1" applyFill="1" applyAlignment="1">
      <alignment vertical="center"/>
    </xf>
    <xf numFmtId="0" fontId="56" fillId="0" borderId="0" xfId="0" applyFont="1" applyFill="1" applyBorder="1" applyAlignment="1">
      <alignment vertical="center"/>
    </xf>
    <xf numFmtId="3" fontId="13" fillId="0" borderId="0" xfId="0" applyNumberFormat="1" applyFont="1" applyFill="1" applyBorder="1" applyAlignment="1">
      <alignment vertical="center"/>
    </xf>
    <xf numFmtId="197" fontId="56" fillId="0" borderId="0" xfId="0" applyNumberFormat="1" applyFont="1" applyFill="1" applyBorder="1" applyAlignment="1">
      <alignment vertical="center"/>
    </xf>
    <xf numFmtId="197" fontId="13" fillId="0" borderId="0" xfId="0" applyNumberFormat="1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vertical="center"/>
    </xf>
    <xf numFmtId="0" fontId="79" fillId="0" borderId="0" xfId="0" applyFont="1" applyFill="1" applyBorder="1" applyAlignment="1">
      <alignment vertical="center"/>
    </xf>
    <xf numFmtId="0" fontId="11" fillId="0" borderId="0" xfId="0" applyFont="1" applyFill="1" applyAlignment="1">
      <alignment horizontal="center"/>
    </xf>
    <xf numFmtId="0" fontId="11" fillId="0" borderId="0" xfId="0" applyFont="1" applyFill="1" applyAlignment="1"/>
    <xf numFmtId="0" fontId="10" fillId="0" borderId="0" xfId="0" applyFont="1" applyFill="1" applyBorder="1" applyAlignment="1">
      <alignment horizontal="center"/>
    </xf>
    <xf numFmtId="0" fontId="2" fillId="0" borderId="0" xfId="0" applyFont="1" applyFill="1" applyBorder="1"/>
    <xf numFmtId="0" fontId="11" fillId="0" borderId="0" xfId="0" applyFont="1" applyFill="1" applyBorder="1"/>
    <xf numFmtId="0" fontId="11" fillId="0" borderId="0" xfId="0" applyFont="1" applyFill="1" applyBorder="1" applyAlignment="1">
      <alignment horizontal="center"/>
    </xf>
    <xf numFmtId="0" fontId="56" fillId="0" borderId="0" xfId="0" applyFont="1" applyFill="1" applyBorder="1" applyAlignment="1">
      <alignment horizontal="left"/>
    </xf>
    <xf numFmtId="3" fontId="13" fillId="0" borderId="0" xfId="0" applyNumberFormat="1" applyFont="1" applyFill="1" applyBorder="1"/>
    <xf numFmtId="3" fontId="56" fillId="0" borderId="0" xfId="0" applyNumberFormat="1" applyFont="1" applyFill="1" applyBorder="1"/>
    <xf numFmtId="197" fontId="56" fillId="0" borderId="0" xfId="0" applyNumberFormat="1" applyFont="1" applyFill="1" applyBorder="1"/>
    <xf numFmtId="0" fontId="10" fillId="0" borderId="0" xfId="0" applyFont="1" applyFill="1" applyBorder="1" applyAlignment="1">
      <alignment horizontal="center" vertical="center"/>
    </xf>
    <xf numFmtId="43" fontId="13" fillId="0" borderId="22" xfId="1" applyNumberFormat="1" applyFont="1" applyBorder="1" applyAlignment="1">
      <alignment horizontal="right" vertical="center" shrinkToFit="1"/>
    </xf>
    <xf numFmtId="0" fontId="127" fillId="0" borderId="0" xfId="0" applyFont="1"/>
    <xf numFmtId="192" fontId="129" fillId="0" borderId="0" xfId="1" applyNumberFormat="1" applyFont="1" applyFill="1" applyBorder="1" applyAlignment="1">
      <alignment horizontal="right" vertical="center" shrinkToFit="1"/>
    </xf>
    <xf numFmtId="188" fontId="127" fillId="0" borderId="0" xfId="0" applyNumberFormat="1" applyFont="1"/>
    <xf numFmtId="192" fontId="127" fillId="0" borderId="0" xfId="1" applyNumberFormat="1" applyFont="1" applyFill="1"/>
    <xf numFmtId="212" fontId="127" fillId="0" borderId="0" xfId="1" applyNumberFormat="1" applyFont="1" applyFill="1"/>
    <xf numFmtId="0" fontId="22" fillId="0" borderId="0" xfId="0" applyFont="1" applyAlignment="1">
      <alignment horizontal="center" vertical="center"/>
    </xf>
    <xf numFmtId="191" fontId="20" fillId="0" borderId="0" xfId="1" applyNumberFormat="1" applyFont="1" applyFill="1" applyAlignment="1">
      <alignment vertical="center"/>
    </xf>
    <xf numFmtId="191" fontId="20" fillId="0" borderId="1" xfId="1" applyNumberFormat="1" applyFont="1" applyFill="1" applyBorder="1" applyAlignment="1">
      <alignment vertical="center"/>
    </xf>
    <xf numFmtId="0" fontId="23" fillId="0" borderId="0" xfId="0" applyFont="1" applyAlignment="1"/>
    <xf numFmtId="0" fontId="124" fillId="7" borderId="0" xfId="0" applyFont="1" applyFill="1" applyAlignment="1">
      <alignment vertical="center"/>
    </xf>
    <xf numFmtId="0" fontId="93" fillId="0" borderId="0" xfId="0" applyFont="1" applyAlignment="1">
      <alignment vertical="center"/>
    </xf>
    <xf numFmtId="43" fontId="93" fillId="0" borderId="0" xfId="1" applyFont="1" applyFill="1" applyBorder="1" applyAlignment="1">
      <alignment vertical="center"/>
    </xf>
    <xf numFmtId="205" fontId="93" fillId="0" borderId="0" xfId="0" applyNumberFormat="1" applyFont="1" applyAlignment="1">
      <alignment vertical="center"/>
    </xf>
    <xf numFmtId="0" fontId="106" fillId="0" borderId="0" xfId="0" applyFont="1" applyAlignment="1">
      <alignment vertical="center"/>
    </xf>
    <xf numFmtId="44" fontId="93" fillId="0" borderId="0" xfId="288" applyFont="1" applyFill="1" applyBorder="1" applyAlignment="1">
      <alignment vertical="center"/>
    </xf>
    <xf numFmtId="0" fontId="93" fillId="7" borderId="0" xfId="0" applyFont="1" applyFill="1" applyAlignment="1"/>
    <xf numFmtId="192" fontId="16" fillId="0" borderId="6" xfId="0" applyNumberFormat="1" applyFont="1" applyBorder="1" applyAlignment="1">
      <alignment horizontal="center" vertical="center"/>
    </xf>
    <xf numFmtId="3" fontId="16" fillId="0" borderId="0" xfId="0" applyNumberFormat="1" applyFont="1" applyAlignment="1">
      <alignment horizontal="center" vertical="center"/>
    </xf>
    <xf numFmtId="0" fontId="22" fillId="0" borderId="1" xfId="0" applyFont="1" applyBorder="1" applyAlignment="1">
      <alignment horizontal="right" vertical="center"/>
    </xf>
    <xf numFmtId="191" fontId="22" fillId="0" borderId="1" xfId="1" applyNumberFormat="1" applyFont="1" applyBorder="1" applyAlignment="1">
      <alignment horizontal="right" vertical="center"/>
    </xf>
    <xf numFmtId="0" fontId="66" fillId="7" borderId="0" xfId="255" applyFont="1" applyFill="1" applyAlignment="1">
      <alignment vertical="center"/>
    </xf>
    <xf numFmtId="0" fontId="97" fillId="7" borderId="0" xfId="255" applyFont="1" applyFill="1" applyAlignment="1">
      <alignment vertical="center"/>
    </xf>
    <xf numFmtId="0" fontId="13" fillId="0" borderId="0" xfId="274" applyFont="1" applyFill="1" applyBorder="1" applyAlignment="1"/>
    <xf numFmtId="0" fontId="13" fillId="0" borderId="0" xfId="274" applyFont="1" applyFill="1" applyBorder="1"/>
    <xf numFmtId="0" fontId="8" fillId="0" borderId="0" xfId="274" applyFont="1" applyFill="1" applyBorder="1"/>
    <xf numFmtId="0" fontId="11" fillId="0" borderId="0" xfId="274" applyFont="1" applyFill="1" applyBorder="1" applyAlignment="1">
      <alignment horizontal="center"/>
    </xf>
    <xf numFmtId="0" fontId="146" fillId="0" borderId="0" xfId="0" applyFont="1" applyFill="1"/>
    <xf numFmtId="0" fontId="115" fillId="0" borderId="0" xfId="274" applyFont="1" applyFill="1" applyBorder="1"/>
    <xf numFmtId="0" fontId="21" fillId="0" borderId="8" xfId="274" applyFont="1" applyFill="1" applyBorder="1" applyAlignment="1">
      <alignment horizontal="center" vertical="center" wrapText="1"/>
    </xf>
    <xf numFmtId="0" fontId="21" fillId="0" borderId="8" xfId="274" applyFont="1" applyFill="1" applyBorder="1" applyAlignment="1">
      <alignment vertical="center" wrapText="1"/>
    </xf>
    <xf numFmtId="0" fontId="115" fillId="0" borderId="0" xfId="274" applyFont="1" applyFill="1" applyBorder="1" applyAlignment="1">
      <alignment vertical="center"/>
    </xf>
    <xf numFmtId="0" fontId="21" fillId="0" borderId="8" xfId="274" applyFont="1" applyFill="1" applyBorder="1" applyAlignment="1">
      <alignment horizontal="center"/>
    </xf>
    <xf numFmtId="0" fontId="22" fillId="0" borderId="8" xfId="274" quotePrefix="1" applyFont="1" applyFill="1" applyBorder="1" applyAlignment="1">
      <alignment horizontal="center" vertical="center" wrapText="1"/>
    </xf>
    <xf numFmtId="0" fontId="21" fillId="0" borderId="42" xfId="274" applyFont="1" applyFill="1" applyBorder="1" applyAlignment="1">
      <alignment horizontal="center" vertical="center" wrapText="1"/>
    </xf>
    <xf numFmtId="0" fontId="10" fillId="0" borderId="0" xfId="274" applyFont="1" applyFill="1" applyBorder="1"/>
    <xf numFmtId="0" fontId="11" fillId="0" borderId="0" xfId="274" applyFont="1" applyFill="1" applyBorder="1" applyAlignment="1"/>
    <xf numFmtId="0" fontId="10" fillId="0" borderId="1" xfId="274" applyFont="1" applyFill="1" applyBorder="1" applyAlignment="1">
      <alignment horizontal="center"/>
    </xf>
    <xf numFmtId="0" fontId="2" fillId="0" borderId="1" xfId="274" applyFont="1" applyFill="1" applyBorder="1" applyAlignment="1">
      <alignment horizontal="center"/>
    </xf>
    <xf numFmtId="0" fontId="208" fillId="0" borderId="0" xfId="274" applyFont="1" applyFill="1" applyBorder="1"/>
    <xf numFmtId="0" fontId="209" fillId="0" borderId="0" xfId="274" applyFont="1" applyFill="1" applyBorder="1"/>
    <xf numFmtId="0" fontId="10" fillId="0" borderId="0" xfId="274" applyFont="1" applyFill="1" applyBorder="1" applyAlignment="1"/>
    <xf numFmtId="0" fontId="21" fillId="0" borderId="9" xfId="274" applyFont="1" applyFill="1" applyBorder="1" applyAlignment="1">
      <alignment horizontal="center" vertical="center" wrapText="1"/>
    </xf>
    <xf numFmtId="0" fontId="22" fillId="0" borderId="10" xfId="274" quotePrefix="1" applyFont="1" applyFill="1" applyBorder="1" applyAlignment="1">
      <alignment horizontal="center" vertical="center" wrapText="1"/>
    </xf>
    <xf numFmtId="0" fontId="27" fillId="7" borderId="0" xfId="274" applyFont="1" applyFill="1" applyBorder="1" applyAlignment="1">
      <alignment vertical="center" wrapText="1"/>
    </xf>
    <xf numFmtId="0" fontId="8" fillId="0" borderId="0" xfId="274" applyFont="1" applyFill="1" applyBorder="1" applyAlignment="1"/>
    <xf numFmtId="0" fontId="21" fillId="0" borderId="10" xfId="274" applyFont="1" applyFill="1" applyBorder="1" applyAlignment="1">
      <alignment horizontal="center"/>
    </xf>
    <xf numFmtId="0" fontId="21" fillId="0" borderId="40" xfId="274" applyFont="1" applyFill="1" applyBorder="1" applyAlignment="1">
      <alignment horizontal="center"/>
    </xf>
    <xf numFmtId="0" fontId="22" fillId="0" borderId="40" xfId="274" quotePrefix="1" applyFont="1" applyFill="1" applyBorder="1" applyAlignment="1">
      <alignment horizontal="center" vertical="center" wrapText="1"/>
    </xf>
    <xf numFmtId="0" fontId="21" fillId="0" borderId="39" xfId="274" applyFont="1" applyFill="1" applyBorder="1" applyAlignment="1">
      <alignment horizontal="center"/>
    </xf>
    <xf numFmtId="0" fontId="22" fillId="0" borderId="39" xfId="274" quotePrefix="1" applyFont="1" applyFill="1" applyBorder="1" applyAlignment="1">
      <alignment horizontal="center" vertical="center" wrapText="1"/>
    </xf>
    <xf numFmtId="0" fontId="21" fillId="0" borderId="9" xfId="274" applyFont="1" applyFill="1" applyBorder="1" applyAlignment="1">
      <alignment horizontal="center"/>
    </xf>
    <xf numFmtId="0" fontId="127" fillId="0" borderId="9" xfId="274" quotePrefix="1" applyFont="1" applyFill="1" applyBorder="1" applyAlignment="1">
      <alignment horizontal="center" vertical="center" wrapText="1"/>
    </xf>
    <xf numFmtId="0" fontId="20" fillId="0" borderId="40" xfId="274" applyFont="1" applyFill="1" applyBorder="1" applyAlignment="1">
      <alignment horizontal="center" vertical="center" wrapText="1"/>
    </xf>
    <xf numFmtId="0" fontId="20" fillId="0" borderId="40" xfId="305" applyFont="1" applyFill="1" applyBorder="1" applyAlignment="1">
      <alignment horizontal="center" vertical="center"/>
    </xf>
    <xf numFmtId="0" fontId="77" fillId="0" borderId="40" xfId="274" applyFont="1" applyFill="1" applyBorder="1" applyAlignment="1">
      <alignment vertical="center" wrapText="1"/>
    </xf>
    <xf numFmtId="0" fontId="77" fillId="0" borderId="40" xfId="274" applyFont="1" applyFill="1" applyBorder="1" applyAlignment="1">
      <alignment vertical="center"/>
    </xf>
    <xf numFmtId="0" fontId="77" fillId="0" borderId="40" xfId="274" applyFont="1" applyFill="1" applyBorder="1" applyAlignment="1">
      <alignment horizontal="center" vertical="center" wrapText="1"/>
    </xf>
    <xf numFmtId="0" fontId="77" fillId="0" borderId="40" xfId="305" applyFont="1" applyFill="1" applyBorder="1" applyAlignment="1">
      <alignment horizontal="center" vertical="center" wrapText="1"/>
    </xf>
    <xf numFmtId="0" fontId="206" fillId="0" borderId="40" xfId="305" applyFont="1" applyFill="1" applyBorder="1" applyAlignment="1">
      <alignment horizontal="center" vertical="center"/>
    </xf>
    <xf numFmtId="0" fontId="101" fillId="0" borderId="74" xfId="274" applyFont="1" applyFill="1" applyBorder="1" applyAlignment="1">
      <alignment horizontal="center" vertical="center" wrapText="1"/>
    </xf>
    <xf numFmtId="0" fontId="127" fillId="0" borderId="75" xfId="274" quotePrefix="1" applyFont="1" applyFill="1" applyBorder="1" applyAlignment="1">
      <alignment horizontal="center" vertical="center" wrapText="1"/>
    </xf>
    <xf numFmtId="0" fontId="22" fillId="0" borderId="72" xfId="274" quotePrefix="1" applyFont="1" applyFill="1" applyBorder="1" applyAlignment="1">
      <alignment horizontal="center" vertical="center" wrapText="1"/>
    </xf>
    <xf numFmtId="0" fontId="22" fillId="0" borderId="73" xfId="274" quotePrefix="1" applyFont="1" applyFill="1" applyBorder="1" applyAlignment="1">
      <alignment horizontal="center" vertical="center" wrapText="1"/>
    </xf>
    <xf numFmtId="0" fontId="22" fillId="0" borderId="74" xfId="274" quotePrefix="1" applyFont="1" applyFill="1" applyBorder="1" applyAlignment="1">
      <alignment horizontal="center" vertical="center" wrapText="1"/>
    </xf>
    <xf numFmtId="0" fontId="22" fillId="0" borderId="58" xfId="274" quotePrefix="1" applyFont="1" applyFill="1" applyBorder="1" applyAlignment="1">
      <alignment horizontal="center" vertical="center" wrapText="1"/>
    </xf>
    <xf numFmtId="0" fontId="22" fillId="0" borderId="38" xfId="274" quotePrefix="1" applyFont="1" applyFill="1" applyBorder="1" applyAlignment="1">
      <alignment horizontal="center" vertical="center" wrapText="1"/>
    </xf>
    <xf numFmtId="0" fontId="22" fillId="0" borderId="51" xfId="274" quotePrefix="1" applyFont="1" applyFill="1" applyBorder="1" applyAlignment="1">
      <alignment horizontal="center" vertical="center" wrapText="1"/>
    </xf>
    <xf numFmtId="0" fontId="21" fillId="0" borderId="77" xfId="274" applyFont="1" applyFill="1" applyBorder="1" applyAlignment="1">
      <alignment horizontal="center"/>
    </xf>
    <xf numFmtId="0" fontId="21" fillId="0" borderId="49" xfId="274" applyFont="1" applyFill="1" applyBorder="1" applyAlignment="1">
      <alignment horizontal="center"/>
    </xf>
    <xf numFmtId="0" fontId="21" fillId="0" borderId="78" xfId="274" applyFont="1" applyFill="1" applyBorder="1" applyAlignment="1">
      <alignment horizontal="center"/>
    </xf>
    <xf numFmtId="0" fontId="21" fillId="0" borderId="76" xfId="274" applyFont="1" applyFill="1" applyBorder="1" applyAlignment="1">
      <alignment horizontal="center"/>
    </xf>
    <xf numFmtId="0" fontId="21" fillId="0" borderId="48" xfId="274" applyFont="1" applyFill="1" applyBorder="1" applyAlignment="1">
      <alignment horizontal="center"/>
    </xf>
    <xf numFmtId="0" fontId="127" fillId="0" borderId="48" xfId="274" quotePrefix="1" applyFont="1" applyFill="1" applyBorder="1" applyAlignment="1">
      <alignment horizontal="center" vertical="center" wrapText="1"/>
    </xf>
    <xf numFmtId="0" fontId="127" fillId="0" borderId="81" xfId="274" quotePrefix="1" applyFont="1" applyFill="1" applyBorder="1" applyAlignment="1">
      <alignment horizontal="center" vertical="center" wrapText="1"/>
    </xf>
    <xf numFmtId="0" fontId="34" fillId="7" borderId="0" xfId="255" applyFont="1" applyFill="1" applyAlignment="1"/>
    <xf numFmtId="0" fontId="16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10" fillId="0" borderId="0" xfId="255" applyFont="1" applyAlignment="1">
      <alignment horizontal="left"/>
    </xf>
    <xf numFmtId="0" fontId="210" fillId="0" borderId="0" xfId="255" applyFont="1"/>
    <xf numFmtId="0" fontId="114" fillId="0" borderId="0" xfId="255" applyFont="1"/>
    <xf numFmtId="0" fontId="114" fillId="0" borderId="1" xfId="255" applyFont="1" applyBorder="1"/>
    <xf numFmtId="0" fontId="114" fillId="0" borderId="1" xfId="255" applyFont="1" applyBorder="1" applyAlignment="1">
      <alignment horizontal="center"/>
    </xf>
    <xf numFmtId="225" fontId="114" fillId="0" borderId="1" xfId="1" applyNumberFormat="1" applyFont="1" applyBorder="1"/>
    <xf numFmtId="225" fontId="114" fillId="0" borderId="0" xfId="255" applyNumberFormat="1" applyFont="1"/>
    <xf numFmtId="0" fontId="114" fillId="0" borderId="0" xfId="255" applyFont="1" applyBorder="1" applyAlignment="1">
      <alignment horizontal="center"/>
    </xf>
    <xf numFmtId="0" fontId="114" fillId="0" borderId="0" xfId="255" applyFont="1" applyBorder="1"/>
    <xf numFmtId="0" fontId="114" fillId="0" borderId="0" xfId="255" applyFont="1" applyAlignment="1">
      <alignment horizontal="center"/>
    </xf>
    <xf numFmtId="0" fontId="210" fillId="0" borderId="0" xfId="255" applyFont="1" applyBorder="1"/>
    <xf numFmtId="0" fontId="210" fillId="0" borderId="0" xfId="255" applyFont="1" applyAlignment="1">
      <alignment horizontal="center"/>
    </xf>
    <xf numFmtId="0" fontId="210" fillId="0" borderId="0" xfId="255" applyFont="1" applyAlignment="1"/>
    <xf numFmtId="0" fontId="210" fillId="0" borderId="0" xfId="255" applyFont="1" applyAlignment="1">
      <alignment horizontal="center" vertical="center" wrapText="1"/>
    </xf>
    <xf numFmtId="0" fontId="210" fillId="0" borderId="0" xfId="255" applyFont="1" applyAlignment="1">
      <alignment horizontal="center" wrapText="1"/>
    </xf>
    <xf numFmtId="0" fontId="114" fillId="0" borderId="1" xfId="255" applyFont="1" applyBorder="1" applyAlignment="1">
      <alignment horizontal="center" wrapText="1"/>
    </xf>
    <xf numFmtId="0" fontId="114" fillId="0" borderId="0" xfId="255" applyFont="1" applyAlignment="1">
      <alignment horizontal="center" wrapText="1"/>
    </xf>
    <xf numFmtId="192" fontId="130" fillId="7" borderId="0" xfId="0" applyNumberFormat="1" applyFont="1" applyFill="1" applyAlignment="1">
      <alignment vertical="center"/>
    </xf>
    <xf numFmtId="0" fontId="21" fillId="0" borderId="0" xfId="0" applyFont="1" applyFill="1" applyBorder="1" applyAlignment="1">
      <alignment vertical="center" shrinkToFit="1"/>
    </xf>
    <xf numFmtId="0" fontId="210" fillId="0" borderId="0" xfId="255" applyFont="1" applyAlignment="1">
      <alignment horizontal="center"/>
    </xf>
    <xf numFmtId="0" fontId="22" fillId="0" borderId="29" xfId="0" applyFont="1" applyBorder="1" applyAlignment="1">
      <alignment horizontal="center" vertical="center"/>
    </xf>
    <xf numFmtId="0" fontId="104" fillId="0" borderId="0" xfId="25" applyFont="1" applyBorder="1" applyAlignment="1">
      <alignment horizontal="left" vertical="center"/>
    </xf>
    <xf numFmtId="3" fontId="22" fillId="0" borderId="0" xfId="0" applyNumberFormat="1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91" fontId="22" fillId="0" borderId="22" xfId="1" applyNumberFormat="1" applyFont="1" applyFill="1" applyBorder="1" applyAlignment="1">
      <alignment horizontal="right" vertical="center"/>
    </xf>
    <xf numFmtId="0" fontId="213" fillId="12" borderId="1" xfId="28" applyFont="1" applyFill="1" applyBorder="1" applyAlignment="1" applyProtection="1">
      <alignment horizontal="left"/>
    </xf>
    <xf numFmtId="0" fontId="127" fillId="3" borderId="0" xfId="0" applyFont="1" applyFill="1"/>
    <xf numFmtId="0" fontId="180" fillId="12" borderId="22" xfId="28" applyFont="1" applyFill="1" applyBorder="1" applyAlignment="1" applyProtection="1">
      <alignment horizontal="left"/>
    </xf>
    <xf numFmtId="3" fontId="104" fillId="0" borderId="0" xfId="25" applyNumberFormat="1" applyFont="1" applyBorder="1" applyAlignment="1">
      <alignment horizontal="left" vertical="center"/>
    </xf>
    <xf numFmtId="43" fontId="22" fillId="0" borderId="22" xfId="1" applyNumberFormat="1" applyFont="1" applyBorder="1" applyAlignment="1">
      <alignment horizontal="right" vertical="center"/>
    </xf>
    <xf numFmtId="191" fontId="13" fillId="0" borderId="1" xfId="1" applyNumberFormat="1" applyFont="1" applyBorder="1" applyAlignment="1">
      <alignment horizontal="center" vertical="center" shrinkToFit="1"/>
    </xf>
    <xf numFmtId="43" fontId="13" fillId="0" borderId="1" xfId="1" applyNumberFormat="1" applyFont="1" applyBorder="1" applyAlignment="1">
      <alignment horizontal="right" vertical="center" shrinkToFit="1"/>
    </xf>
    <xf numFmtId="43" fontId="130" fillId="7" borderId="0" xfId="0" applyNumberFormat="1" applyFont="1" applyFill="1" applyAlignment="1">
      <alignment horizontal="center"/>
    </xf>
    <xf numFmtId="4" fontId="125" fillId="7" borderId="0" xfId="0" applyNumberFormat="1" applyFont="1" applyFill="1" applyAlignment="1">
      <alignment horizontal="center"/>
    </xf>
    <xf numFmtId="43" fontId="125" fillId="7" borderId="0" xfId="0" applyNumberFormat="1" applyFont="1" applyFill="1" applyAlignment="1">
      <alignment horizontal="center"/>
    </xf>
    <xf numFmtId="191" fontId="125" fillId="7" borderId="0" xfId="1" applyNumberFormat="1" applyFont="1" applyFill="1" applyAlignment="1">
      <alignment horizontal="center"/>
    </xf>
    <xf numFmtId="0" fontId="133" fillId="7" borderId="0" xfId="0" applyFont="1" applyFill="1" applyAlignment="1">
      <alignment horizontal="center"/>
    </xf>
    <xf numFmtId="191" fontId="22" fillId="0" borderId="1" xfId="1" applyNumberFormat="1" applyFont="1" applyBorder="1" applyAlignment="1">
      <alignment horizontal="right"/>
    </xf>
    <xf numFmtId="212" fontId="22" fillId="0" borderId="1" xfId="1" applyNumberFormat="1" applyFont="1" applyBorder="1" applyAlignment="1">
      <alignment horizontal="center"/>
    </xf>
    <xf numFmtId="0" fontId="10" fillId="0" borderId="0" xfId="0" applyFont="1" applyFill="1" applyAlignment="1">
      <alignment vertical="center"/>
    </xf>
    <xf numFmtId="0" fontId="124" fillId="7" borderId="0" xfId="0" applyFont="1" applyFill="1" applyAlignment="1">
      <alignment horizontal="center"/>
    </xf>
    <xf numFmtId="3" fontId="22" fillId="0" borderId="0" xfId="0" applyNumberFormat="1" applyFont="1" applyAlignment="1">
      <alignment horizontal="center"/>
    </xf>
    <xf numFmtId="191" fontId="22" fillId="0" borderId="0" xfId="1" applyNumberFormat="1" applyFont="1" applyFill="1" applyAlignment="1">
      <alignment horizontal="center"/>
    </xf>
    <xf numFmtId="0" fontId="127" fillId="0" borderId="6" xfId="0" applyFont="1" applyBorder="1" applyAlignment="1">
      <alignment horizontal="center" vertical="center"/>
    </xf>
    <xf numFmtId="0" fontId="216" fillId="0" borderId="6" xfId="25" applyFont="1" applyBorder="1" applyAlignment="1">
      <alignment horizontal="left" vertical="center"/>
    </xf>
    <xf numFmtId="0" fontId="217" fillId="12" borderId="1" xfId="28" applyFont="1" applyFill="1" applyBorder="1" applyAlignment="1" applyProtection="1">
      <alignment horizontal="left"/>
    </xf>
    <xf numFmtId="3" fontId="127" fillId="0" borderId="6" xfId="0" applyNumberFormat="1" applyFont="1" applyBorder="1" applyAlignment="1">
      <alignment horizontal="center" vertical="center"/>
    </xf>
    <xf numFmtId="0" fontId="127" fillId="0" borderId="0" xfId="0" applyFont="1" applyBorder="1" applyAlignment="1">
      <alignment horizontal="right" vertical="center"/>
    </xf>
    <xf numFmtId="3" fontId="127" fillId="0" borderId="0" xfId="0" applyNumberFormat="1" applyFont="1"/>
    <xf numFmtId="191" fontId="20" fillId="0" borderId="1" xfId="1" applyNumberFormat="1" applyFont="1" applyBorder="1" applyAlignment="1">
      <alignment horizontal="right" vertical="center"/>
    </xf>
    <xf numFmtId="191" fontId="20" fillId="0" borderId="1" xfId="1" applyNumberFormat="1" applyFont="1" applyBorder="1" applyAlignment="1">
      <alignment horizontal="center" vertical="center"/>
    </xf>
    <xf numFmtId="191" fontId="20" fillId="0" borderId="1" xfId="1" applyNumberFormat="1" applyFont="1" applyFill="1" applyBorder="1" applyAlignment="1">
      <alignment horizontal="center" vertical="center"/>
    </xf>
    <xf numFmtId="191" fontId="22" fillId="0" borderId="1" xfId="1" applyNumberFormat="1" applyFont="1" applyFill="1" applyBorder="1" applyAlignment="1">
      <alignment horizontal="right" vertical="center"/>
    </xf>
    <xf numFmtId="191" fontId="22" fillId="0" borderId="1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124" fillId="7" borderId="0" xfId="0" applyFont="1" applyFill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3" fontId="22" fillId="0" borderId="0" xfId="0" applyNumberFormat="1" applyFont="1" applyAlignment="1">
      <alignment horizontal="center"/>
    </xf>
    <xf numFmtId="191" fontId="22" fillId="0" borderId="0" xfId="1" applyNumberFormat="1" applyFont="1" applyFill="1" applyAlignment="1">
      <alignment horizontal="center"/>
    </xf>
    <xf numFmtId="0" fontId="125" fillId="7" borderId="0" xfId="0" applyFont="1" applyFill="1" applyAlignment="1">
      <alignment vertical="center"/>
    </xf>
    <xf numFmtId="189" fontId="20" fillId="0" borderId="1" xfId="0" applyNumberFormat="1" applyFont="1" applyBorder="1" applyAlignment="1">
      <alignment vertical="center"/>
    </xf>
    <xf numFmtId="189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89" fontId="22" fillId="0" borderId="6" xfId="0" applyNumberFormat="1" applyFont="1" applyBorder="1" applyAlignment="1">
      <alignment horizontal="center" vertical="center"/>
    </xf>
    <xf numFmtId="189" fontId="20" fillId="0" borderId="1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 wrapText="1"/>
    </xf>
    <xf numFmtId="192" fontId="20" fillId="0" borderId="1" xfId="0" applyNumberFormat="1" applyFont="1" applyBorder="1" applyAlignment="1">
      <alignment vertical="center"/>
    </xf>
    <xf numFmtId="191" fontId="20" fillId="0" borderId="1" xfId="0" applyNumberFormat="1" applyFont="1" applyBorder="1" applyAlignment="1">
      <alignment vertical="center"/>
    </xf>
    <xf numFmtId="0" fontId="22" fillId="0" borderId="82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127" fillId="0" borderId="32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80" fillId="12" borderId="24" xfId="28" applyFont="1" applyFill="1" applyBorder="1" applyAlignment="1" applyProtection="1">
      <alignment horizontal="left"/>
    </xf>
    <xf numFmtId="0" fontId="22" fillId="0" borderId="23" xfId="0" applyFont="1" applyBorder="1" applyAlignment="1">
      <alignment horizontal="center" vertical="center"/>
    </xf>
    <xf numFmtId="191" fontId="20" fillId="0" borderId="15" xfId="1" applyNumberFormat="1" applyFont="1" applyFill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/>
    </xf>
    <xf numFmtId="189" fontId="22" fillId="0" borderId="18" xfId="0" applyNumberFormat="1" applyFont="1" applyBorder="1" applyAlignment="1">
      <alignment horizontal="center" vertical="center"/>
    </xf>
    <xf numFmtId="191" fontId="22" fillId="0" borderId="18" xfId="0" applyNumberFormat="1" applyFont="1" applyBorder="1" applyAlignment="1">
      <alignment horizontal="center" vertical="center"/>
    </xf>
    <xf numFmtId="191" fontId="22" fillId="0" borderId="20" xfId="1" applyNumberFormat="1" applyFont="1" applyFill="1" applyBorder="1" applyAlignment="1">
      <alignment horizontal="right" vertical="center"/>
    </xf>
    <xf numFmtId="191" fontId="22" fillId="0" borderId="18" xfId="1" applyNumberFormat="1" applyFont="1" applyFill="1" applyBorder="1" applyAlignment="1">
      <alignment horizontal="right" vertical="center"/>
    </xf>
    <xf numFmtId="191" fontId="22" fillId="0" borderId="6" xfId="0" applyNumberFormat="1" applyFont="1" applyBorder="1" applyAlignment="1">
      <alignment horizontal="center" vertical="center"/>
    </xf>
    <xf numFmtId="0" fontId="93" fillId="0" borderId="15" xfId="0" quotePrefix="1" applyFont="1" applyBorder="1" applyAlignment="1">
      <alignment horizontal="center" vertical="center" wrapText="1"/>
    </xf>
    <xf numFmtId="37" fontId="93" fillId="0" borderId="15" xfId="1" quotePrefix="1" applyNumberFormat="1" applyFont="1" applyFill="1" applyBorder="1" applyAlignment="1">
      <alignment horizontal="center" vertical="center" wrapText="1"/>
    </xf>
    <xf numFmtId="218" fontId="93" fillId="0" borderId="15" xfId="1" applyNumberFormat="1" applyFont="1" applyFill="1" applyBorder="1" applyAlignment="1">
      <alignment horizontal="center" vertical="center" wrapText="1"/>
    </xf>
    <xf numFmtId="218" fontId="93" fillId="0" borderId="15" xfId="1" quotePrefix="1" applyNumberFormat="1" applyFont="1" applyFill="1" applyBorder="1" applyAlignment="1">
      <alignment horizontal="center" vertical="center" wrapText="1"/>
    </xf>
    <xf numFmtId="3" fontId="92" fillId="0" borderId="16" xfId="1" applyNumberFormat="1" applyFont="1" applyFill="1" applyBorder="1" applyAlignment="1">
      <alignment horizontal="center" vertical="center" wrapText="1"/>
    </xf>
    <xf numFmtId="3" fontId="92" fillId="0" borderId="17" xfId="1" applyNumberFormat="1" applyFont="1" applyFill="1" applyBorder="1" applyAlignment="1">
      <alignment horizontal="center" vertical="center" wrapText="1"/>
    </xf>
    <xf numFmtId="43" fontId="20" fillId="0" borderId="20" xfId="1" applyNumberFormat="1" applyFont="1" applyFill="1" applyBorder="1" applyAlignment="1">
      <alignment horizontal="center"/>
    </xf>
    <xf numFmtId="0" fontId="124" fillId="7" borderId="0" xfId="0" applyFont="1" applyFill="1" applyAlignment="1">
      <alignment horizontal="center"/>
    </xf>
    <xf numFmtId="0" fontId="125" fillId="7" borderId="0" xfId="0" applyFont="1" applyFill="1" applyAlignment="1">
      <alignment horizontal="center"/>
    </xf>
    <xf numFmtId="189" fontId="13" fillId="0" borderId="0" xfId="0" applyNumberFormat="1" applyFont="1" applyAlignment="1">
      <alignment horizontal="center"/>
    </xf>
    <xf numFmtId="192" fontId="117" fillId="0" borderId="0" xfId="0" applyNumberFormat="1" applyFont="1" applyAlignment="1">
      <alignment horizontal="center"/>
    </xf>
    <xf numFmtId="0" fontId="124" fillId="7" borderId="0" xfId="0" applyFont="1" applyFill="1" applyAlignment="1">
      <alignment horizontal="center" vertical="center"/>
    </xf>
    <xf numFmtId="3" fontId="125" fillId="7" borderId="0" xfId="0" applyNumberFormat="1" applyFont="1" applyFill="1" applyAlignment="1">
      <alignment horizontal="center"/>
    </xf>
    <xf numFmtId="0" fontId="164" fillId="7" borderId="0" xfId="0" applyFont="1" applyFill="1" applyAlignment="1">
      <alignment horizontal="center"/>
    </xf>
    <xf numFmtId="0" fontId="201" fillId="12" borderId="1" xfId="28" applyFont="1" applyFill="1" applyBorder="1" applyAlignment="1" applyProtection="1">
      <alignment horizontal="left"/>
    </xf>
    <xf numFmtId="0" fontId="22" fillId="0" borderId="1" xfId="303" applyFont="1" applyBorder="1" applyAlignment="1">
      <alignment horizontal="left"/>
    </xf>
    <xf numFmtId="3" fontId="124" fillId="7" borderId="1" xfId="1" applyNumberFormat="1" applyFont="1" applyFill="1" applyBorder="1" applyAlignment="1">
      <alignment vertical="center" shrinkToFit="1"/>
    </xf>
    <xf numFmtId="0" fontId="125" fillId="7" borderId="0" xfId="0" applyFont="1" applyFill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227" fontId="92" fillId="0" borderId="0" xfId="1" applyNumberFormat="1" applyFont="1" applyFill="1" applyBorder="1"/>
    <xf numFmtId="0" fontId="101" fillId="0" borderId="1" xfId="273" applyFont="1" applyBorder="1" applyAlignment="1">
      <alignment horizontal="left" vertical="center"/>
    </xf>
    <xf numFmtId="197" fontId="22" fillId="0" borderId="1" xfId="0" applyNumberFormat="1" applyFont="1" applyBorder="1" applyAlignment="1">
      <alignment horizontal="center"/>
    </xf>
    <xf numFmtId="3" fontId="22" fillId="0" borderId="1" xfId="0" applyNumberFormat="1" applyFont="1" applyBorder="1" applyAlignment="1">
      <alignment horizontal="right" vertical="center"/>
    </xf>
    <xf numFmtId="191" fontId="221" fillId="0" borderId="0" xfId="1" applyNumberFormat="1" applyFont="1" applyAlignment="1">
      <alignment horizontal="center"/>
    </xf>
    <xf numFmtId="191" fontId="221" fillId="0" borderId="0" xfId="1" applyNumberFormat="1" applyFont="1"/>
    <xf numFmtId="224" fontId="222" fillId="7" borderId="0" xfId="1" applyNumberFormat="1" applyFont="1" applyFill="1" applyAlignment="1"/>
    <xf numFmtId="0" fontId="221" fillId="0" borderId="0" xfId="0" applyFont="1"/>
    <xf numFmtId="43" fontId="221" fillId="7" borderId="14" xfId="1" applyFont="1" applyFill="1" applyBorder="1" applyAlignment="1"/>
    <xf numFmtId="0" fontId="180" fillId="0" borderId="1" xfId="303" applyFont="1" applyBorder="1" applyAlignment="1">
      <alignment horizontal="left"/>
    </xf>
    <xf numFmtId="0" fontId="22" fillId="7" borderId="0" xfId="0" applyFont="1" applyFill="1" applyBorder="1"/>
    <xf numFmtId="193" fontId="136" fillId="7" borderId="1" xfId="1" applyNumberFormat="1" applyFont="1" applyFill="1" applyBorder="1" applyAlignment="1">
      <alignment horizontal="center" vertical="center" wrapText="1"/>
    </xf>
    <xf numFmtId="0" fontId="136" fillId="7" borderId="1" xfId="0" applyFont="1" applyFill="1" applyBorder="1" applyAlignment="1">
      <alignment horizontal="center" vertical="center" wrapText="1"/>
    </xf>
    <xf numFmtId="192" fontId="136" fillId="7" borderId="1" xfId="1" applyNumberFormat="1" applyFont="1" applyFill="1" applyBorder="1" applyAlignment="1">
      <alignment horizontal="center" vertical="center" wrapText="1"/>
    </xf>
    <xf numFmtId="0" fontId="136" fillId="7" borderId="1" xfId="1" applyNumberFormat="1" applyFont="1" applyFill="1" applyBorder="1" applyAlignment="1">
      <alignment horizontal="center" vertical="center" wrapText="1"/>
    </xf>
    <xf numFmtId="0" fontId="164" fillId="7" borderId="1" xfId="0" applyFont="1" applyFill="1" applyBorder="1" applyAlignment="1">
      <alignment horizontal="center" vertical="distributed" wrapText="1"/>
    </xf>
    <xf numFmtId="193" fontId="164" fillId="7" borderId="1" xfId="1" applyNumberFormat="1" applyFont="1" applyFill="1" applyBorder="1" applyAlignment="1">
      <alignment horizontal="center" vertical="distributed" wrapText="1"/>
    </xf>
    <xf numFmtId="0" fontId="164" fillId="7" borderId="1" xfId="0" applyFont="1" applyFill="1" applyBorder="1" applyAlignment="1">
      <alignment horizontal="center" vertical="center" wrapText="1"/>
    </xf>
    <xf numFmtId="1" fontId="136" fillId="7" borderId="1" xfId="0" applyNumberFormat="1" applyFont="1" applyFill="1" applyBorder="1" applyAlignment="1">
      <alignment horizontal="center" wrapText="1"/>
    </xf>
    <xf numFmtId="191" fontId="136" fillId="7" borderId="1" xfId="1" applyNumberFormat="1" applyFont="1" applyFill="1" applyBorder="1" applyAlignment="1">
      <alignment horizontal="center" wrapText="1"/>
    </xf>
    <xf numFmtId="0" fontId="164" fillId="7" borderId="1" xfId="0" applyFont="1" applyFill="1" applyBorder="1" applyAlignment="1">
      <alignment horizontal="center" vertical="center"/>
    </xf>
    <xf numFmtId="3" fontId="164" fillId="7" borderId="1" xfId="0" applyNumberFormat="1" applyFont="1" applyFill="1" applyBorder="1" applyAlignment="1">
      <alignment horizontal="center" vertical="center"/>
    </xf>
    <xf numFmtId="0" fontId="164" fillId="7" borderId="1" xfId="0" applyFont="1" applyFill="1" applyBorder="1" applyAlignment="1">
      <alignment horizontal="left" vertical="center"/>
    </xf>
    <xf numFmtId="200" fontId="164" fillId="7" borderId="1" xfId="0" applyNumberFormat="1" applyFont="1" applyFill="1" applyBorder="1" applyAlignment="1">
      <alignment vertical="center"/>
    </xf>
    <xf numFmtId="188" fontId="164" fillId="7" borderId="1" xfId="1" applyNumberFormat="1" applyFont="1" applyFill="1" applyBorder="1" applyAlignment="1">
      <alignment vertical="center"/>
    </xf>
    <xf numFmtId="188" fontId="164" fillId="7" borderId="1" xfId="0" applyNumberFormat="1" applyFont="1" applyFill="1" applyBorder="1" applyAlignment="1">
      <alignment vertical="center"/>
    </xf>
    <xf numFmtId="200" fontId="164" fillId="7" borderId="1" xfId="0" applyNumberFormat="1" applyFont="1" applyFill="1" applyBorder="1" applyAlignment="1">
      <alignment horizontal="center" vertical="center"/>
    </xf>
    <xf numFmtId="191" fontId="164" fillId="7" borderId="1" xfId="1" applyNumberFormat="1" applyFont="1" applyFill="1" applyBorder="1" applyAlignment="1">
      <alignment horizontal="right" vertical="center" wrapText="1"/>
    </xf>
    <xf numFmtId="213" fontId="164" fillId="7" borderId="1" xfId="1" applyNumberFormat="1" applyFont="1" applyFill="1" applyBorder="1" applyAlignment="1">
      <alignment horizontal="right" vertical="center" shrinkToFit="1"/>
    </xf>
    <xf numFmtId="1" fontId="136" fillId="7" borderId="1" xfId="0" applyNumberFormat="1" applyFont="1" applyFill="1" applyBorder="1" applyAlignment="1">
      <alignment horizontal="center" vertical="center" wrapText="1"/>
    </xf>
    <xf numFmtId="191" fontId="136" fillId="7" borderId="1" xfId="1" applyNumberFormat="1" applyFont="1" applyFill="1" applyBorder="1" applyAlignment="1">
      <alignment horizontal="center" vertical="center" wrapText="1"/>
    </xf>
    <xf numFmtId="0" fontId="136" fillId="7" borderId="1" xfId="0" applyFont="1" applyFill="1" applyBorder="1" applyAlignment="1">
      <alignment horizontal="center" vertical="center" shrinkToFit="1"/>
    </xf>
    <xf numFmtId="3" fontId="136" fillId="7" borderId="1" xfId="1" applyNumberFormat="1" applyFont="1" applyFill="1" applyBorder="1" applyAlignment="1">
      <alignment vertical="center" shrinkToFit="1"/>
    </xf>
    <xf numFmtId="0" fontId="164" fillId="7" borderId="0" xfId="0" applyFont="1" applyFill="1"/>
    <xf numFmtId="193" fontId="164" fillId="7" borderId="0" xfId="1" applyNumberFormat="1" applyFont="1" applyFill="1"/>
    <xf numFmtId="192" fontId="164" fillId="7" borderId="0" xfId="1" applyNumberFormat="1" applyFont="1" applyFill="1" applyAlignment="1">
      <alignment horizontal="center"/>
    </xf>
    <xf numFmtId="192" fontId="164" fillId="7" borderId="0" xfId="1" applyNumberFormat="1" applyFont="1" applyFill="1"/>
    <xf numFmtId="192" fontId="224" fillId="7" borderId="0" xfId="0" applyNumberFormat="1" applyFont="1" applyFill="1" applyAlignment="1">
      <alignment vertical="center"/>
    </xf>
    <xf numFmtId="0" fontId="136" fillId="7" borderId="0" xfId="0" applyFont="1" applyFill="1" applyAlignment="1">
      <alignment vertical="center"/>
    </xf>
    <xf numFmtId="0" fontId="77" fillId="0" borderId="0" xfId="0" applyFont="1" applyAlignment="1">
      <alignment vertical="center"/>
    </xf>
    <xf numFmtId="192" fontId="164" fillId="7" borderId="0" xfId="0" applyNumberFormat="1" applyFont="1" applyFill="1"/>
    <xf numFmtId="200" fontId="164" fillId="7" borderId="0" xfId="0" applyNumberFormat="1" applyFont="1" applyFill="1"/>
    <xf numFmtId="189" fontId="136" fillId="7" borderId="0" xfId="0" applyNumberFormat="1" applyFont="1" applyFill="1" applyAlignment="1">
      <alignment vertical="center"/>
    </xf>
    <xf numFmtId="194" fontId="164" fillId="7" borderId="0" xfId="0" applyNumberFormat="1" applyFont="1" applyFill="1"/>
    <xf numFmtId="192" fontId="164" fillId="7" borderId="0" xfId="1" applyNumberFormat="1" applyFont="1" applyFill="1" applyAlignment="1">
      <alignment shrinkToFit="1"/>
    </xf>
    <xf numFmtId="0" fontId="101" fillId="12" borderId="1" xfId="28" applyFont="1" applyFill="1" applyBorder="1" applyAlignment="1" applyProtection="1">
      <alignment horizontal="left"/>
    </xf>
    <xf numFmtId="0" fontId="101" fillId="0" borderId="1" xfId="303" applyFont="1" applyBorder="1" applyAlignment="1">
      <alignment horizontal="left"/>
    </xf>
    <xf numFmtId="0" fontId="131" fillId="0" borderId="0" xfId="0" applyFont="1" applyBorder="1" applyAlignment="1">
      <alignment horizontal="center" vertical="center"/>
    </xf>
    <xf numFmtId="0" fontId="221" fillId="0" borderId="14" xfId="0" applyFont="1" applyBorder="1" applyAlignment="1"/>
    <xf numFmtId="0" fontId="77" fillId="0" borderId="14" xfId="0" applyFont="1" applyBorder="1" applyAlignment="1">
      <alignment horizontal="center"/>
    </xf>
    <xf numFmtId="203" fontId="20" fillId="3" borderId="0" xfId="8" applyNumberFormat="1" applyFont="1" applyFill="1" applyAlignment="1"/>
    <xf numFmtId="0" fontId="13" fillId="3" borderId="0" xfId="0" applyFont="1" applyFill="1" applyAlignment="1">
      <alignment horizontal="center"/>
    </xf>
    <xf numFmtId="0" fontId="61" fillId="0" borderId="0" xfId="0" applyFont="1"/>
    <xf numFmtId="203" fontId="11" fillId="3" borderId="0" xfId="8" applyNumberFormat="1" applyFont="1" applyFill="1" applyAlignment="1"/>
    <xf numFmtId="203" fontId="105" fillId="3" borderId="0" xfId="8" applyNumberFormat="1" applyFont="1" applyFill="1" applyAlignment="1"/>
    <xf numFmtId="203" fontId="226" fillId="3" borderId="0" xfId="8" applyNumberFormat="1" applyFont="1" applyFill="1" applyAlignment="1"/>
    <xf numFmtId="203" fontId="8" fillId="3" borderId="0" xfId="8" applyNumberFormat="1" applyFont="1" applyFill="1"/>
    <xf numFmtId="203" fontId="13" fillId="3" borderId="0" xfId="8" applyNumberFormat="1" applyFont="1" applyFill="1"/>
    <xf numFmtId="203" fontId="89" fillId="0" borderId="0" xfId="8" applyNumberFormat="1" applyFont="1" applyFill="1" applyAlignment="1">
      <alignment horizontal="center"/>
    </xf>
    <xf numFmtId="0" fontId="61" fillId="0" borderId="0" xfId="0" applyFont="1" applyFill="1"/>
    <xf numFmtId="0" fontId="14" fillId="0" borderId="0" xfId="0" applyFont="1" applyFill="1" applyAlignment="1"/>
    <xf numFmtId="0" fontId="14" fillId="3" borderId="0" xfId="0" applyFont="1" applyFill="1" applyAlignment="1"/>
    <xf numFmtId="0" fontId="14" fillId="3" borderId="0" xfId="0" applyFont="1" applyFill="1" applyAlignment="1">
      <alignment horizontal="center"/>
    </xf>
    <xf numFmtId="228" fontId="8" fillId="3" borderId="0" xfId="8" applyNumberFormat="1" applyFont="1" applyFill="1"/>
    <xf numFmtId="227" fontId="226" fillId="3" borderId="0" xfId="8" applyNumberFormat="1" applyFont="1" applyFill="1" applyAlignment="1">
      <alignment horizontal="center"/>
    </xf>
    <xf numFmtId="203" fontId="226" fillId="3" borderId="0" xfId="8" applyNumberFormat="1" applyFont="1" applyFill="1" applyAlignment="1">
      <alignment horizontal="center"/>
    </xf>
    <xf numFmtId="2" fontId="61" fillId="0" borderId="0" xfId="0" applyNumberFormat="1" applyFont="1"/>
    <xf numFmtId="0" fontId="13" fillId="0" borderId="0" xfId="0" applyFont="1" applyFill="1" applyAlignment="1"/>
    <xf numFmtId="0" fontId="16" fillId="3" borderId="0" xfId="0" applyFont="1" applyFill="1" applyBorder="1" applyAlignment="1">
      <alignment wrapText="1"/>
    </xf>
    <xf numFmtId="0" fontId="16" fillId="3" borderId="0" xfId="0" applyFont="1" applyFill="1" applyBorder="1" applyAlignment="1"/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vertical="center"/>
    </xf>
    <xf numFmtId="4" fontId="13" fillId="0" borderId="0" xfId="0" applyNumberFormat="1" applyFont="1" applyFill="1" applyAlignment="1">
      <alignment horizontal="center"/>
    </xf>
    <xf numFmtId="4" fontId="13" fillId="0" borderId="0" xfId="0" applyNumberFormat="1" applyFont="1" applyFill="1" applyAlignment="1">
      <alignment horizontal="right"/>
    </xf>
    <xf numFmtId="201" fontId="13" fillId="0" borderId="0" xfId="8" applyFont="1" applyFill="1" applyAlignment="1">
      <alignment horizontal="center"/>
    </xf>
    <xf numFmtId="4" fontId="2" fillId="0" borderId="0" xfId="0" applyNumberFormat="1" applyFont="1" applyFill="1" applyBorder="1" applyAlignment="1">
      <alignment vertical="center"/>
    </xf>
    <xf numFmtId="3" fontId="2" fillId="0" borderId="0" xfId="0" applyNumberFormat="1" applyFont="1" applyFill="1" applyBorder="1" applyAlignment="1">
      <alignment vertical="center" wrapText="1"/>
    </xf>
    <xf numFmtId="3" fontId="2" fillId="0" borderId="0" xfId="0" applyNumberFormat="1" applyFont="1" applyFill="1" applyBorder="1" applyAlignment="1">
      <alignment vertical="center"/>
    </xf>
    <xf numFmtId="4" fontId="10" fillId="0" borderId="0" xfId="0" applyNumberFormat="1" applyFont="1" applyFill="1" applyBorder="1" applyAlignment="1">
      <alignment vertical="center"/>
    </xf>
    <xf numFmtId="0" fontId="13" fillId="0" borderId="1" xfId="0" applyFont="1" applyFill="1" applyBorder="1" applyAlignment="1">
      <alignment horizontal="center" vertical="center"/>
    </xf>
    <xf numFmtId="4" fontId="13" fillId="0" borderId="1" xfId="0" applyNumberFormat="1" applyFont="1" applyFill="1" applyBorder="1" applyAlignment="1">
      <alignment horizontal="center" vertical="center"/>
    </xf>
    <xf numFmtId="4" fontId="10" fillId="0" borderId="0" xfId="0" applyNumberFormat="1" applyFont="1" applyFill="1" applyBorder="1" applyAlignment="1">
      <alignment vertical="center" wrapText="1"/>
    </xf>
    <xf numFmtId="3" fontId="10" fillId="0" borderId="0" xfId="0" applyNumberFormat="1" applyFont="1" applyFill="1" applyBorder="1" applyAlignment="1">
      <alignment vertical="center"/>
    </xf>
    <xf numFmtId="4" fontId="1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3" fontId="10" fillId="0" borderId="0" xfId="0" applyNumberFormat="1" applyFont="1" applyFill="1" applyBorder="1" applyAlignment="1">
      <alignment vertical="center" wrapText="1"/>
    </xf>
    <xf numFmtId="0" fontId="61" fillId="0" borderId="0" xfId="0" applyFont="1" applyBorder="1" applyAlignment="1"/>
    <xf numFmtId="0" fontId="227" fillId="0" borderId="0" xfId="0" applyFont="1"/>
    <xf numFmtId="0" fontId="228" fillId="0" borderId="0" xfId="0" applyFont="1" applyAlignment="1">
      <alignment horizontal="center"/>
    </xf>
    <xf numFmtId="0" fontId="228" fillId="0" borderId="0" xfId="0" applyFont="1" applyAlignment="1"/>
    <xf numFmtId="0" fontId="61" fillId="0" borderId="0" xfId="0" applyFont="1" applyAlignment="1">
      <alignment horizontal="center"/>
    </xf>
    <xf numFmtId="0" fontId="124" fillId="7" borderId="1" xfId="0" applyFont="1" applyFill="1" applyBorder="1" applyAlignment="1">
      <alignment horizontal="center" vertical="center" shrinkToFit="1"/>
    </xf>
    <xf numFmtId="192" fontId="124" fillId="7" borderId="1" xfId="1" applyNumberFormat="1" applyFont="1" applyFill="1" applyBorder="1" applyAlignment="1">
      <alignment horizontal="center" vertical="center" wrapText="1"/>
    </xf>
    <xf numFmtId="0" fontId="124" fillId="7" borderId="1" xfId="0" applyFont="1" applyFill="1" applyBorder="1" applyAlignment="1">
      <alignment horizontal="center" vertical="center" wrapText="1"/>
    </xf>
    <xf numFmtId="0" fontId="124" fillId="7" borderId="1" xfId="1" applyNumberFormat="1" applyFont="1" applyFill="1" applyBorder="1" applyAlignment="1">
      <alignment horizontal="center" vertical="center" wrapText="1"/>
    </xf>
    <xf numFmtId="0" fontId="124" fillId="7" borderId="29" xfId="0" applyFont="1" applyFill="1" applyBorder="1"/>
    <xf numFmtId="0" fontId="39" fillId="0" borderId="1" xfId="0" applyFont="1" applyFill="1" applyBorder="1" applyAlignment="1">
      <alignment horizontal="center"/>
    </xf>
    <xf numFmtId="0" fontId="56" fillId="0" borderId="0" xfId="0" applyFont="1" applyFill="1" applyAlignment="1">
      <alignment horizontal="center"/>
    </xf>
    <xf numFmtId="0" fontId="92" fillId="0" borderId="0" xfId="0" applyFont="1" applyFill="1"/>
    <xf numFmtId="0" fontId="77" fillId="0" borderId="1" xfId="0" applyFont="1" applyFill="1" applyBorder="1" applyAlignment="1">
      <alignment horizontal="center"/>
    </xf>
    <xf numFmtId="0" fontId="101" fillId="0" borderId="1" xfId="0" applyFont="1" applyFill="1" applyBorder="1" applyAlignment="1">
      <alignment horizontal="center" vertical="center"/>
    </xf>
    <xf numFmtId="0" fontId="101" fillId="0" borderId="1" xfId="0" applyFont="1" applyFill="1" applyBorder="1" applyAlignment="1">
      <alignment horizontal="left" vertical="center"/>
    </xf>
    <xf numFmtId="202" fontId="101" fillId="0" borderId="1" xfId="8" applyNumberFormat="1" applyFont="1" applyFill="1" applyBorder="1" applyAlignment="1">
      <alignment vertical="center" wrapText="1"/>
    </xf>
    <xf numFmtId="202" fontId="101" fillId="0" borderId="0" xfId="0" applyNumberFormat="1" applyFont="1" applyFill="1" applyBorder="1"/>
    <xf numFmtId="218" fontId="101" fillId="0" borderId="0" xfId="8" applyNumberFormat="1" applyFont="1" applyFill="1" applyBorder="1"/>
    <xf numFmtId="218" fontId="101" fillId="0" borderId="0" xfId="0" applyNumberFormat="1" applyFont="1" applyFill="1" applyBorder="1"/>
    <xf numFmtId="0" fontId="101" fillId="0" borderId="0" xfId="0" applyFont="1" applyFill="1" applyBorder="1"/>
    <xf numFmtId="0" fontId="77" fillId="0" borderId="1" xfId="0" applyFont="1" applyFill="1" applyBorder="1" applyAlignment="1">
      <alignment horizontal="center" vertical="center" wrapText="1"/>
    </xf>
    <xf numFmtId="202" fontId="77" fillId="0" borderId="1" xfId="0" applyNumberFormat="1" applyFont="1" applyFill="1" applyBorder="1" applyAlignment="1">
      <alignment vertical="center" wrapText="1"/>
    </xf>
    <xf numFmtId="0" fontId="20" fillId="0" borderId="0" xfId="0" applyFont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10" fillId="0" borderId="0" xfId="255" applyFont="1" applyAlignment="1">
      <alignment horizontal="center"/>
    </xf>
    <xf numFmtId="0" fontId="114" fillId="0" borderId="1" xfId="255" applyFont="1" applyBorder="1" applyAlignment="1">
      <alignment horizontal="center"/>
    </xf>
    <xf numFmtId="0" fontId="210" fillId="0" borderId="0" xfId="255" applyFont="1" applyAlignment="1">
      <alignment horizontal="center" vertical="center" wrapText="1"/>
    </xf>
    <xf numFmtId="0" fontId="22" fillId="0" borderId="1" xfId="0" applyFont="1" applyBorder="1" applyAlignment="1">
      <alignment vertical="center"/>
    </xf>
    <xf numFmtId="0" fontId="66" fillId="7" borderId="1" xfId="255" applyFont="1" applyFill="1" applyBorder="1" applyAlignment="1">
      <alignment vertical="center"/>
    </xf>
    <xf numFmtId="1" fontId="114" fillId="0" borderId="1" xfId="255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93" fillId="0" borderId="0" xfId="0" applyFont="1" applyAlignment="1">
      <alignment horizontal="center"/>
    </xf>
    <xf numFmtId="0" fontId="92" fillId="0" borderId="0" xfId="0" applyFont="1" applyAlignment="1">
      <alignment horizontal="center"/>
    </xf>
    <xf numFmtId="0" fontId="20" fillId="0" borderId="0" xfId="0" applyFont="1" applyFill="1" applyAlignment="1">
      <alignment horizontal="center"/>
    </xf>
    <xf numFmtId="0" fontId="178" fillId="0" borderId="1" xfId="303" applyFont="1" applyBorder="1" applyAlignment="1">
      <alignment horizontal="left"/>
    </xf>
    <xf numFmtId="3" fontId="178" fillId="7" borderId="1" xfId="0" applyNumberFormat="1" applyFont="1" applyFill="1" applyBorder="1" applyAlignment="1">
      <alignment horizontal="center" vertical="center"/>
    </xf>
    <xf numFmtId="0" fontId="178" fillId="7" borderId="1" xfId="0" applyFont="1" applyFill="1" applyBorder="1" applyAlignment="1">
      <alignment horizontal="left" vertical="center"/>
    </xf>
    <xf numFmtId="191" fontId="178" fillId="7" borderId="1" xfId="1" applyNumberFormat="1" applyFont="1" applyFill="1" applyBorder="1" applyAlignment="1">
      <alignment horizontal="right" vertical="center" wrapText="1"/>
    </xf>
    <xf numFmtId="213" fontId="178" fillId="7" borderId="1" xfId="1" applyNumberFormat="1" applyFont="1" applyFill="1" applyBorder="1" applyAlignment="1">
      <alignment horizontal="right" vertical="center" shrinkToFit="1"/>
    </xf>
    <xf numFmtId="0" fontId="178" fillId="7" borderId="0" xfId="0" applyFont="1" applyFill="1" applyBorder="1" applyAlignment="1">
      <alignment vertical="center"/>
    </xf>
    <xf numFmtId="0" fontId="178" fillId="12" borderId="1" xfId="28" applyFont="1" applyFill="1" applyBorder="1" applyAlignment="1" applyProtection="1">
      <alignment horizontal="left"/>
    </xf>
    <xf numFmtId="0" fontId="178" fillId="7" borderId="0" xfId="0" applyFont="1" applyFill="1" applyBorder="1"/>
    <xf numFmtId="0" fontId="22" fillId="0" borderId="0" xfId="0" applyFont="1" applyFill="1" applyAlignment="1">
      <alignment horizontal="center"/>
    </xf>
    <xf numFmtId="188" fontId="230" fillId="0" borderId="0" xfId="8" applyNumberFormat="1" applyFont="1" applyFill="1" applyAlignment="1"/>
    <xf numFmtId="0" fontId="10" fillId="0" borderId="0" xfId="0" applyFont="1" applyFill="1"/>
    <xf numFmtId="0" fontId="10" fillId="0" borderId="0" xfId="0" applyFont="1" applyFill="1" applyAlignment="1">
      <alignment horizontal="center"/>
    </xf>
    <xf numFmtId="0" fontId="10" fillId="0" borderId="0" xfId="0" applyFont="1" applyFill="1" applyAlignment="1">
      <alignment horizontal="left"/>
    </xf>
    <xf numFmtId="218" fontId="10" fillId="0" borderId="0" xfId="8" applyNumberFormat="1" applyFont="1" applyFill="1"/>
    <xf numFmtId="0" fontId="8" fillId="0" borderId="0" xfId="0" applyFont="1" applyFill="1"/>
    <xf numFmtId="203" fontId="20" fillId="0" borderId="0" xfId="8" applyNumberFormat="1" applyFont="1" applyFill="1" applyAlignment="1"/>
    <xf numFmtId="0" fontId="22" fillId="0" borderId="0" xfId="0" applyFont="1" applyFill="1"/>
    <xf numFmtId="218" fontId="22" fillId="0" borderId="0" xfId="8" applyNumberFormat="1" applyFont="1" applyFill="1"/>
    <xf numFmtId="0" fontId="8" fillId="0" borderId="0" xfId="0" applyFont="1" applyFill="1" applyAlignment="1">
      <alignment horizontal="center"/>
    </xf>
    <xf numFmtId="0" fontId="8" fillId="0" borderId="0" xfId="0" applyFont="1" applyFill="1" applyAlignment="1">
      <alignment horizontal="left"/>
    </xf>
    <xf numFmtId="218" fontId="8" fillId="0" borderId="0" xfId="8" applyNumberFormat="1" applyFont="1" applyFill="1"/>
    <xf numFmtId="218" fontId="20" fillId="0" borderId="1" xfId="8" applyNumberFormat="1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vertical="center"/>
    </xf>
    <xf numFmtId="188" fontId="20" fillId="0" borderId="1" xfId="8" applyNumberFormat="1" applyFont="1" applyFill="1" applyBorder="1" applyAlignment="1">
      <alignment horizontal="right" vertical="center" shrinkToFit="1"/>
    </xf>
    <xf numFmtId="0" fontId="20" fillId="0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188" fontId="22" fillId="0" borderId="1" xfId="0" quotePrefix="1" applyNumberFormat="1" applyFont="1" applyFill="1" applyBorder="1" applyAlignment="1">
      <alignment horizontal="left" vertical="center"/>
    </xf>
    <xf numFmtId="188" fontId="22" fillId="0" borderId="1" xfId="0" applyNumberFormat="1" applyFont="1" applyFill="1" applyBorder="1" applyAlignment="1">
      <alignment vertical="center"/>
    </xf>
    <xf numFmtId="188" fontId="22" fillId="0" borderId="1" xfId="8" applyNumberFormat="1" applyFont="1" applyFill="1" applyBorder="1" applyAlignment="1">
      <alignment horizontal="right" vertical="center" shrinkToFit="1"/>
    </xf>
    <xf numFmtId="0" fontId="22" fillId="0" borderId="1" xfId="0" applyFont="1" applyFill="1" applyBorder="1" applyAlignment="1">
      <alignment vertical="center"/>
    </xf>
    <xf numFmtId="218" fontId="2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202" fontId="20" fillId="0" borderId="1" xfId="8" applyNumberFormat="1" applyFont="1" applyFill="1" applyBorder="1" applyAlignment="1">
      <alignment horizontal="right" vertical="center" shrinkToFit="1"/>
    </xf>
    <xf numFmtId="202" fontId="2" fillId="0" borderId="0" xfId="0" applyNumberFormat="1" applyFont="1" applyFill="1" applyAlignment="1">
      <alignment vertical="center"/>
    </xf>
    <xf numFmtId="0" fontId="22" fillId="0" borderId="1" xfId="0" quotePrefix="1" applyFont="1" applyFill="1" applyBorder="1" applyAlignment="1">
      <alignment horizontal="left" vertical="center"/>
    </xf>
    <xf numFmtId="188" fontId="22" fillId="0" borderId="1" xfId="0" applyNumberFormat="1" applyFont="1" applyFill="1" applyBorder="1" applyAlignment="1">
      <alignment horizontal="left" vertical="center"/>
    </xf>
    <xf numFmtId="38" fontId="2" fillId="0" borderId="0" xfId="0" applyNumberFormat="1" applyFont="1" applyFill="1" applyAlignment="1">
      <alignment vertical="center"/>
    </xf>
    <xf numFmtId="202" fontId="22" fillId="0" borderId="1" xfId="8" applyNumberFormat="1" applyFont="1" applyFill="1" applyBorder="1" applyAlignment="1">
      <alignment vertical="center" shrinkToFit="1"/>
    </xf>
    <xf numFmtId="188" fontId="129" fillId="0" borderId="1" xfId="0" applyNumberFormat="1" applyFont="1" applyFill="1" applyBorder="1" applyAlignment="1">
      <alignment vertical="center"/>
    </xf>
    <xf numFmtId="0" fontId="129" fillId="0" borderId="0" xfId="0" applyFont="1" applyFill="1" applyBorder="1" applyAlignment="1">
      <alignment horizontal="right"/>
    </xf>
    <xf numFmtId="218" fontId="129" fillId="0" borderId="0" xfId="8" applyNumberFormat="1" applyFont="1" applyFill="1" applyBorder="1"/>
    <xf numFmtId="0" fontId="129" fillId="0" borderId="0" xfId="0" applyFont="1" applyFill="1" applyAlignment="1">
      <alignment vertical="center"/>
    </xf>
    <xf numFmtId="0" fontId="20" fillId="0" borderId="1" xfId="0" applyFont="1" applyFill="1" applyBorder="1" applyAlignment="1">
      <alignment horizontal="right"/>
    </xf>
    <xf numFmtId="218" fontId="11" fillId="0" borderId="0" xfId="8" applyNumberFormat="1" applyFont="1" applyFill="1" applyBorder="1"/>
    <xf numFmtId="0" fontId="2" fillId="0" borderId="0" xfId="0" applyFont="1" applyFill="1" applyBorder="1" applyAlignment="1">
      <alignment vertical="center"/>
    </xf>
    <xf numFmtId="218" fontId="20" fillId="0" borderId="1" xfId="0" applyNumberFormat="1" applyFont="1" applyFill="1" applyBorder="1" applyAlignment="1">
      <alignment horizontal="right" vertical="center"/>
    </xf>
    <xf numFmtId="0" fontId="22" fillId="0" borderId="0" xfId="0" applyFont="1" applyFill="1" applyAlignment="1">
      <alignment horizontal="left"/>
    </xf>
    <xf numFmtId="3" fontId="10" fillId="0" borderId="0" xfId="0" applyNumberFormat="1" applyFont="1" applyFill="1"/>
    <xf numFmtId="188" fontId="10" fillId="0" borderId="0" xfId="0" applyNumberFormat="1" applyFont="1" applyFill="1"/>
    <xf numFmtId="0" fontId="20" fillId="0" borderId="0" xfId="0" applyFont="1" applyFill="1" applyAlignment="1"/>
    <xf numFmtId="3" fontId="2" fillId="0" borderId="0" xfId="0" applyNumberFormat="1" applyFont="1" applyFill="1"/>
    <xf numFmtId="0" fontId="2" fillId="0" borderId="0" xfId="0" applyFont="1" applyFill="1"/>
    <xf numFmtId="0" fontId="20" fillId="0" borderId="0" xfId="0" applyFont="1" applyFill="1" applyAlignment="1">
      <alignment horizontal="left"/>
    </xf>
    <xf numFmtId="218" fontId="20" fillId="0" borderId="0" xfId="8" applyNumberFormat="1" applyFont="1" applyFill="1" applyAlignment="1">
      <alignment horizontal="center"/>
    </xf>
    <xf numFmtId="0" fontId="20" fillId="0" borderId="0" xfId="0" applyFont="1" applyFill="1" applyAlignment="1">
      <alignment horizontal="right"/>
    </xf>
    <xf numFmtId="202" fontId="20" fillId="0" borderId="0" xfId="0" applyNumberFormat="1" applyFont="1" applyFill="1" applyAlignment="1">
      <alignment horizontal="left"/>
    </xf>
    <xf numFmtId="202" fontId="10" fillId="0" borderId="0" xfId="0" applyNumberFormat="1" applyFont="1" applyFill="1"/>
    <xf numFmtId="202" fontId="22" fillId="0" borderId="0" xfId="0" applyNumberFormat="1" applyFont="1" applyFill="1"/>
    <xf numFmtId="0" fontId="22" fillId="0" borderId="0" xfId="0" applyFont="1" applyFill="1" applyAlignment="1">
      <alignment horizontal="right"/>
    </xf>
    <xf numFmtId="189" fontId="22" fillId="0" borderId="0" xfId="0" applyNumberFormat="1" applyFont="1" applyFill="1" applyAlignment="1">
      <alignment horizontal="center"/>
    </xf>
    <xf numFmtId="192" fontId="22" fillId="0" borderId="0" xfId="0" applyNumberFormat="1" applyFont="1" applyFill="1" applyAlignment="1"/>
    <xf numFmtId="192" fontId="22" fillId="0" borderId="0" xfId="0" applyNumberFormat="1" applyFont="1" applyFill="1" applyAlignment="1">
      <alignment horizontal="center"/>
    </xf>
    <xf numFmtId="192" fontId="22" fillId="0" borderId="0" xfId="0" applyNumberFormat="1" applyFont="1" applyFill="1"/>
    <xf numFmtId="202" fontId="22" fillId="0" borderId="0" xfId="0" applyNumberFormat="1" applyFont="1" applyFill="1" applyAlignment="1"/>
    <xf numFmtId="188" fontId="22" fillId="0" borderId="0" xfId="0" applyNumberFormat="1" applyFont="1" applyFill="1"/>
    <xf numFmtId="189" fontId="22" fillId="0" borderId="0" xfId="0" applyNumberFormat="1" applyFont="1" applyFill="1" applyAlignment="1"/>
    <xf numFmtId="0" fontId="22" fillId="0" borderId="0" xfId="0" applyFont="1" applyFill="1" applyAlignment="1"/>
    <xf numFmtId="218" fontId="22" fillId="0" borderId="0" xfId="8" applyNumberFormat="1" applyFont="1" applyFill="1" applyAlignment="1">
      <alignment horizontal="center"/>
    </xf>
    <xf numFmtId="218" fontId="22" fillId="0" borderId="0" xfId="8" applyNumberFormat="1" applyFont="1" applyFill="1" applyAlignment="1"/>
    <xf numFmtId="3" fontId="22" fillId="0" borderId="0" xfId="0" applyNumberFormat="1" applyFont="1" applyFill="1"/>
    <xf numFmtId="218" fontId="10" fillId="0" borderId="0" xfId="8" applyNumberFormat="1" applyFont="1" applyFill="1" applyAlignment="1">
      <alignment horizontal="center"/>
    </xf>
    <xf numFmtId="192" fontId="10" fillId="0" borderId="0" xfId="0" applyNumberFormat="1" applyFont="1" applyFill="1" applyAlignment="1">
      <alignment horizontal="center"/>
    </xf>
    <xf numFmtId="0" fontId="185" fillId="0" borderId="0" xfId="0" applyFont="1" applyFill="1" applyAlignment="1">
      <alignment horizontal="center"/>
    </xf>
    <xf numFmtId="189" fontId="10" fillId="0" borderId="0" xfId="0" applyNumberFormat="1" applyFont="1" applyFill="1"/>
    <xf numFmtId="4" fontId="10" fillId="0" borderId="0" xfId="0" applyNumberFormat="1" applyFont="1" applyFill="1"/>
    <xf numFmtId="192" fontId="10" fillId="0" borderId="0" xfId="0" applyNumberFormat="1" applyFont="1" applyFill="1"/>
    <xf numFmtId="0" fontId="22" fillId="3" borderId="1" xfId="0" applyFont="1" applyFill="1" applyBorder="1" applyAlignment="1">
      <alignment horizontal="center" vertical="center" shrinkToFit="1"/>
    </xf>
    <xf numFmtId="0" fontId="127" fillId="3" borderId="1" xfId="0" applyFont="1" applyFill="1" applyBorder="1" applyAlignment="1">
      <alignment horizontal="center" vertical="center" shrinkToFit="1"/>
    </xf>
    <xf numFmtId="192" fontId="23" fillId="0" borderId="0" xfId="0" applyNumberFormat="1" applyFont="1" applyBorder="1" applyAlignment="1"/>
    <xf numFmtId="0" fontId="188" fillId="0" borderId="1" xfId="0" applyFont="1" applyBorder="1" applyAlignment="1">
      <alignment horizontal="center" vertical="center" wrapText="1"/>
    </xf>
    <xf numFmtId="0" fontId="101" fillId="0" borderId="1" xfId="0" applyFont="1" applyBorder="1" applyAlignment="1">
      <alignment horizontal="center" vertical="center" wrapText="1"/>
    </xf>
    <xf numFmtId="192" fontId="173" fillId="7" borderId="1" xfId="1" applyNumberFormat="1" applyFont="1" applyFill="1" applyBorder="1" applyAlignment="1">
      <alignment horizontal="center" vertical="center" wrapText="1"/>
    </xf>
    <xf numFmtId="0" fontId="101" fillId="7" borderId="1" xfId="1" applyNumberFormat="1" applyFont="1" applyFill="1" applyBorder="1" applyAlignment="1">
      <alignment horizontal="center" vertical="center" wrapText="1"/>
    </xf>
    <xf numFmtId="189" fontId="100" fillId="0" borderId="1" xfId="0" applyNumberFormat="1" applyFont="1" applyBorder="1" applyAlignment="1">
      <alignment horizontal="center" vertical="center" shrinkToFit="1"/>
    </xf>
    <xf numFmtId="189" fontId="22" fillId="3" borderId="1" xfId="0" applyNumberFormat="1" applyFont="1" applyFill="1" applyBorder="1" applyAlignment="1">
      <alignment horizontal="center" vertical="center" shrinkToFit="1"/>
    </xf>
    <xf numFmtId="189" fontId="22" fillId="7" borderId="1" xfId="0" applyNumberFormat="1" applyFont="1" applyFill="1" applyBorder="1" applyAlignment="1">
      <alignment horizontal="center" vertical="center" shrinkToFit="1"/>
    </xf>
    <xf numFmtId="189" fontId="100" fillId="7" borderId="1" xfId="0" applyNumberFormat="1" applyFont="1" applyFill="1" applyBorder="1" applyAlignment="1">
      <alignment horizontal="center" vertical="center" shrinkToFit="1"/>
    </xf>
    <xf numFmtId="189" fontId="22" fillId="7" borderId="1" xfId="0" applyNumberFormat="1" applyFont="1" applyFill="1" applyBorder="1" applyAlignment="1">
      <alignment horizontal="center" vertical="center"/>
    </xf>
    <xf numFmtId="37" fontId="92" fillId="7" borderId="1" xfId="1" applyNumberFormat="1" applyFont="1" applyFill="1" applyBorder="1" applyAlignment="1">
      <alignment horizontal="center" vertical="center" shrinkToFit="1"/>
    </xf>
    <xf numFmtId="43" fontId="92" fillId="7" borderId="1" xfId="1" applyFont="1" applyFill="1" applyBorder="1" applyAlignment="1">
      <alignment horizontal="center" vertical="center" shrinkToFit="1"/>
    </xf>
    <xf numFmtId="191" fontId="22" fillId="7" borderId="1" xfId="1" applyNumberFormat="1" applyFont="1" applyFill="1" applyBorder="1" applyAlignment="1">
      <alignment horizontal="center" vertical="center"/>
    </xf>
    <xf numFmtId="43" fontId="22" fillId="7" borderId="1" xfId="1" applyFont="1" applyFill="1" applyBorder="1" applyAlignment="1">
      <alignment horizontal="center" vertical="center" shrinkToFit="1"/>
    </xf>
    <xf numFmtId="195" fontId="20" fillId="3" borderId="1" xfId="0" applyNumberFormat="1" applyFont="1" applyFill="1" applyBorder="1" applyAlignment="1">
      <alignment horizontal="center" vertical="center" shrinkToFit="1"/>
    </xf>
    <xf numFmtId="189" fontId="127" fillId="0" borderId="1" xfId="0" applyNumberFormat="1" applyFont="1" applyBorder="1" applyAlignment="1">
      <alignment horizontal="center" vertical="center" shrinkToFit="1"/>
    </xf>
    <xf numFmtId="189" fontId="127" fillId="3" borderId="1" xfId="0" applyNumberFormat="1" applyFont="1" applyFill="1" applyBorder="1" applyAlignment="1">
      <alignment horizontal="center" vertical="center" shrinkToFit="1"/>
    </xf>
    <xf numFmtId="189" fontId="127" fillId="7" borderId="1" xfId="0" applyNumberFormat="1" applyFont="1" applyFill="1" applyBorder="1" applyAlignment="1">
      <alignment horizontal="center" vertical="center" shrinkToFit="1"/>
    </xf>
    <xf numFmtId="37" fontId="127" fillId="7" borderId="1" xfId="1" applyNumberFormat="1" applyFont="1" applyFill="1" applyBorder="1" applyAlignment="1">
      <alignment horizontal="center" vertical="center" shrinkToFit="1"/>
    </xf>
    <xf numFmtId="43" fontId="127" fillId="7" borderId="1" xfId="1" applyFont="1" applyFill="1" applyBorder="1" applyAlignment="1">
      <alignment horizontal="center" vertical="center" shrinkToFit="1"/>
    </xf>
    <xf numFmtId="191" fontId="127" fillId="7" borderId="1" xfId="1" applyNumberFormat="1" applyFont="1" applyFill="1" applyBorder="1" applyAlignment="1">
      <alignment horizontal="center" vertical="center"/>
    </xf>
    <xf numFmtId="195" fontId="129" fillId="3" borderId="1" xfId="0" applyNumberFormat="1" applyFont="1" applyFill="1" applyBorder="1" applyAlignment="1">
      <alignment horizontal="center" vertical="center" shrinkToFit="1"/>
    </xf>
    <xf numFmtId="0" fontId="22" fillId="7" borderId="1" xfId="0" applyFont="1" applyFill="1" applyBorder="1" applyAlignment="1">
      <alignment horizontal="center" vertical="center" shrinkToFit="1"/>
    </xf>
    <xf numFmtId="0" fontId="13" fillId="7" borderId="1" xfId="303" applyFont="1" applyFill="1" applyBorder="1" applyAlignment="1">
      <alignment horizontal="left"/>
    </xf>
    <xf numFmtId="195" fontId="20" fillId="7" borderId="1" xfId="0" applyNumberFormat="1" applyFont="1" applyFill="1" applyBorder="1" applyAlignment="1">
      <alignment horizontal="center" vertical="center" shrinkToFit="1"/>
    </xf>
    <xf numFmtId="195" fontId="129" fillId="7" borderId="1" xfId="0" applyNumberFormat="1" applyFont="1" applyFill="1" applyBorder="1" applyAlignment="1">
      <alignment horizontal="center" vertical="center" shrinkToFit="1"/>
    </xf>
    <xf numFmtId="195" fontId="20" fillId="0" borderId="1" xfId="0" applyNumberFormat="1" applyFont="1" applyBorder="1" applyAlignment="1">
      <alignment horizontal="center" vertical="center" shrinkToFit="1"/>
    </xf>
    <xf numFmtId="43" fontId="20" fillId="0" borderId="1" xfId="1" applyFont="1" applyFill="1" applyBorder="1" applyAlignment="1">
      <alignment horizontal="center" vertical="center"/>
    </xf>
    <xf numFmtId="193" fontId="22" fillId="7" borderId="1" xfId="1" applyNumberFormat="1" applyFont="1" applyFill="1" applyBorder="1" applyAlignment="1">
      <alignment horizontal="center" vertical="center"/>
    </xf>
    <xf numFmtId="4" fontId="106" fillId="0" borderId="1" xfId="1" applyNumberFormat="1" applyFont="1" applyFill="1" applyBorder="1" applyAlignment="1">
      <alignment horizontal="center" vertical="center"/>
    </xf>
    <xf numFmtId="0" fontId="164" fillId="7" borderId="1" xfId="25" applyFont="1" applyFill="1" applyBorder="1" applyAlignment="1">
      <alignment horizontal="center" vertical="center"/>
    </xf>
    <xf numFmtId="3" fontId="164" fillId="7" borderId="1" xfId="25" applyNumberFormat="1" applyFont="1" applyFill="1" applyBorder="1" applyAlignment="1">
      <alignment horizontal="center" vertical="center"/>
    </xf>
    <xf numFmtId="0" fontId="92" fillId="0" borderId="20" xfId="0" applyFont="1" applyBorder="1" applyAlignment="1">
      <alignment horizontal="center" vertical="center"/>
    </xf>
    <xf numFmtId="0" fontId="92" fillId="3" borderId="1" xfId="0" applyFont="1" applyFill="1" applyBorder="1" applyAlignment="1">
      <alignment horizontal="center"/>
    </xf>
    <xf numFmtId="0" fontId="173" fillId="7" borderId="1" xfId="0" applyFont="1" applyFill="1" applyBorder="1" applyAlignment="1">
      <alignment horizontal="center"/>
    </xf>
    <xf numFmtId="0" fontId="94" fillId="0" borderId="0" xfId="0" applyFont="1" applyAlignment="1">
      <alignment horizontal="center"/>
    </xf>
    <xf numFmtId="0" fontId="22" fillId="0" borderId="0" xfId="0" applyFont="1" applyFill="1" applyBorder="1" applyAlignment="1">
      <alignment horizontal="right"/>
    </xf>
    <xf numFmtId="218" fontId="22" fillId="0" borderId="0" xfId="8" applyNumberFormat="1" applyFont="1" applyFill="1" applyBorder="1"/>
    <xf numFmtId="0" fontId="22" fillId="0" borderId="0" xfId="0" applyFont="1" applyFill="1" applyAlignment="1">
      <alignment vertical="center"/>
    </xf>
    <xf numFmtId="0" fontId="114" fillId="0" borderId="0" xfId="0" applyFont="1" applyAlignment="1">
      <alignment horizontal="center" vertical="center"/>
    </xf>
    <xf numFmtId="0" fontId="229" fillId="0" borderId="0" xfId="0" applyFont="1" applyAlignment="1">
      <alignment horizontal="center" vertical="center"/>
    </xf>
    <xf numFmtId="0" fontId="114" fillId="0" borderId="0" xfId="0" applyFont="1" applyAlignment="1">
      <alignment vertical="center"/>
    </xf>
    <xf numFmtId="0" fontId="189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1" fontId="189" fillId="0" borderId="0" xfId="0" applyNumberFormat="1" applyFont="1"/>
    <xf numFmtId="1" fontId="0" fillId="0" borderId="0" xfId="0" applyNumberFormat="1"/>
    <xf numFmtId="1" fontId="83" fillId="0" borderId="0" xfId="0" applyNumberFormat="1" applyFont="1"/>
    <xf numFmtId="1" fontId="8" fillId="0" borderId="0" xfId="0" applyNumberFormat="1" applyFont="1" applyAlignment="1">
      <alignment horizontal="left"/>
    </xf>
    <xf numFmtId="1" fontId="17" fillId="0" borderId="1" xfId="0" applyNumberFormat="1" applyFont="1" applyBorder="1" applyAlignment="1">
      <alignment horizontal="center" vertical="center" wrapText="1"/>
    </xf>
    <xf numFmtId="1" fontId="189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192" fontId="22" fillId="7" borderId="1" xfId="0" applyNumberFormat="1" applyFont="1" applyFill="1" applyBorder="1" applyAlignment="1">
      <alignment horizontal="center" vertical="center" shrinkToFit="1"/>
    </xf>
    <xf numFmtId="192" fontId="77" fillId="3" borderId="1" xfId="0" applyNumberFormat="1" applyFont="1" applyFill="1" applyBorder="1" applyAlignment="1">
      <alignment horizontal="center" vertical="center" shrinkToFit="1"/>
    </xf>
    <xf numFmtId="193" fontId="127" fillId="7" borderId="1" xfId="0" applyNumberFormat="1" applyFont="1" applyFill="1" applyBorder="1" applyAlignment="1">
      <alignment horizontal="center" vertical="center" shrinkToFit="1"/>
    </xf>
    <xf numFmtId="212" fontId="20" fillId="0" borderId="1" xfId="1" applyNumberFormat="1" applyFont="1" applyFill="1" applyBorder="1" applyAlignment="1">
      <alignment horizontal="center" vertical="center"/>
    </xf>
    <xf numFmtId="0" fontId="180" fillId="0" borderId="6" xfId="0" applyFont="1" applyFill="1" applyBorder="1" applyAlignment="1">
      <alignment horizontal="center" vertical="center" wrapText="1"/>
    </xf>
    <xf numFmtId="0" fontId="198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96" fillId="0" borderId="0" xfId="0" applyFont="1" applyFill="1" applyBorder="1" applyAlignment="1">
      <alignment horizontal="center" vertical="center"/>
    </xf>
    <xf numFmtId="3" fontId="180" fillId="0" borderId="23" xfId="0" quotePrefix="1" applyNumberFormat="1" applyFont="1" applyFill="1" applyBorder="1" applyAlignment="1">
      <alignment horizontal="center" vertical="center"/>
    </xf>
    <xf numFmtId="3" fontId="180" fillId="0" borderId="22" xfId="0" quotePrefix="1" applyNumberFormat="1" applyFont="1" applyFill="1" applyBorder="1" applyAlignment="1">
      <alignment horizontal="center" vertical="center"/>
    </xf>
    <xf numFmtId="197" fontId="180" fillId="0" borderId="23" xfId="10" applyNumberFormat="1" applyFont="1" applyFill="1" applyBorder="1" applyAlignment="1">
      <alignment horizontal="center" vertical="center"/>
    </xf>
    <xf numFmtId="197" fontId="180" fillId="0" borderId="22" xfId="10" applyNumberFormat="1" applyFont="1" applyFill="1" applyBorder="1" applyAlignment="1">
      <alignment horizontal="center" vertical="center"/>
    </xf>
    <xf numFmtId="4" fontId="201" fillId="0" borderId="18" xfId="10" applyNumberFormat="1" applyFont="1" applyFill="1" applyBorder="1" applyAlignment="1">
      <alignment horizontal="center" vertical="center"/>
    </xf>
    <xf numFmtId="3" fontId="201" fillId="0" borderId="23" xfId="0" applyNumberFormat="1" applyFont="1" applyFill="1" applyBorder="1" applyAlignment="1">
      <alignment horizontal="center" vertical="center" wrapText="1"/>
    </xf>
    <xf numFmtId="3" fontId="201" fillId="0" borderId="18" xfId="0" applyNumberFormat="1" applyFont="1" applyFill="1" applyBorder="1" applyAlignment="1">
      <alignment horizontal="center" vertical="center" wrapText="1"/>
    </xf>
    <xf numFmtId="0" fontId="202" fillId="0" borderId="23" xfId="0" applyNumberFormat="1" applyFont="1" applyFill="1" applyBorder="1" applyAlignment="1">
      <alignment horizontal="center" vertical="center"/>
    </xf>
    <xf numFmtId="197" fontId="179" fillId="0" borderId="23" xfId="0" quotePrefix="1" applyNumberFormat="1" applyFont="1" applyFill="1" applyBorder="1" applyAlignment="1">
      <alignment horizontal="center" vertical="center"/>
    </xf>
    <xf numFmtId="0" fontId="202" fillId="0" borderId="22" xfId="0" applyNumberFormat="1" applyFont="1" applyFill="1" applyBorder="1" applyAlignment="1">
      <alignment horizontal="center" vertical="center"/>
    </xf>
    <xf numFmtId="197" fontId="179" fillId="0" borderId="22" xfId="0" quotePrefix="1" applyNumberFormat="1" applyFont="1" applyFill="1" applyBorder="1" applyAlignment="1">
      <alignment horizontal="center" vertical="center"/>
    </xf>
    <xf numFmtId="0" fontId="179" fillId="0" borderId="0" xfId="0" applyFont="1" applyFill="1" applyBorder="1" applyAlignment="1">
      <alignment horizontal="center" vertical="center"/>
    </xf>
    <xf numFmtId="0" fontId="179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0" fontId="88" fillId="0" borderId="0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/>
    </xf>
    <xf numFmtId="191" fontId="93" fillId="0" borderId="1" xfId="1" applyNumberFormat="1" applyFont="1" applyBorder="1" applyAlignment="1">
      <alignment horizontal="center" vertical="center"/>
    </xf>
    <xf numFmtId="3" fontId="56" fillId="0" borderId="0" xfId="0" applyNumberFormat="1" applyFont="1" applyFill="1" applyBorder="1" applyAlignment="1">
      <alignment horizontal="center" vertical="center"/>
    </xf>
    <xf numFmtId="3" fontId="11" fillId="0" borderId="0" xfId="0" applyNumberFormat="1" applyFont="1" applyFill="1" applyBorder="1" applyAlignment="1">
      <alignment horizontal="center" vertical="center"/>
    </xf>
    <xf numFmtId="0" fontId="199" fillId="0" borderId="0" xfId="0" applyFont="1" applyFill="1" applyBorder="1" applyAlignment="1">
      <alignment horizontal="center" vertical="center" wrapText="1"/>
    </xf>
    <xf numFmtId="2" fontId="179" fillId="0" borderId="16" xfId="0" applyNumberFormat="1" applyFont="1" applyFill="1" applyBorder="1" applyAlignment="1">
      <alignment horizontal="center" vertical="center"/>
    </xf>
    <xf numFmtId="0" fontId="199" fillId="0" borderId="0" xfId="0" quotePrefix="1" applyNumberFormat="1" applyFont="1" applyFill="1" applyBorder="1" applyAlignment="1">
      <alignment horizontal="center" vertical="center"/>
    </xf>
    <xf numFmtId="0" fontId="199" fillId="0" borderId="0" xfId="0" quotePrefix="1" applyNumberFormat="1" applyFont="1" applyFill="1" applyBorder="1" applyAlignment="1">
      <alignment horizontal="center" vertical="center" wrapText="1"/>
    </xf>
    <xf numFmtId="2" fontId="180" fillId="0" borderId="6" xfId="0" applyNumberFormat="1" applyFont="1" applyFill="1" applyBorder="1" applyAlignment="1">
      <alignment horizontal="center" vertical="center" wrapText="1"/>
    </xf>
    <xf numFmtId="195" fontId="201" fillId="0" borderId="0" xfId="0" quotePrefix="1" applyNumberFormat="1" applyFont="1" applyFill="1" applyBorder="1" applyAlignment="1">
      <alignment horizontal="center" vertical="center" wrapText="1"/>
    </xf>
    <xf numFmtId="3" fontId="181" fillId="0" borderId="6" xfId="0" applyNumberFormat="1" applyFont="1" applyFill="1" applyBorder="1" applyAlignment="1">
      <alignment horizontal="center" vertical="center" wrapText="1"/>
    </xf>
    <xf numFmtId="0" fontId="201" fillId="0" borderId="0" xfId="0" quotePrefix="1" applyNumberFormat="1" applyFont="1" applyFill="1" applyBorder="1" applyAlignment="1">
      <alignment horizontal="center" vertical="center" wrapText="1"/>
    </xf>
    <xf numFmtId="2" fontId="180" fillId="0" borderId="6" xfId="0" quotePrefix="1" applyNumberFormat="1" applyFont="1" applyFill="1" applyBorder="1" applyAlignment="1">
      <alignment horizontal="center" vertical="center"/>
    </xf>
    <xf numFmtId="4" fontId="199" fillId="0" borderId="6" xfId="10" applyNumberFormat="1" applyFont="1" applyFill="1" applyBorder="1" applyAlignment="1">
      <alignment horizontal="center" vertical="center"/>
    </xf>
    <xf numFmtId="4" fontId="199" fillId="0" borderId="0" xfId="10" applyNumberFormat="1" applyFont="1" applyFill="1" applyBorder="1" applyAlignment="1">
      <alignment horizontal="center" vertical="center"/>
    </xf>
    <xf numFmtId="0" fontId="203" fillId="0" borderId="1" xfId="0" applyFont="1" applyBorder="1" applyAlignment="1">
      <alignment horizontal="center" vertical="center"/>
    </xf>
    <xf numFmtId="0" fontId="80" fillId="0" borderId="1" xfId="0" applyFont="1" applyBorder="1" applyAlignment="1">
      <alignment horizontal="center" vertical="center"/>
    </xf>
    <xf numFmtId="0" fontId="197" fillId="0" borderId="1" xfId="0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201" fillId="0" borderId="0" xfId="10" applyNumberFormat="1" applyFont="1" applyFill="1" applyBorder="1" applyAlignment="1">
      <alignment horizontal="center" vertical="center"/>
    </xf>
    <xf numFmtId="4" fontId="201" fillId="0" borderId="6" xfId="10" applyNumberFormat="1" applyFont="1" applyFill="1" applyBorder="1" applyAlignment="1">
      <alignment horizontal="center" vertical="center"/>
    </xf>
    <xf numFmtId="0" fontId="201" fillId="7" borderId="6" xfId="273" applyFont="1" applyFill="1" applyBorder="1" applyAlignment="1">
      <alignment vertical="center" wrapText="1"/>
    </xf>
    <xf numFmtId="3" fontId="182" fillId="0" borderId="6" xfId="0" quotePrefix="1" applyNumberFormat="1" applyFont="1" applyFill="1" applyBorder="1" applyAlignment="1">
      <alignment horizontal="center" vertical="center"/>
    </xf>
    <xf numFmtId="0" fontId="197" fillId="0" borderId="0" xfId="0" applyFont="1" applyAlignment="1">
      <alignment horizontal="center"/>
    </xf>
    <xf numFmtId="0" fontId="231" fillId="0" borderId="0" xfId="0" applyFont="1" applyAlignment="1">
      <alignment horizontal="center"/>
    </xf>
    <xf numFmtId="1" fontId="182" fillId="7" borderId="6" xfId="10" applyNumberFormat="1" applyFont="1" applyFill="1" applyBorder="1" applyAlignment="1">
      <alignment horizontal="center" vertical="center" wrapText="1"/>
    </xf>
    <xf numFmtId="2" fontId="179" fillId="0" borderId="6" xfId="0" applyNumberFormat="1" applyFont="1" applyFill="1" applyBorder="1" applyAlignment="1">
      <alignment horizontal="center" vertical="center"/>
    </xf>
    <xf numFmtId="0" fontId="201" fillId="0" borderId="0" xfId="0" quotePrefix="1" applyNumberFormat="1" applyFont="1" applyFill="1" applyBorder="1" applyAlignment="1">
      <alignment horizontal="center" vertical="center"/>
    </xf>
    <xf numFmtId="2" fontId="179" fillId="0" borderId="17" xfId="0" applyNumberFormat="1" applyFont="1" applyFill="1" applyBorder="1" applyAlignment="1">
      <alignment horizontal="center" vertical="center" wrapText="1"/>
    </xf>
    <xf numFmtId="2" fontId="183" fillId="0" borderId="0" xfId="0" applyNumberFormat="1" applyFont="1" applyFill="1" applyBorder="1" applyAlignment="1">
      <alignment horizontal="center" vertical="center"/>
    </xf>
    <xf numFmtId="0" fontId="183" fillId="3" borderId="0" xfId="0" applyFont="1" applyFill="1" applyBorder="1" applyAlignment="1">
      <alignment horizontal="center" vertical="center"/>
    </xf>
    <xf numFmtId="2" fontId="11" fillId="0" borderId="0" xfId="0" applyNumberFormat="1" applyFont="1" applyFill="1" applyAlignment="1">
      <alignment horizontal="center" vertical="center"/>
    </xf>
    <xf numFmtId="0" fontId="56" fillId="0" borderId="0" xfId="0" applyFont="1" applyFill="1" applyAlignment="1">
      <alignment horizontal="center" vertical="center"/>
    </xf>
    <xf numFmtId="2" fontId="11" fillId="0" borderId="0" xfId="0" applyNumberFormat="1" applyFont="1" applyFill="1" applyBorder="1" applyAlignment="1">
      <alignment horizontal="center" vertical="center"/>
    </xf>
    <xf numFmtId="3" fontId="13" fillId="0" borderId="0" xfId="0" applyNumberFormat="1" applyFont="1" applyFill="1" applyBorder="1" applyAlignment="1">
      <alignment horizontal="center" vertical="center"/>
    </xf>
    <xf numFmtId="0" fontId="56" fillId="0" borderId="0" xfId="0" applyFont="1" applyFill="1" applyBorder="1" applyAlignment="1">
      <alignment horizontal="center" vertical="center"/>
    </xf>
    <xf numFmtId="2" fontId="13" fillId="0" borderId="0" xfId="0" applyNumberFormat="1" applyFont="1" applyFill="1" applyBorder="1" applyAlignment="1">
      <alignment horizontal="center" vertical="center"/>
    </xf>
    <xf numFmtId="0" fontId="79" fillId="0" borderId="0" xfId="0" applyFont="1" applyFill="1" applyAlignment="1">
      <alignment horizontal="center" vertical="center"/>
    </xf>
    <xf numFmtId="2" fontId="28" fillId="0" borderId="0" xfId="0" applyNumberFormat="1" applyFont="1" applyFill="1" applyAlignment="1">
      <alignment horizontal="center" vertical="center"/>
    </xf>
    <xf numFmtId="2" fontId="11" fillId="0" borderId="0" xfId="0" applyNumberFormat="1" applyFont="1" applyFill="1" applyBorder="1" applyAlignment="1">
      <alignment horizontal="center"/>
    </xf>
    <xf numFmtId="3" fontId="56" fillId="0" borderId="0" xfId="0" applyNumberFormat="1" applyFont="1" applyFill="1" applyBorder="1" applyAlignment="1">
      <alignment horizontal="center"/>
    </xf>
    <xf numFmtId="3" fontId="13" fillId="0" borderId="0" xfId="0" applyNumberFormat="1" applyFont="1" applyFill="1" applyBorder="1" applyAlignment="1">
      <alignment horizontal="center"/>
    </xf>
    <xf numFmtId="0" fontId="56" fillId="0" borderId="0" xfId="0" applyFont="1" applyFill="1" applyBorder="1" applyAlignment="1">
      <alignment horizontal="center"/>
    </xf>
    <xf numFmtId="2" fontId="13" fillId="0" borderId="0" xfId="0" applyNumberFormat="1" applyFont="1" applyFill="1" applyBorder="1" applyAlignment="1">
      <alignment horizontal="center"/>
    </xf>
    <xf numFmtId="0" fontId="232" fillId="0" borderId="0" xfId="0" applyFont="1"/>
    <xf numFmtId="4" fontId="180" fillId="0" borderId="6" xfId="0" quotePrefix="1" applyNumberFormat="1" applyFont="1" applyFill="1" applyBorder="1" applyAlignment="1">
      <alignment horizontal="center" vertical="center"/>
    </xf>
    <xf numFmtId="4" fontId="199" fillId="0" borderId="23" xfId="10" applyNumberFormat="1" applyFont="1" applyFill="1" applyBorder="1" applyAlignment="1">
      <alignment horizontal="center" vertical="center"/>
    </xf>
    <xf numFmtId="2" fontId="180" fillId="0" borderId="22" xfId="0" applyNumberFormat="1" applyFont="1" applyFill="1" applyBorder="1" applyAlignment="1">
      <alignment horizontal="center" vertical="center"/>
    </xf>
    <xf numFmtId="43" fontId="203" fillId="0" borderId="0" xfId="10" applyFont="1"/>
    <xf numFmtId="3" fontId="204" fillId="0" borderId="6" xfId="0" quotePrefix="1" applyNumberFormat="1" applyFont="1" applyFill="1" applyBorder="1" applyAlignment="1">
      <alignment horizontal="center" vertical="center"/>
    </xf>
    <xf numFmtId="43" fontId="203" fillId="0" borderId="1" xfId="10" applyFont="1" applyBorder="1" applyAlignment="1">
      <alignment horizontal="center" vertical="center"/>
    </xf>
    <xf numFmtId="4" fontId="197" fillId="0" borderId="1" xfId="0" applyNumberFormat="1" applyFont="1" applyBorder="1" applyAlignment="1">
      <alignment horizontal="center" vertical="center"/>
    </xf>
    <xf numFmtId="4" fontId="0" fillId="0" borderId="0" xfId="0" applyNumberFormat="1"/>
    <xf numFmtId="4" fontId="101" fillId="0" borderId="18" xfId="305" applyNumberFormat="1" applyFont="1" applyFill="1" applyBorder="1" applyAlignment="1">
      <alignment horizontal="right" vertical="center" wrapText="1"/>
    </xf>
    <xf numFmtId="197" fontId="201" fillId="0" borderId="22" xfId="0" applyNumberFormat="1" applyFont="1" applyFill="1" applyBorder="1" applyAlignment="1">
      <alignment horizontal="center" vertical="center" wrapText="1"/>
    </xf>
    <xf numFmtId="197" fontId="197" fillId="0" borderId="0" xfId="0" applyNumberFormat="1" applyFont="1"/>
    <xf numFmtId="2" fontId="180" fillId="0" borderId="23" xfId="0" applyNumberFormat="1" applyFont="1" applyFill="1" applyBorder="1" applyAlignment="1">
      <alignment vertical="center"/>
    </xf>
    <xf numFmtId="1" fontId="180" fillId="7" borderId="6" xfId="10" applyNumberFormat="1" applyFont="1" applyFill="1" applyBorder="1" applyAlignment="1">
      <alignment horizontal="center" vertical="center"/>
    </xf>
    <xf numFmtId="0" fontId="201" fillId="0" borderId="23" xfId="0" applyFont="1" applyFill="1" applyBorder="1" applyAlignment="1">
      <alignment horizontal="center" vertical="center" wrapText="1"/>
    </xf>
    <xf numFmtId="2" fontId="180" fillId="0" borderId="23" xfId="0" applyNumberFormat="1" applyFont="1" applyFill="1" applyBorder="1" applyAlignment="1">
      <alignment horizontal="center" vertical="center"/>
    </xf>
    <xf numFmtId="197" fontId="180" fillId="0" borderId="23" xfId="10" applyNumberFormat="1" applyFont="1" applyFill="1" applyBorder="1" applyAlignment="1">
      <alignment horizontal="center" vertical="center" wrapText="1"/>
    </xf>
    <xf numFmtId="0" fontId="201" fillId="0" borderId="23" xfId="0" quotePrefix="1" applyNumberFormat="1" applyFont="1" applyFill="1" applyBorder="1" applyAlignment="1">
      <alignment horizontal="center" vertical="center"/>
    </xf>
    <xf numFmtId="0" fontId="80" fillId="0" borderId="0" xfId="0" applyFont="1"/>
    <xf numFmtId="195" fontId="180" fillId="0" borderId="23" xfId="0" applyNumberFormat="1" applyFont="1" applyFill="1" applyBorder="1" applyAlignment="1">
      <alignment horizontal="center" vertical="center"/>
    </xf>
    <xf numFmtId="0" fontId="205" fillId="0" borderId="0" xfId="0" applyFont="1" applyFill="1" applyBorder="1" applyAlignment="1">
      <alignment horizontal="center" vertical="center"/>
    </xf>
    <xf numFmtId="3" fontId="11" fillId="0" borderId="0" xfId="0" applyNumberFormat="1" applyFont="1" applyFill="1" applyAlignment="1">
      <alignment horizontal="center" vertical="center"/>
    </xf>
    <xf numFmtId="192" fontId="22" fillId="0" borderId="0" xfId="1" applyNumberFormat="1" applyFont="1" applyFill="1" applyBorder="1"/>
    <xf numFmtId="0" fontId="22" fillId="0" borderId="0" xfId="0" applyFont="1" applyBorder="1"/>
    <xf numFmtId="43" fontId="22" fillId="0" borderId="0" xfId="0" applyNumberFormat="1" applyFont="1" applyBorder="1"/>
    <xf numFmtId="191" fontId="22" fillId="0" borderId="0" xfId="0" applyNumberFormat="1" applyFont="1" applyBorder="1"/>
    <xf numFmtId="3" fontId="22" fillId="0" borderId="0" xfId="0" applyNumberFormat="1" applyFont="1" applyBorder="1"/>
    <xf numFmtId="0" fontId="136" fillId="7" borderId="0" xfId="1" applyNumberFormat="1" applyFont="1" applyFill="1" applyBorder="1" applyAlignment="1">
      <alignment horizontal="center" vertical="center" wrapText="1"/>
    </xf>
    <xf numFmtId="191" fontId="22" fillId="0" borderId="0" xfId="1" applyNumberFormat="1" applyFont="1" applyFill="1" applyBorder="1"/>
    <xf numFmtId="3" fontId="22" fillId="11" borderId="0" xfId="0" applyNumberFormat="1" applyFont="1" applyFill="1" applyBorder="1"/>
    <xf numFmtId="215" fontId="22" fillId="0" borderId="0" xfId="0" applyNumberFormat="1" applyFont="1" applyBorder="1"/>
    <xf numFmtId="43" fontId="22" fillId="0" borderId="0" xfId="1" applyFont="1" applyFill="1" applyBorder="1"/>
    <xf numFmtId="216" fontId="22" fillId="0" borderId="0" xfId="0" applyNumberFormat="1" applyFont="1" applyBorder="1"/>
    <xf numFmtId="0" fontId="20" fillId="0" borderId="0" xfId="0" applyFont="1" applyBorder="1" applyAlignment="1">
      <alignment vertical="center"/>
    </xf>
    <xf numFmtId="0" fontId="124" fillId="0" borderId="0" xfId="0" applyFont="1" applyBorder="1"/>
    <xf numFmtId="217" fontId="22" fillId="0" borderId="0" xfId="0" applyNumberFormat="1" applyFont="1" applyBorder="1"/>
    <xf numFmtId="43" fontId="178" fillId="7" borderId="0" xfId="1" applyFont="1" applyFill="1" applyBorder="1" applyAlignment="1"/>
    <xf numFmtId="43" fontId="22" fillId="0" borderId="0" xfId="1" applyFont="1" applyFill="1" applyBorder="1" applyAlignment="1">
      <alignment horizontal="center"/>
    </xf>
    <xf numFmtId="192" fontId="22" fillId="0" borderId="0" xfId="1" applyNumberFormat="1" applyFont="1" applyFill="1" applyBorder="1" applyAlignment="1">
      <alignment horizontal="center"/>
    </xf>
    <xf numFmtId="4" fontId="77" fillId="0" borderId="1" xfId="1" applyNumberFormat="1" applyFont="1" applyFill="1" applyBorder="1" applyAlignment="1">
      <alignment horizontal="center"/>
    </xf>
    <xf numFmtId="212" fontId="77" fillId="0" borderId="1" xfId="1" applyNumberFormat="1" applyFont="1" applyBorder="1" applyAlignment="1">
      <alignment horizontal="center"/>
    </xf>
    <xf numFmtId="191" fontId="77" fillId="0" borderId="1" xfId="1" applyNumberFormat="1" applyFont="1" applyFill="1" applyBorder="1" applyAlignment="1">
      <alignment horizontal="center"/>
    </xf>
    <xf numFmtId="191" fontId="77" fillId="0" borderId="1" xfId="1" applyNumberFormat="1" applyFont="1" applyBorder="1" applyAlignment="1">
      <alignment horizontal="center"/>
    </xf>
    <xf numFmtId="191" fontId="77" fillId="0" borderId="1" xfId="1" applyNumberFormat="1" applyFont="1" applyBorder="1" applyAlignment="1">
      <alignment horizontal="right"/>
    </xf>
    <xf numFmtId="43" fontId="77" fillId="0" borderId="1" xfId="1" applyFont="1" applyBorder="1" applyAlignment="1">
      <alignment horizontal="right"/>
    </xf>
    <xf numFmtId="0" fontId="77" fillId="0" borderId="0" xfId="0" applyFont="1"/>
    <xf numFmtId="43" fontId="77" fillId="0" borderId="0" xfId="0" applyNumberFormat="1" applyFont="1" applyBorder="1"/>
    <xf numFmtId="0" fontId="77" fillId="0" borderId="0" xfId="0" applyFont="1" applyBorder="1"/>
    <xf numFmtId="3" fontId="77" fillId="0" borderId="0" xfId="0" applyNumberFormat="1" applyFont="1" applyBorder="1"/>
    <xf numFmtId="0" fontId="147" fillId="0" borderId="0" xfId="0" applyFont="1" applyAlignment="1">
      <alignment vertical="center"/>
    </xf>
    <xf numFmtId="0" fontId="15" fillId="0" borderId="1" xfId="0" applyFont="1" applyBorder="1" applyAlignment="1" applyProtection="1">
      <alignment horizontal="center" vertical="center"/>
      <protection hidden="1"/>
    </xf>
    <xf numFmtId="0" fontId="15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51" fillId="0" borderId="0" xfId="0" quotePrefix="1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" fontId="124" fillId="7" borderId="0" xfId="0" applyNumberFormat="1" applyFont="1" applyFill="1" applyAlignment="1">
      <alignment horizontal="center" vertical="center"/>
    </xf>
    <xf numFmtId="191" fontId="129" fillId="7" borderId="0" xfId="1" applyNumberFormat="1" applyFont="1" applyFill="1" applyAlignment="1">
      <alignment horizontal="center" vertical="center"/>
    </xf>
    <xf numFmtId="0" fontId="65" fillId="0" borderId="0" xfId="0" applyFont="1" applyAlignment="1"/>
    <xf numFmtId="0" fontId="124" fillId="7" borderId="0" xfId="0" applyFont="1" applyFill="1" applyAlignment="1"/>
    <xf numFmtId="191" fontId="1" fillId="0" borderId="1" xfId="1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213" fontId="4" fillId="0" borderId="6" xfId="1" applyNumberFormat="1" applyFont="1" applyBorder="1" applyAlignment="1">
      <alignment horizontal="center" vertical="center"/>
    </xf>
    <xf numFmtId="192" fontId="171" fillId="0" borderId="0" xfId="1" applyNumberFormat="1" applyFont="1" applyFill="1"/>
    <xf numFmtId="218" fontId="175" fillId="0" borderId="0" xfId="1" applyNumberFormat="1" applyFont="1" applyFill="1" applyBorder="1" applyAlignment="1"/>
    <xf numFmtId="0" fontId="23" fillId="0" borderId="0" xfId="255" applyFont="1" applyAlignment="1">
      <alignment horizontal="center" vertical="center"/>
    </xf>
    <xf numFmtId="0" fontId="124" fillId="7" borderId="0" xfId="0" applyFont="1" applyFill="1" applyAlignment="1">
      <alignment horizontal="center"/>
    </xf>
    <xf numFmtId="0" fontId="124" fillId="7" borderId="0" xfId="0" applyFont="1" applyFill="1" applyAlignment="1">
      <alignment horizontal="center" vertical="center"/>
    </xf>
    <xf numFmtId="0" fontId="77" fillId="0" borderId="0" xfId="0" applyFont="1" applyAlignment="1">
      <alignment horizontal="center" vertical="center"/>
    </xf>
    <xf numFmtId="0" fontId="218" fillId="7" borderId="0" xfId="0" applyFont="1" applyFill="1" applyAlignment="1">
      <alignment horizontal="center" vertical="center"/>
    </xf>
    <xf numFmtId="3" fontId="125" fillId="7" borderId="0" xfId="0" applyNumberFormat="1" applyFont="1" applyFill="1" applyAlignment="1">
      <alignment horizontal="center"/>
    </xf>
    <xf numFmtId="192" fontId="224" fillId="7" borderId="0" xfId="0" applyNumberFormat="1" applyFont="1" applyFill="1" applyAlignment="1">
      <alignment horizontal="center" vertical="center"/>
    </xf>
    <xf numFmtId="3" fontId="22" fillId="0" borderId="0" xfId="0" applyNumberFormat="1" applyFont="1" applyAlignment="1">
      <alignment horizontal="center"/>
    </xf>
    <xf numFmtId="192" fontId="136" fillId="7" borderId="0" xfId="1" applyNumberFormat="1" applyFont="1" applyFill="1" applyBorder="1" applyAlignment="1">
      <alignment horizontal="center" vertical="center" wrapText="1"/>
    </xf>
    <xf numFmtId="0" fontId="164" fillId="7" borderId="0" xfId="0" applyFont="1" applyFill="1" applyBorder="1" applyAlignment="1">
      <alignment horizontal="center" vertical="center" wrapText="1"/>
    </xf>
    <xf numFmtId="1" fontId="136" fillId="7" borderId="0" xfId="0" applyNumberFormat="1" applyFont="1" applyFill="1" applyBorder="1" applyAlignment="1">
      <alignment horizontal="center" vertical="center" wrapText="1"/>
    </xf>
    <xf numFmtId="191" fontId="136" fillId="7" borderId="0" xfId="1" applyNumberFormat="1" applyFont="1" applyFill="1" applyBorder="1" applyAlignment="1">
      <alignment horizontal="center" wrapText="1"/>
    </xf>
    <xf numFmtId="213" fontId="164" fillId="7" borderId="0" xfId="1" applyNumberFormat="1" applyFont="1" applyFill="1" applyBorder="1" applyAlignment="1">
      <alignment horizontal="right" vertical="center" shrinkToFit="1"/>
    </xf>
    <xf numFmtId="0" fontId="212" fillId="7" borderId="0" xfId="0" applyFont="1" applyFill="1" applyBorder="1" applyAlignment="1">
      <alignment horizontal="center" vertical="center" shrinkToFit="1"/>
    </xf>
    <xf numFmtId="4" fontId="136" fillId="7" borderId="1" xfId="1" applyNumberFormat="1" applyFont="1" applyFill="1" applyBorder="1" applyAlignment="1">
      <alignment vertical="center" shrinkToFit="1"/>
    </xf>
    <xf numFmtId="0" fontId="124" fillId="7" borderId="1" xfId="0" applyFont="1" applyFill="1" applyBorder="1" applyAlignment="1">
      <alignment horizontal="center" wrapText="1"/>
    </xf>
    <xf numFmtId="0" fontId="136" fillId="7" borderId="1" xfId="0" applyFont="1" applyFill="1" applyBorder="1" applyAlignment="1">
      <alignment horizontal="center" wrapText="1"/>
    </xf>
    <xf numFmtId="1" fontId="136" fillId="7" borderId="1" xfId="0" quotePrefix="1" applyNumberFormat="1" applyFont="1" applyFill="1" applyBorder="1" applyAlignment="1">
      <alignment horizontal="center" vertical="center" wrapText="1"/>
    </xf>
    <xf numFmtId="1" fontId="124" fillId="7" borderId="1" xfId="0" quotePrefix="1" applyNumberFormat="1" applyFont="1" applyFill="1" applyBorder="1" applyAlignment="1">
      <alignment horizontal="center" vertical="center" wrapText="1"/>
    </xf>
    <xf numFmtId="1" fontId="124" fillId="7" borderId="1" xfId="0" applyNumberFormat="1" applyFont="1" applyFill="1" applyBorder="1" applyAlignment="1">
      <alignment horizontal="center" vertical="center" wrapText="1"/>
    </xf>
    <xf numFmtId="229" fontId="124" fillId="7" borderId="1" xfId="0" quotePrefix="1" applyNumberFormat="1" applyFont="1" applyFill="1" applyBorder="1" applyAlignment="1">
      <alignment horizontal="center" vertical="center" wrapText="1"/>
    </xf>
    <xf numFmtId="191" fontId="101" fillId="0" borderId="1" xfId="1" applyNumberFormat="1" applyFont="1" applyBorder="1" applyAlignment="1">
      <alignment horizontal="right"/>
    </xf>
    <xf numFmtId="0" fontId="23" fillId="0" borderId="0" xfId="255" applyFont="1" applyAlignment="1">
      <alignment vertical="center"/>
    </xf>
    <xf numFmtId="0" fontId="93" fillId="0" borderId="0" xfId="0" applyFont="1" applyAlignment="1">
      <alignment horizontal="center" vertical="center"/>
    </xf>
    <xf numFmtId="1" fontId="92" fillId="0" borderId="16" xfId="1" applyNumberFormat="1" applyFont="1" applyFill="1" applyBorder="1" applyAlignment="1">
      <alignment horizontal="center" vertical="center" wrapText="1"/>
    </xf>
    <xf numFmtId="1" fontId="92" fillId="0" borderId="17" xfId="1" applyNumberFormat="1" applyFont="1" applyFill="1" applyBorder="1" applyAlignment="1">
      <alignment horizontal="center" vertical="center" wrapText="1"/>
    </xf>
    <xf numFmtId="1" fontId="93" fillId="0" borderId="20" xfId="1" applyNumberFormat="1" applyFont="1" applyFill="1" applyBorder="1" applyAlignment="1">
      <alignment horizontal="center" vertical="center"/>
    </xf>
    <xf numFmtId="0" fontId="20" fillId="0" borderId="1" xfId="0" quotePrefix="1" applyFont="1" applyBorder="1" applyAlignment="1">
      <alignment horizontal="center" vertical="center"/>
    </xf>
    <xf numFmtId="0" fontId="74" fillId="0" borderId="0" xfId="0" applyFont="1" applyAlignment="1"/>
    <xf numFmtId="1" fontId="129" fillId="7" borderId="0" xfId="0" applyNumberFormat="1" applyFont="1" applyFill="1" applyAlignment="1">
      <alignment horizontal="center" vertical="center"/>
    </xf>
    <xf numFmtId="0" fontId="127" fillId="7" borderId="0" xfId="0" applyFont="1" applyFill="1" applyBorder="1" applyAlignment="1">
      <alignment vertical="center"/>
    </xf>
    <xf numFmtId="191" fontId="127" fillId="7" borderId="0" xfId="1" applyNumberFormat="1" applyFont="1" applyFill="1" applyBorder="1"/>
    <xf numFmtId="191" fontId="127" fillId="7" borderId="0" xfId="0" applyNumberFormat="1" applyFont="1" applyFill="1" applyBorder="1"/>
    <xf numFmtId="0" fontId="127" fillId="7" borderId="0" xfId="0" applyFont="1" applyFill="1" applyBorder="1"/>
    <xf numFmtId="213" fontId="35" fillId="0" borderId="1" xfId="1" applyNumberFormat="1" applyFont="1" applyBorder="1" applyAlignment="1">
      <alignment horizontal="center" vertical="center"/>
    </xf>
    <xf numFmtId="0" fontId="77" fillId="0" borderId="0" xfId="0" applyFont="1" applyBorder="1" applyAlignment="1"/>
    <xf numFmtId="0" fontId="65" fillId="7" borderId="1" xfId="255" applyFont="1" applyFill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58" fillId="0" borderId="0" xfId="0" applyFont="1" applyAlignment="1">
      <alignment horizontal="center"/>
    </xf>
    <xf numFmtId="0" fontId="189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213" fillId="0" borderId="1" xfId="303" applyFont="1" applyBorder="1" applyAlignment="1">
      <alignment horizontal="left"/>
    </xf>
    <xf numFmtId="43" fontId="127" fillId="0" borderId="1" xfId="1" applyFont="1" applyFill="1" applyBorder="1" applyAlignment="1">
      <alignment horizontal="center" vertical="center" shrinkToFit="1"/>
    </xf>
    <xf numFmtId="195" fontId="129" fillId="0" borderId="1" xfId="0" applyNumberFormat="1" applyFont="1" applyBorder="1" applyAlignment="1">
      <alignment horizontal="center" vertical="center" shrinkToFit="1"/>
    </xf>
    <xf numFmtId="0" fontId="38" fillId="0" borderId="1" xfId="0" applyFont="1" applyBorder="1" applyAlignment="1">
      <alignment horizontal="center" vertical="top" wrapText="1"/>
    </xf>
    <xf numFmtId="0" fontId="38" fillId="13" borderId="68" xfId="0" applyFont="1" applyFill="1" applyBorder="1" applyAlignment="1">
      <alignment horizontal="left" shrinkToFit="1"/>
    </xf>
    <xf numFmtId="0" fontId="234" fillId="0" borderId="1" xfId="0" applyFont="1" applyBorder="1" applyAlignment="1">
      <alignment horizontal="center" wrapText="1"/>
    </xf>
    <xf numFmtId="0" fontId="38" fillId="0" borderId="1" xfId="0" applyFont="1" applyBorder="1" applyAlignment="1">
      <alignment horizontal="center" wrapText="1"/>
    </xf>
    <xf numFmtId="0" fontId="233" fillId="0" borderId="1" xfId="0" applyFont="1" applyBorder="1" applyAlignment="1">
      <alignment horizontal="center" wrapText="1"/>
    </xf>
    <xf numFmtId="2" fontId="38" fillId="0" borderId="1" xfId="0" applyNumberFormat="1" applyFont="1" applyBorder="1" applyAlignment="1">
      <alignment horizontal="center" wrapText="1"/>
    </xf>
    <xf numFmtId="1" fontId="38" fillId="0" borderId="1" xfId="0" applyNumberFormat="1" applyFont="1" applyBorder="1" applyAlignment="1">
      <alignment horizontal="center" wrapText="1"/>
    </xf>
    <xf numFmtId="192" fontId="38" fillId="0" borderId="1" xfId="1" applyNumberFormat="1" applyFont="1" applyBorder="1" applyAlignment="1">
      <alignment horizontal="center" wrapText="1"/>
    </xf>
    <xf numFmtId="0" fontId="232" fillId="0" borderId="1" xfId="0" applyFont="1" applyBorder="1"/>
    <xf numFmtId="0" fontId="232" fillId="0" borderId="1" xfId="0" applyFont="1" applyBorder="1" applyAlignment="1">
      <alignment horizontal="center"/>
    </xf>
    <xf numFmtId="1" fontId="232" fillId="0" borderId="1" xfId="0" applyNumberFormat="1" applyFont="1" applyBorder="1" applyAlignment="1">
      <alignment horizontal="center"/>
    </xf>
    <xf numFmtId="192" fontId="232" fillId="0" borderId="1" xfId="1" applyNumberFormat="1" applyFont="1" applyBorder="1" applyAlignment="1">
      <alignment horizontal="center"/>
    </xf>
    <xf numFmtId="0" fontId="235" fillId="0" borderId="0" xfId="0" applyFont="1"/>
    <xf numFmtId="192" fontId="13" fillId="3" borderId="0" xfId="0" applyNumberFormat="1" applyFont="1" applyFill="1" applyBorder="1" applyAlignment="1">
      <alignment horizontal="right"/>
    </xf>
    <xf numFmtId="0" fontId="13" fillId="0" borderId="0" xfId="0" applyFont="1" applyBorder="1" applyAlignment="1">
      <alignment horizontal="center"/>
    </xf>
    <xf numFmtId="192" fontId="13" fillId="3" borderId="83" xfId="0" applyNumberFormat="1" applyFont="1" applyFill="1" applyBorder="1" applyAlignment="1">
      <alignment horizontal="right"/>
    </xf>
    <xf numFmtId="0" fontId="20" fillId="0" borderId="0" xfId="0" applyFont="1" applyAlignment="1">
      <alignment horizontal="center"/>
    </xf>
    <xf numFmtId="0" fontId="125" fillId="7" borderId="0" xfId="0" applyFont="1" applyFill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4" fontId="92" fillId="0" borderId="0" xfId="0" applyNumberFormat="1" applyFont="1" applyAlignment="1">
      <alignment horizontal="center"/>
    </xf>
    <xf numFmtId="0" fontId="92" fillId="0" borderId="0" xfId="0" applyFont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0" fontId="196" fillId="0" borderId="0" xfId="0" applyFont="1" applyFill="1" applyBorder="1" applyAlignment="1">
      <alignment horizontal="center" vertical="center"/>
    </xf>
    <xf numFmtId="0" fontId="180" fillId="0" borderId="6" xfId="0" applyFont="1" applyFill="1" applyBorder="1" applyAlignment="1">
      <alignment horizontal="center" vertical="center" wrapText="1"/>
    </xf>
    <xf numFmtId="3" fontId="201" fillId="0" borderId="18" xfId="0" applyNumberFormat="1" applyFont="1" applyFill="1" applyBorder="1" applyAlignment="1">
      <alignment horizontal="center" vertical="center" wrapText="1"/>
    </xf>
    <xf numFmtId="0" fontId="201" fillId="0" borderId="18" xfId="0" applyFont="1" applyFill="1" applyBorder="1" applyAlignment="1">
      <alignment horizontal="left" vertical="center" wrapText="1"/>
    </xf>
    <xf numFmtId="0" fontId="202" fillId="0" borderId="18" xfId="0" applyNumberFormat="1" applyFont="1" applyFill="1" applyBorder="1" applyAlignment="1">
      <alignment horizontal="center" vertical="center"/>
    </xf>
    <xf numFmtId="2" fontId="180" fillId="0" borderId="18" xfId="0" applyNumberFormat="1" applyFont="1" applyFill="1" applyBorder="1" applyAlignment="1">
      <alignment horizontal="center" vertical="center"/>
    </xf>
    <xf numFmtId="197" fontId="179" fillId="0" borderId="18" xfId="0" quotePrefix="1" applyNumberFormat="1" applyFont="1" applyFill="1" applyBorder="1" applyAlignment="1">
      <alignment horizontal="center" vertical="center"/>
    </xf>
    <xf numFmtId="3" fontId="180" fillId="0" borderId="18" xfId="0" quotePrefix="1" applyNumberFormat="1" applyFont="1" applyFill="1" applyBorder="1" applyAlignment="1">
      <alignment horizontal="center" vertical="center"/>
    </xf>
    <xf numFmtId="197" fontId="180" fillId="0" borderId="18" xfId="10" applyNumberFormat="1" applyFont="1" applyFill="1" applyBorder="1" applyAlignment="1">
      <alignment horizontal="center" vertical="center"/>
    </xf>
    <xf numFmtId="4" fontId="201" fillId="0" borderId="18" xfId="10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0" fontId="88" fillId="0" borderId="0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/>
    </xf>
    <xf numFmtId="0" fontId="179" fillId="0" borderId="0" xfId="0" applyFont="1" applyFill="1" applyBorder="1" applyAlignment="1">
      <alignment horizontal="center" vertical="center"/>
    </xf>
    <xf numFmtId="0" fontId="179" fillId="0" borderId="0" xfId="0" applyFont="1" applyFill="1" applyAlignment="1">
      <alignment horizontal="center" vertical="center"/>
    </xf>
    <xf numFmtId="0" fontId="198" fillId="0" borderId="0" xfId="0" applyFont="1" applyFill="1" applyBorder="1" applyAlignment="1">
      <alignment horizontal="center" vertical="center"/>
    </xf>
    <xf numFmtId="0" fontId="189" fillId="0" borderId="0" xfId="0" applyFont="1" applyAlignment="1"/>
    <xf numFmtId="0" fontId="0" fillId="0" borderId="0" xfId="0" applyAlignment="1"/>
    <xf numFmtId="0" fontId="83" fillId="0" borderId="0" xfId="0" applyFont="1" applyAlignment="1"/>
    <xf numFmtId="0" fontId="17" fillId="0" borderId="1" xfId="0" applyFont="1" applyBorder="1" applyAlignment="1">
      <alignment vertical="center" wrapText="1"/>
    </xf>
    <xf numFmtId="0" fontId="12" fillId="0" borderId="1" xfId="0" applyFont="1" applyBorder="1" applyAlignment="1">
      <alignment wrapText="1"/>
    </xf>
    <xf numFmtId="192" fontId="38" fillId="0" borderId="1" xfId="1" applyNumberFormat="1" applyFont="1" applyBorder="1" applyAlignment="1">
      <alignment wrapText="1"/>
    </xf>
    <xf numFmtId="192" fontId="189" fillId="0" borderId="1" xfId="1" applyNumberFormat="1" applyFont="1" applyBorder="1" applyAlignment="1"/>
    <xf numFmtId="2" fontId="197" fillId="0" borderId="18" xfId="0" applyNumberFormat="1" applyFont="1" applyFill="1" applyBorder="1" applyAlignment="1">
      <alignment horizontal="center" vertical="center"/>
    </xf>
    <xf numFmtId="192" fontId="12" fillId="0" borderId="20" xfId="1" applyNumberFormat="1" applyFont="1" applyBorder="1" applyAlignment="1">
      <alignment horizontal="center" wrapText="1"/>
    </xf>
    <xf numFmtId="2" fontId="197" fillId="0" borderId="1" xfId="0" applyNumberFormat="1" applyFont="1" applyFill="1" applyBorder="1" applyAlignment="1">
      <alignment horizontal="center" vertical="center"/>
    </xf>
    <xf numFmtId="1" fontId="38" fillId="0" borderId="20" xfId="0" applyNumberFormat="1" applyFont="1" applyBorder="1" applyAlignment="1">
      <alignment horizontal="center" wrapText="1"/>
    </xf>
    <xf numFmtId="192" fontId="38" fillId="0" borderId="20" xfId="1" applyNumberFormat="1" applyFont="1" applyBorder="1" applyAlignment="1">
      <alignment horizontal="center" wrapText="1"/>
    </xf>
    <xf numFmtId="199" fontId="36" fillId="0" borderId="22" xfId="0" applyNumberFormat="1" applyFont="1" applyFill="1" applyBorder="1" applyAlignment="1">
      <alignment horizontal="center" vertical="center"/>
    </xf>
    <xf numFmtId="199" fontId="9" fillId="0" borderId="1" xfId="0" applyNumberFormat="1" applyFont="1" applyFill="1" applyBorder="1" applyAlignment="1">
      <alignment vertical="center"/>
    </xf>
    <xf numFmtId="199" fontId="11" fillId="0" borderId="1" xfId="0" applyNumberFormat="1" applyFont="1" applyFill="1" applyBorder="1" applyAlignment="1">
      <alignment horizontal="center" vertical="center"/>
    </xf>
    <xf numFmtId="199" fontId="9" fillId="0" borderId="16" xfId="0" applyNumberFormat="1" applyFont="1" applyFill="1" applyBorder="1" applyAlignment="1">
      <alignment vertical="center" wrapText="1"/>
    </xf>
    <xf numFmtId="199" fontId="237" fillId="0" borderId="16" xfId="0" applyNumberFormat="1" applyFont="1" applyFill="1" applyBorder="1" applyAlignment="1">
      <alignment horizontal="center" vertical="center"/>
    </xf>
    <xf numFmtId="233" fontId="36" fillId="0" borderId="16" xfId="8" applyNumberFormat="1" applyFont="1" applyFill="1" applyBorder="1" applyAlignment="1">
      <alignment horizontal="center" vertical="center"/>
    </xf>
    <xf numFmtId="199" fontId="36" fillId="0" borderId="16" xfId="0" applyNumberFormat="1" applyFont="1" applyFill="1" applyBorder="1" applyAlignment="1">
      <alignment horizontal="right" vertical="center"/>
    </xf>
    <xf numFmtId="199" fontId="36" fillId="0" borderId="22" xfId="0" applyNumberFormat="1" applyFont="1" applyFill="1" applyBorder="1" applyAlignment="1">
      <alignment vertical="center"/>
    </xf>
    <xf numFmtId="199" fontId="9" fillId="0" borderId="6" xfId="0" applyNumberFormat="1" applyFont="1" applyFill="1" applyBorder="1" applyAlignment="1">
      <alignment vertical="center" wrapText="1"/>
    </xf>
    <xf numFmtId="199" fontId="9" fillId="0" borderId="6" xfId="0" applyNumberFormat="1" applyFont="1" applyFill="1" applyBorder="1" applyAlignment="1">
      <alignment horizontal="center" vertical="center"/>
    </xf>
    <xf numFmtId="199" fontId="36" fillId="0" borderId="6" xfId="0" applyNumberFormat="1" applyFont="1" applyFill="1" applyBorder="1" applyAlignment="1">
      <alignment horizontal="center" vertical="center"/>
    </xf>
    <xf numFmtId="199" fontId="36" fillId="0" borderId="6" xfId="0" applyNumberFormat="1" applyFont="1" applyFill="1" applyBorder="1" applyAlignment="1">
      <alignment horizontal="right" vertical="center"/>
    </xf>
    <xf numFmtId="199" fontId="17" fillId="0" borderId="6" xfId="0" applyNumberFormat="1" applyFont="1" applyFill="1" applyBorder="1" applyAlignment="1">
      <alignment vertical="center"/>
    </xf>
    <xf numFmtId="199" fontId="9" fillId="0" borderId="6" xfId="0" applyNumberFormat="1" applyFont="1" applyFill="1" applyBorder="1" applyAlignment="1">
      <alignment horizontal="right" vertical="center"/>
    </xf>
    <xf numFmtId="199" fontId="15" fillId="0" borderId="6" xfId="0" applyNumberFormat="1" applyFont="1" applyFill="1" applyBorder="1" applyAlignment="1">
      <alignment horizontal="left" vertical="center"/>
    </xf>
    <xf numFmtId="199" fontId="15" fillId="0" borderId="6" xfId="0" applyNumberFormat="1" applyFont="1" applyFill="1" applyBorder="1" applyAlignment="1">
      <alignment vertical="center"/>
    </xf>
    <xf numFmtId="199" fontId="10" fillId="0" borderId="6" xfId="0" applyNumberFormat="1" applyFont="1" applyFill="1" applyBorder="1"/>
    <xf numFmtId="199" fontId="36" fillId="0" borderId="17" xfId="0" applyNumberFormat="1" applyFont="1" applyFill="1" applyBorder="1" applyAlignment="1">
      <alignment vertical="center"/>
    </xf>
    <xf numFmtId="199" fontId="238" fillId="0" borderId="17" xfId="0" applyNumberFormat="1" applyFont="1" applyFill="1" applyBorder="1" applyAlignment="1">
      <alignment horizontal="center" vertical="center"/>
    </xf>
    <xf numFmtId="199" fontId="239" fillId="0" borderId="17" xfId="0" applyNumberFormat="1" applyFont="1" applyFill="1" applyBorder="1" applyAlignment="1">
      <alignment horizontal="center" vertical="center"/>
    </xf>
    <xf numFmtId="199" fontId="239" fillId="0" borderId="17" xfId="0" applyNumberFormat="1" applyFont="1" applyFill="1" applyBorder="1" applyAlignment="1">
      <alignment horizontal="right" vertical="center"/>
    </xf>
    <xf numFmtId="199" fontId="239" fillId="0" borderId="22" xfId="0" applyNumberFormat="1" applyFont="1" applyFill="1" applyBorder="1" applyAlignment="1">
      <alignment horizontal="right" vertical="center"/>
    </xf>
    <xf numFmtId="199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/>
    <xf numFmtId="199" fontId="16" fillId="0" borderId="0" xfId="0" applyNumberFormat="1" applyFont="1" applyFill="1" applyBorder="1" applyAlignment="1">
      <alignment vertical="center"/>
    </xf>
    <xf numFmtId="199" fontId="36" fillId="0" borderId="0" xfId="0" applyNumberFormat="1" applyFont="1" applyFill="1" applyBorder="1" applyAlignment="1">
      <alignment vertical="center"/>
    </xf>
    <xf numFmtId="199" fontId="240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/>
    <xf numFmtId="199" fontId="17" fillId="0" borderId="0" xfId="0" applyNumberFormat="1" applyFont="1" applyFill="1" applyBorder="1" applyAlignment="1">
      <alignment vertical="center"/>
    </xf>
    <xf numFmtId="199" fontId="9" fillId="0" borderId="0" xfId="0" applyNumberFormat="1" applyFont="1" applyFill="1" applyBorder="1" applyAlignment="1">
      <alignment vertical="center"/>
    </xf>
    <xf numFmtId="199" fontId="9" fillId="0" borderId="0" xfId="0" applyNumberFormat="1" applyFont="1" applyFill="1" applyBorder="1" applyAlignment="1">
      <alignment horizontal="center" vertical="center"/>
    </xf>
    <xf numFmtId="199" fontId="239" fillId="0" borderId="0" xfId="0" applyNumberFormat="1" applyFont="1" applyFill="1" applyBorder="1" applyAlignment="1">
      <alignment horizontal="right" vertical="center"/>
    </xf>
    <xf numFmtId="0" fontId="6" fillId="0" borderId="0" xfId="0" applyFont="1" applyFill="1" applyAlignment="1">
      <alignment horizontal="center"/>
    </xf>
    <xf numFmtId="199" fontId="9" fillId="0" borderId="0" xfId="0" applyNumberFormat="1" applyFont="1" applyFill="1" applyBorder="1" applyAlignment="1">
      <alignment horizontal="left" vertical="center"/>
    </xf>
    <xf numFmtId="199" fontId="10" fillId="0" borderId="0" xfId="0" applyNumberFormat="1" applyFont="1" applyFill="1" applyBorder="1"/>
    <xf numFmtId="199" fontId="11" fillId="0" borderId="0" xfId="0" applyNumberFormat="1" applyFont="1" applyFill="1" applyBorder="1" applyAlignment="1">
      <alignment vertical="center"/>
    </xf>
    <xf numFmtId="232" fontId="36" fillId="0" borderId="0" xfId="0" applyNumberFormat="1" applyFont="1" applyFill="1" applyBorder="1" applyAlignment="1">
      <alignment horizontal="center" vertical="center"/>
    </xf>
    <xf numFmtId="199" fontId="236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Border="1"/>
    <xf numFmtId="199" fontId="238" fillId="0" borderId="0" xfId="0" applyNumberFormat="1" applyFont="1" applyFill="1" applyBorder="1" applyAlignment="1">
      <alignment horizontal="center" vertical="center"/>
    </xf>
    <xf numFmtId="199" fontId="239" fillId="0" borderId="0" xfId="0" applyNumberFormat="1" applyFont="1" applyFill="1" applyBorder="1" applyAlignment="1">
      <alignment horizontal="center" vertical="center"/>
    </xf>
    <xf numFmtId="199" fontId="237" fillId="0" borderId="0" xfId="0" applyNumberFormat="1" applyFont="1" applyFill="1" applyBorder="1" applyAlignment="1">
      <alignment horizontal="center" vertical="center"/>
    </xf>
    <xf numFmtId="199" fontId="36" fillId="0" borderId="0" xfId="8" applyNumberFormat="1" applyFont="1" applyFill="1" applyBorder="1" applyAlignment="1">
      <alignment horizontal="center" vertical="center"/>
    </xf>
    <xf numFmtId="0" fontId="6" fillId="0" borderId="0" xfId="0" applyFont="1" applyFill="1" applyAlignment="1"/>
    <xf numFmtId="192" fontId="101" fillId="7" borderId="1" xfId="0" applyNumberFormat="1" applyFont="1" applyFill="1" applyBorder="1" applyAlignment="1">
      <alignment horizontal="center" vertical="center" shrinkToFit="1"/>
    </xf>
    <xf numFmtId="193" fontId="22" fillId="7" borderId="1" xfId="0" applyNumberFormat="1" applyFont="1" applyFill="1" applyBorder="1" applyAlignment="1">
      <alignment horizontal="center" vertical="center"/>
    </xf>
    <xf numFmtId="188" fontId="22" fillId="0" borderId="21" xfId="0" quotePrefix="1" applyNumberFormat="1" applyFont="1" applyFill="1" applyBorder="1" applyAlignment="1">
      <alignment horizontal="left" vertical="center"/>
    </xf>
    <xf numFmtId="188" fontId="22" fillId="0" borderId="21" xfId="0" applyNumberFormat="1" applyFont="1" applyFill="1" applyBorder="1" applyAlignment="1">
      <alignment horizontal="left" vertical="center"/>
    </xf>
    <xf numFmtId="188" fontId="22" fillId="0" borderId="31" xfId="0" applyNumberFormat="1" applyFont="1" applyFill="1" applyBorder="1" applyAlignment="1">
      <alignment horizontal="left" vertical="center"/>
    </xf>
    <xf numFmtId="191" fontId="125" fillId="7" borderId="0" xfId="1" applyNumberFormat="1" applyFont="1" applyFill="1" applyBorder="1" applyAlignment="1">
      <alignment vertical="center"/>
    </xf>
    <xf numFmtId="4" fontId="0" fillId="0" borderId="0" xfId="0" applyNumberFormat="1" applyAlignment="1">
      <alignment horizontal="center"/>
    </xf>
    <xf numFmtId="4" fontId="197" fillId="0" borderId="0" xfId="0" applyNumberFormat="1" applyFont="1" applyAlignment="1">
      <alignment horizontal="center"/>
    </xf>
    <xf numFmtId="3" fontId="179" fillId="0" borderId="16" xfId="0" quotePrefix="1" applyNumberFormat="1" applyFont="1" applyFill="1" applyBorder="1" applyAlignment="1">
      <alignment vertical="center"/>
    </xf>
    <xf numFmtId="2" fontId="179" fillId="0" borderId="16" xfId="0" quotePrefix="1" applyNumberFormat="1" applyFont="1" applyFill="1" applyBorder="1" applyAlignment="1">
      <alignment vertical="center"/>
    </xf>
    <xf numFmtId="0" fontId="199" fillId="0" borderId="16" xfId="0" quotePrefix="1" applyNumberFormat="1" applyFont="1" applyFill="1" applyBorder="1" applyAlignment="1">
      <alignment vertical="center"/>
    </xf>
    <xf numFmtId="0" fontId="179" fillId="0" borderId="6" xfId="0" applyFont="1" applyFill="1" applyBorder="1" applyAlignment="1">
      <alignment vertical="center" wrapText="1"/>
    </xf>
    <xf numFmtId="2" fontId="179" fillId="0" borderId="6" xfId="0" applyNumberFormat="1" applyFont="1" applyFill="1" applyBorder="1" applyAlignment="1">
      <alignment vertical="center" wrapText="1"/>
    </xf>
    <xf numFmtId="0" fontId="199" fillId="0" borderId="6" xfId="0" quotePrefix="1" applyNumberFormat="1" applyFont="1" applyFill="1" applyBorder="1" applyAlignment="1">
      <alignment vertical="center" wrapText="1"/>
    </xf>
    <xf numFmtId="0" fontId="232" fillId="0" borderId="1" xfId="0" applyFont="1" applyBorder="1" applyAlignment="1">
      <alignment horizontal="center" vertical="center"/>
    </xf>
    <xf numFmtId="0" fontId="203" fillId="0" borderId="1" xfId="0" applyFont="1" applyBorder="1" applyAlignment="1">
      <alignment horizontal="center" vertical="center" wrapText="1"/>
    </xf>
    <xf numFmtId="0" fontId="203" fillId="0" borderId="1" xfId="0" applyFont="1" applyBorder="1" applyAlignment="1">
      <alignment vertical="center" wrapText="1"/>
    </xf>
    <xf numFmtId="195" fontId="201" fillId="0" borderId="6" xfId="0" quotePrefix="1" applyNumberFormat="1" applyFont="1" applyFill="1" applyBorder="1" applyAlignment="1">
      <alignment vertical="center" wrapText="1"/>
    </xf>
    <xf numFmtId="0" fontId="201" fillId="0" borderId="6" xfId="0" quotePrefix="1" applyNumberFormat="1" applyFont="1" applyFill="1" applyBorder="1" applyAlignment="1">
      <alignment vertical="center" wrapText="1"/>
    </xf>
    <xf numFmtId="197" fontId="203" fillId="0" borderId="1" xfId="0" applyNumberFormat="1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3" fontId="180" fillId="0" borderId="6" xfId="0" quotePrefix="1" applyNumberFormat="1" applyFont="1" applyFill="1" applyBorder="1" applyAlignment="1">
      <alignment vertical="center"/>
    </xf>
    <xf numFmtId="4" fontId="199" fillId="0" borderId="6" xfId="10" applyNumberFormat="1" applyFont="1" applyFill="1" applyBorder="1" applyAlignment="1">
      <alignment vertical="center"/>
    </xf>
    <xf numFmtId="0" fontId="80" fillId="0" borderId="0" xfId="0" applyFont="1" applyBorder="1" applyAlignment="1">
      <alignment horizontal="center" vertical="center"/>
    </xf>
    <xf numFmtId="0" fontId="80" fillId="0" borderId="0" xfId="0" applyFont="1" applyBorder="1" applyAlignment="1"/>
    <xf numFmtId="0" fontId="203" fillId="0" borderId="0" xfId="0" applyFont="1" applyBorder="1" applyAlignment="1">
      <alignment vertical="center"/>
    </xf>
    <xf numFmtId="0" fontId="203" fillId="0" borderId="0" xfId="0" applyFont="1" applyBorder="1" applyAlignment="1">
      <alignment horizontal="center" vertical="center"/>
    </xf>
    <xf numFmtId="197" fontId="180" fillId="7" borderId="6" xfId="10" applyNumberFormat="1" applyFont="1" applyFill="1" applyBorder="1" applyAlignment="1">
      <alignment horizontal="center" vertical="center"/>
    </xf>
    <xf numFmtId="0" fontId="197" fillId="0" borderId="0" xfId="0" applyFont="1" applyBorder="1" applyAlignment="1">
      <alignment horizontal="center" vertical="center"/>
    </xf>
    <xf numFmtId="4" fontId="203" fillId="0" borderId="0" xfId="0" applyNumberFormat="1" applyFont="1" applyBorder="1" applyAlignment="1">
      <alignment horizontal="center" vertical="center"/>
    </xf>
    <xf numFmtId="4" fontId="0" fillId="0" borderId="0" xfId="0" applyNumberFormat="1" applyBorder="1" applyAlignment="1">
      <alignment horizontal="center" vertical="center"/>
    </xf>
    <xf numFmtId="0" fontId="197" fillId="0" borderId="0" xfId="0" applyFont="1" applyBorder="1"/>
    <xf numFmtId="0" fontId="203" fillId="0" borderId="0" xfId="0" applyFont="1" applyBorder="1"/>
    <xf numFmtId="4" fontId="0" fillId="0" borderId="0" xfId="0" applyNumberFormat="1" applyBorder="1"/>
    <xf numFmtId="4" fontId="201" fillId="0" borderId="6" xfId="10" applyNumberFormat="1" applyFont="1" applyFill="1" applyBorder="1" applyAlignment="1">
      <alignment vertical="center"/>
    </xf>
    <xf numFmtId="197" fontId="0" fillId="0" borderId="0" xfId="0" applyNumberFormat="1" applyBorder="1"/>
    <xf numFmtId="2" fontId="38" fillId="0" borderId="6" xfId="0" applyNumberFormat="1" applyFont="1" applyBorder="1" applyAlignment="1">
      <alignment horizontal="center" wrapText="1"/>
    </xf>
    <xf numFmtId="4" fontId="241" fillId="0" borderId="0" xfId="0" applyNumberFormat="1" applyFont="1" applyBorder="1" applyAlignment="1">
      <alignment horizontal="center"/>
    </xf>
    <xf numFmtId="4" fontId="0" fillId="0" borderId="0" xfId="0" applyNumberFormat="1" applyBorder="1" applyAlignment="1">
      <alignment horizontal="center"/>
    </xf>
    <xf numFmtId="4" fontId="0" fillId="7" borderId="0" xfId="0" applyNumberFormat="1" applyFill="1" applyBorder="1" applyAlignment="1">
      <alignment horizontal="center"/>
    </xf>
    <xf numFmtId="1" fontId="217" fillId="7" borderId="6" xfId="10" applyNumberFormat="1" applyFont="1" applyFill="1" applyBorder="1" applyAlignment="1">
      <alignment horizontal="center" vertical="center"/>
    </xf>
    <xf numFmtId="0" fontId="202" fillId="0" borderId="23" xfId="0" applyNumberFormat="1" applyFont="1" applyFill="1" applyBorder="1" applyAlignment="1">
      <alignment vertical="center"/>
    </xf>
    <xf numFmtId="0" fontId="197" fillId="0" borderId="0" xfId="0" applyFont="1" applyBorder="1" applyAlignment="1">
      <alignment horizontal="center"/>
    </xf>
    <xf numFmtId="0" fontId="202" fillId="0" borderId="18" xfId="0" applyNumberFormat="1" applyFont="1" applyFill="1" applyBorder="1" applyAlignment="1">
      <alignment vertical="center"/>
    </xf>
    <xf numFmtId="2" fontId="180" fillId="0" borderId="18" xfId="0" applyNumberFormat="1" applyFont="1" applyFill="1" applyBorder="1" applyAlignment="1">
      <alignment vertical="center"/>
    </xf>
    <xf numFmtId="0" fontId="23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3" fontId="179" fillId="0" borderId="6" xfId="0" quotePrefix="1" applyNumberFormat="1" applyFont="1" applyFill="1" applyBorder="1" applyAlignment="1">
      <alignment vertical="center"/>
    </xf>
    <xf numFmtId="0" fontId="199" fillId="0" borderId="6" xfId="0" quotePrefix="1" applyNumberFormat="1" applyFont="1" applyFill="1" applyBorder="1" applyAlignment="1">
      <alignment vertical="center"/>
    </xf>
    <xf numFmtId="0" fontId="202" fillId="0" borderId="6" xfId="0" applyNumberFormat="1" applyFont="1" applyFill="1" applyBorder="1" applyAlignment="1">
      <alignment vertical="center"/>
    </xf>
    <xf numFmtId="2" fontId="180" fillId="0" borderId="6" xfId="0" applyNumberFormat="1" applyFont="1" applyFill="1" applyBorder="1" applyAlignment="1">
      <alignment vertical="center"/>
    </xf>
    <xf numFmtId="4" fontId="179" fillId="0" borderId="6" xfId="0" applyNumberFormat="1" applyFont="1" applyFill="1" applyBorder="1" applyAlignment="1">
      <alignment vertical="center"/>
    </xf>
    <xf numFmtId="197" fontId="179" fillId="0" borderId="6" xfId="0" applyNumberFormat="1" applyFont="1" applyFill="1" applyBorder="1" applyAlignment="1">
      <alignment horizontal="center" vertical="center"/>
    </xf>
    <xf numFmtId="3" fontId="180" fillId="0" borderId="6" xfId="0" applyNumberFormat="1" applyFont="1" applyFill="1" applyBorder="1" applyAlignment="1">
      <alignment vertical="center"/>
    </xf>
    <xf numFmtId="0" fontId="201" fillId="0" borderId="6" xfId="0" quotePrefix="1" applyNumberFormat="1" applyFont="1" applyFill="1" applyBorder="1" applyAlignment="1">
      <alignment vertical="center"/>
    </xf>
    <xf numFmtId="2" fontId="179" fillId="0" borderId="17" xfId="0" applyNumberFormat="1" applyFont="1" applyFill="1" applyBorder="1" applyAlignment="1">
      <alignment vertical="center" wrapText="1"/>
    </xf>
    <xf numFmtId="0" fontId="179" fillId="0" borderId="17" xfId="0" quotePrefix="1" applyNumberFormat="1" applyFont="1" applyFill="1" applyBorder="1" applyAlignment="1">
      <alignment vertical="center" wrapText="1"/>
    </xf>
    <xf numFmtId="2" fontId="179" fillId="0" borderId="17" xfId="0" quotePrefix="1" applyNumberFormat="1" applyFont="1" applyFill="1" applyBorder="1" applyAlignment="1">
      <alignment vertical="center" wrapText="1"/>
    </xf>
    <xf numFmtId="0" fontId="199" fillId="0" borderId="17" xfId="0" quotePrefix="1" applyNumberFormat="1" applyFont="1" applyFill="1" applyBorder="1" applyAlignment="1">
      <alignment vertical="center" wrapText="1"/>
    </xf>
    <xf numFmtId="197" fontId="56" fillId="0" borderId="0" xfId="0" applyNumberFormat="1" applyFont="1" applyFill="1" applyAlignment="1">
      <alignment horizontal="center" vertical="center"/>
    </xf>
    <xf numFmtId="197" fontId="56" fillId="0" borderId="0" xfId="0" applyNumberFormat="1" applyFont="1" applyFill="1" applyBorder="1" applyAlignment="1">
      <alignment horizontal="center" vertical="center"/>
    </xf>
    <xf numFmtId="197" fontId="56" fillId="0" borderId="0" xfId="0" applyNumberFormat="1" applyFont="1" applyFill="1" applyBorder="1" applyAlignment="1">
      <alignment horizontal="center"/>
    </xf>
    <xf numFmtId="1" fontId="204" fillId="7" borderId="6" xfId="273" applyNumberFormat="1" applyFont="1" applyFill="1" applyBorder="1" applyAlignment="1">
      <alignment horizontal="center" vertical="center" wrapText="1"/>
    </xf>
    <xf numFmtId="1" fontId="204" fillId="7" borderId="6" xfId="10" applyNumberFormat="1" applyFont="1" applyFill="1" applyBorder="1" applyAlignment="1">
      <alignment horizontal="center" vertical="center" wrapText="1"/>
    </xf>
    <xf numFmtId="4" fontId="180" fillId="0" borderId="0" xfId="0" applyNumberFormat="1" applyFont="1" applyAlignment="1">
      <alignment horizontal="center" vertical="center"/>
    </xf>
    <xf numFmtId="0" fontId="6" fillId="0" borderId="0" xfId="0" applyFont="1" applyFill="1" applyAlignment="1">
      <alignment horizontal="center"/>
    </xf>
    <xf numFmtId="199" fontId="36" fillId="0" borderId="0" xfId="0" applyNumberFormat="1" applyFont="1" applyFill="1" applyBorder="1" applyAlignment="1">
      <alignment horizontal="center" vertical="center"/>
    </xf>
    <xf numFmtId="199" fontId="11" fillId="0" borderId="31" xfId="0" applyNumberFormat="1" applyFont="1" applyFill="1" applyBorder="1" applyAlignment="1">
      <alignment horizontal="center" vertical="center"/>
    </xf>
    <xf numFmtId="199" fontId="16" fillId="0" borderId="55" xfId="0" applyNumberFormat="1" applyFont="1" applyFill="1" applyBorder="1" applyAlignment="1">
      <alignment vertical="center"/>
    </xf>
    <xf numFmtId="199" fontId="36" fillId="0" borderId="18" xfId="0" applyNumberFormat="1" applyFont="1" applyFill="1" applyBorder="1" applyAlignment="1">
      <alignment horizontal="right" vertical="center"/>
    </xf>
    <xf numFmtId="199" fontId="36" fillId="0" borderId="1" xfId="0" applyNumberFormat="1" applyFont="1" applyFill="1" applyBorder="1" applyAlignment="1">
      <alignment vertical="center"/>
    </xf>
    <xf numFmtId="199" fontId="242" fillId="0" borderId="31" xfId="0" applyNumberFormat="1" applyFont="1" applyFill="1" applyBorder="1" applyAlignment="1">
      <alignment horizontal="center" vertical="center"/>
    </xf>
    <xf numFmtId="199" fontId="243" fillId="0" borderId="31" xfId="0" applyNumberFormat="1" applyFont="1" applyFill="1" applyBorder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11" fillId="7" borderId="1" xfId="275" applyFont="1" applyFill="1" applyBorder="1" applyAlignment="1">
      <alignment horizontal="center" vertical="center"/>
    </xf>
    <xf numFmtId="1" fontId="16" fillId="0" borderId="1" xfId="28" applyNumberFormat="1" applyFont="1" applyFill="1" applyBorder="1" applyAlignment="1">
      <alignment horizontal="center"/>
    </xf>
    <xf numFmtId="1" fontId="27" fillId="0" borderId="1" xfId="28" applyNumberFormat="1" applyFont="1" applyFill="1" applyBorder="1" applyAlignment="1">
      <alignment horizontal="center"/>
    </xf>
    <xf numFmtId="1" fontId="134" fillId="0" borderId="0" xfId="0" applyNumberFormat="1" applyFont="1" applyFill="1" applyAlignment="1"/>
    <xf numFmtId="1" fontId="111" fillId="0" borderId="0" xfId="0" applyNumberFormat="1" applyFont="1" applyFill="1"/>
    <xf numFmtId="1" fontId="111" fillId="0" borderId="0" xfId="0" applyNumberFormat="1" applyFont="1" applyFill="1" applyAlignment="1">
      <alignment horizontal="center"/>
    </xf>
    <xf numFmtId="1" fontId="111" fillId="0" borderId="0" xfId="0" applyNumberFormat="1" applyFont="1" applyFill="1" applyAlignment="1"/>
    <xf numFmtId="1" fontId="134" fillId="0" borderId="0" xfId="0" applyNumberFormat="1" applyFont="1" applyFill="1" applyAlignment="1">
      <alignment vertical="center"/>
    </xf>
    <xf numFmtId="1" fontId="111" fillId="0" borderId="0" xfId="0" applyNumberFormat="1" applyFont="1" applyFill="1" applyAlignment="1">
      <alignment vertical="center"/>
    </xf>
    <xf numFmtId="1" fontId="11" fillId="0" borderId="0" xfId="0" applyNumberFormat="1" applyFont="1" applyFill="1" applyAlignment="1">
      <alignment horizontal="center"/>
    </xf>
    <xf numFmtId="1" fontId="11" fillId="0" borderId="0" xfId="0" applyNumberFormat="1" applyFont="1" applyFill="1" applyAlignment="1">
      <alignment horizontal="center" shrinkToFit="1"/>
    </xf>
    <xf numFmtId="1" fontId="11" fillId="0" borderId="0" xfId="0" applyNumberFormat="1" applyFont="1" applyFill="1" applyAlignment="1">
      <alignment shrinkToFit="1"/>
    </xf>
    <xf numFmtId="1" fontId="111" fillId="0" borderId="0" xfId="0" applyNumberFormat="1" applyFont="1" applyFill="1" applyAlignment="1">
      <alignment shrinkToFit="1"/>
    </xf>
    <xf numFmtId="1" fontId="11" fillId="0" borderId="1" xfId="0" applyNumberFormat="1" applyFont="1" applyFill="1" applyBorder="1" applyAlignment="1">
      <alignment horizontal="center" vertical="center" shrinkToFit="1"/>
    </xf>
    <xf numFmtId="1" fontId="134" fillId="0" borderId="0" xfId="0" applyNumberFormat="1" applyFont="1" applyFill="1"/>
    <xf numFmtId="1" fontId="13" fillId="0" borderId="1" xfId="0" applyNumberFormat="1" applyFont="1" applyFill="1" applyBorder="1" applyAlignment="1">
      <alignment horizontal="center" vertical="center"/>
    </xf>
    <xf numFmtId="1" fontId="13" fillId="0" borderId="1" xfId="28" applyNumberFormat="1" applyFont="1" applyFill="1" applyBorder="1" applyAlignment="1">
      <alignment horizontal="center"/>
    </xf>
    <xf numFmtId="1" fontId="13" fillId="0" borderId="26" xfId="0" applyNumberFormat="1" applyFont="1" applyFill="1" applyBorder="1" applyAlignment="1">
      <alignment horizontal="right"/>
    </xf>
    <xf numFmtId="230" fontId="117" fillId="0" borderId="1" xfId="0" applyNumberFormat="1" applyFont="1" applyFill="1" applyBorder="1"/>
    <xf numFmtId="231" fontId="117" fillId="0" borderId="1" xfId="0" applyNumberFormat="1" applyFont="1" applyFill="1" applyBorder="1"/>
    <xf numFmtId="1" fontId="134" fillId="0" borderId="1" xfId="0" applyNumberFormat="1" applyFont="1" applyFill="1" applyBorder="1" applyAlignment="1">
      <alignment horizontal="center"/>
    </xf>
    <xf numFmtId="1" fontId="11" fillId="0" borderId="26" xfId="0" applyNumberFormat="1" applyFont="1" applyFill="1" applyBorder="1" applyAlignment="1">
      <alignment horizontal="right"/>
    </xf>
    <xf numFmtId="1" fontId="13" fillId="0" borderId="1" xfId="303" applyNumberFormat="1" applyFont="1" applyFill="1" applyBorder="1" applyAlignment="1">
      <alignment horizontal="left"/>
    </xf>
    <xf numFmtId="1" fontId="111" fillId="0" borderId="35" xfId="0" applyNumberFormat="1" applyFont="1" applyFill="1" applyBorder="1" applyAlignment="1">
      <alignment horizontal="justify" vertical="center" wrapText="1"/>
    </xf>
    <xf numFmtId="1" fontId="111" fillId="0" borderId="36" xfId="0" applyNumberFormat="1" applyFont="1" applyFill="1" applyBorder="1" applyAlignment="1">
      <alignment horizontal="justify" vertical="center" wrapText="1"/>
    </xf>
    <xf numFmtId="1" fontId="13" fillId="0" borderId="0" xfId="0" applyNumberFormat="1" applyFont="1" applyFill="1" applyAlignment="1">
      <alignment horizontal="center"/>
    </xf>
    <xf numFmtId="1" fontId="13" fillId="0" borderId="0" xfId="0" applyNumberFormat="1" applyFont="1" applyFill="1"/>
    <xf numFmtId="1" fontId="13" fillId="0" borderId="0" xfId="0" applyNumberFormat="1" applyFont="1" applyFill="1" applyAlignment="1">
      <alignment shrinkToFit="1"/>
    </xf>
    <xf numFmtId="1" fontId="13" fillId="0" borderId="0" xfId="0" applyNumberFormat="1" applyFont="1" applyFill="1" applyAlignment="1">
      <alignment horizontal="center" shrinkToFit="1"/>
    </xf>
    <xf numFmtId="1" fontId="34" fillId="0" borderId="0" xfId="0" applyNumberFormat="1" applyFont="1" applyFill="1" applyAlignment="1">
      <alignment shrinkToFit="1"/>
    </xf>
    <xf numFmtId="1" fontId="34" fillId="0" borderId="0" xfId="0" applyNumberFormat="1" applyFont="1" applyFill="1" applyAlignment="1">
      <alignment horizontal="center" shrinkToFit="1"/>
    </xf>
    <xf numFmtId="1" fontId="134" fillId="0" borderId="0" xfId="0" applyNumberFormat="1" applyFont="1" applyFill="1" applyAlignment="1">
      <alignment vertical="center" shrinkToFit="1"/>
    </xf>
    <xf numFmtId="1" fontId="134" fillId="0" borderId="0" xfId="0" applyNumberFormat="1" applyFont="1" applyFill="1" applyAlignment="1">
      <alignment shrinkToFit="1"/>
    </xf>
    <xf numFmtId="1" fontId="11" fillId="0" borderId="0" xfId="3" applyNumberFormat="1" applyFont="1" applyFill="1" applyBorder="1" applyAlignment="1">
      <alignment horizontal="center" vertical="center"/>
    </xf>
    <xf numFmtId="1" fontId="11" fillId="0" borderId="0" xfId="28" applyNumberFormat="1" applyFont="1" applyFill="1" applyAlignment="1">
      <alignment horizontal="center" vertical="center"/>
    </xf>
    <xf numFmtId="1" fontId="11" fillId="0" borderId="0" xfId="275" applyNumberFormat="1" applyFont="1" applyFill="1" applyAlignment="1">
      <alignment vertical="center"/>
    </xf>
    <xf numFmtId="1" fontId="11" fillId="0" borderId="0" xfId="0" applyNumberFormat="1" applyFont="1" applyFill="1" applyAlignment="1">
      <alignment vertical="center"/>
    </xf>
    <xf numFmtId="1" fontId="11" fillId="0" borderId="0" xfId="275" applyNumberFormat="1" applyFont="1" applyFill="1" applyAlignment="1"/>
    <xf numFmtId="1" fontId="13" fillId="0" borderId="0" xfId="275" applyNumberFormat="1" applyFont="1" applyFill="1" applyAlignment="1">
      <alignment horizontal="center" shrinkToFit="1"/>
    </xf>
    <xf numFmtId="1" fontId="11" fillId="0" borderId="0" xfId="275" applyNumberFormat="1" applyFont="1" applyFill="1" applyAlignment="1">
      <alignment shrinkToFit="1"/>
    </xf>
    <xf numFmtId="1" fontId="11" fillId="0" borderId="0" xfId="28" applyNumberFormat="1" applyFont="1" applyFill="1" applyAlignment="1">
      <alignment shrinkToFit="1"/>
    </xf>
    <xf numFmtId="0" fontId="134" fillId="7" borderId="0" xfId="0" applyFont="1" applyFill="1" applyAlignment="1">
      <alignment horizontal="center" vertical="center"/>
    </xf>
    <xf numFmtId="0" fontId="111" fillId="7" borderId="0" xfId="0" applyFont="1" applyFill="1" applyAlignment="1">
      <alignment horizontal="center" vertical="center"/>
    </xf>
    <xf numFmtId="0" fontId="111" fillId="7" borderId="1" xfId="315" applyFont="1" applyFill="1" applyBorder="1" applyAlignment="1" applyProtection="1">
      <alignment horizontal="center" vertical="center"/>
    </xf>
    <xf numFmtId="0" fontId="111" fillId="7" borderId="1" xfId="275" applyNumberFormat="1" applyFont="1" applyFill="1" applyBorder="1" applyAlignment="1" applyProtection="1">
      <alignment horizontal="center" vertical="center"/>
    </xf>
    <xf numFmtId="0" fontId="111" fillId="7" borderId="1" xfId="0" applyNumberFormat="1" applyFont="1" applyFill="1" applyBorder="1" applyAlignment="1">
      <alignment horizontal="center" vertical="center"/>
    </xf>
    <xf numFmtId="0" fontId="134" fillId="7" borderId="1" xfId="275" applyFont="1" applyFill="1" applyBorder="1" applyAlignment="1">
      <alignment horizontal="center" vertical="center"/>
    </xf>
    <xf numFmtId="0" fontId="189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38" fillId="0" borderId="22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39" fillId="13" borderId="0" xfId="0" applyFont="1" applyFill="1" applyBorder="1" applyAlignment="1">
      <alignment horizontal="left" shrinkToFit="1"/>
    </xf>
    <xf numFmtId="192" fontId="127" fillId="7" borderId="1" xfId="0" applyNumberFormat="1" applyFont="1" applyFill="1" applyBorder="1" applyAlignment="1">
      <alignment horizontal="center" vertical="center" shrinkToFit="1"/>
    </xf>
    <xf numFmtId="37" fontId="127" fillId="7" borderId="1" xfId="0" applyNumberFormat="1" applyFont="1" applyFill="1" applyBorder="1" applyAlignment="1">
      <alignment horizontal="center" vertical="center" shrinkToFit="1"/>
    </xf>
    <xf numFmtId="0" fontId="178" fillId="7" borderId="1" xfId="0" applyFont="1" applyFill="1" applyBorder="1" applyAlignment="1">
      <alignment horizontal="center" vertical="center"/>
    </xf>
    <xf numFmtId="200" fontId="178" fillId="7" borderId="1" xfId="0" applyNumberFormat="1" applyFont="1" applyFill="1" applyBorder="1" applyAlignment="1">
      <alignment vertical="center"/>
    </xf>
    <xf numFmtId="188" fontId="178" fillId="7" borderId="1" xfId="1" applyNumberFormat="1" applyFont="1" applyFill="1" applyBorder="1" applyAlignment="1">
      <alignment vertical="center"/>
    </xf>
    <xf numFmtId="188" fontId="178" fillId="7" borderId="1" xfId="0" applyNumberFormat="1" applyFont="1" applyFill="1" applyBorder="1" applyAlignment="1">
      <alignment vertical="center"/>
    </xf>
    <xf numFmtId="199" fontId="10" fillId="0" borderId="0" xfId="0" applyNumberFormat="1" applyFont="1" applyFill="1"/>
    <xf numFmtId="199" fontId="10" fillId="9" borderId="0" xfId="0" applyNumberFormat="1" applyFont="1" applyFill="1"/>
    <xf numFmtId="199" fontId="36" fillId="0" borderId="16" xfId="8" applyNumberFormat="1" applyFont="1" applyFill="1" applyBorder="1" applyAlignment="1">
      <alignment horizontal="center" vertical="center"/>
    </xf>
    <xf numFmtId="199" fontId="36" fillId="0" borderId="16" xfId="8" applyNumberFormat="1" applyFont="1" applyFill="1" applyBorder="1" applyAlignment="1">
      <alignment horizontal="right" vertical="center"/>
    </xf>
    <xf numFmtId="199" fontId="10" fillId="9" borderId="0" xfId="0" applyNumberFormat="1" applyFont="1" applyFill="1" applyAlignment="1">
      <alignment horizontal="center" vertical="center"/>
    </xf>
    <xf numFmtId="199" fontId="36" fillId="0" borderId="16" xfId="0" applyNumberFormat="1" applyFont="1" applyFill="1" applyBorder="1" applyAlignment="1">
      <alignment vertical="center"/>
    </xf>
    <xf numFmtId="199" fontId="36" fillId="0" borderId="6" xfId="0" applyNumberFormat="1" applyFont="1" applyFill="1" applyBorder="1" applyAlignment="1">
      <alignment vertical="center"/>
    </xf>
    <xf numFmtId="199" fontId="36" fillId="0" borderId="6" xfId="8" applyNumberFormat="1" applyFont="1" applyFill="1" applyBorder="1" applyAlignment="1">
      <alignment horizontal="center" vertical="center"/>
    </xf>
    <xf numFmtId="199" fontId="36" fillId="0" borderId="6" xfId="8" applyNumberFormat="1" applyFont="1" applyFill="1" applyBorder="1" applyAlignment="1">
      <alignment vertical="center"/>
    </xf>
    <xf numFmtId="0" fontId="28" fillId="0" borderId="0" xfId="0" applyFont="1" applyFill="1" applyAlignment="1">
      <alignment horizontal="center" vertical="center"/>
    </xf>
    <xf numFmtId="0" fontId="88" fillId="0" borderId="0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/>
    </xf>
    <xf numFmtId="0" fontId="179" fillId="0" borderId="0" xfId="0" applyFont="1" applyFill="1" applyBorder="1" applyAlignment="1">
      <alignment horizontal="center" vertical="center"/>
    </xf>
    <xf numFmtId="0" fontId="179" fillId="0" borderId="0" xfId="0" applyFont="1" applyFill="1" applyAlignment="1">
      <alignment horizontal="center" vertical="center"/>
    </xf>
    <xf numFmtId="3" fontId="201" fillId="0" borderId="18" xfId="0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  <xf numFmtId="0" fontId="180" fillId="0" borderId="6" xfId="0" applyFont="1" applyFill="1" applyBorder="1" applyAlignment="1">
      <alignment horizontal="center" vertical="center" wrapText="1"/>
    </xf>
    <xf numFmtId="0" fontId="196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98" fillId="0" borderId="0" xfId="0" applyFont="1" applyFill="1" applyBorder="1" applyAlignment="1">
      <alignment horizontal="center" vertical="center"/>
    </xf>
    <xf numFmtId="0" fontId="203" fillId="0" borderId="1" xfId="0" applyFont="1" applyBorder="1" applyAlignment="1">
      <alignment horizontal="center" vertical="center"/>
    </xf>
    <xf numFmtId="0" fontId="180" fillId="0" borderId="6" xfId="0" applyFont="1" applyFill="1" applyBorder="1" applyAlignment="1">
      <alignment vertical="center" wrapText="1"/>
    </xf>
    <xf numFmtId="0" fontId="203" fillId="0" borderId="0" xfId="0" applyFont="1" applyBorder="1" applyAlignment="1">
      <alignment horizontal="center" vertical="center"/>
    </xf>
    <xf numFmtId="235" fontId="111" fillId="0" borderId="0" xfId="0" applyNumberFormat="1" applyFont="1" applyFill="1"/>
    <xf numFmtId="234" fontId="117" fillId="0" borderId="1" xfId="0" applyNumberFormat="1" applyFont="1" applyFill="1" applyBorder="1"/>
    <xf numFmtId="234" fontId="134" fillId="0" borderId="1" xfId="0" applyNumberFormat="1" applyFont="1" applyFill="1" applyBorder="1"/>
    <xf numFmtId="234" fontId="111" fillId="0" borderId="1" xfId="0" applyNumberFormat="1" applyFont="1" applyFill="1" applyBorder="1"/>
    <xf numFmtId="189" fontId="136" fillId="7" borderId="0" xfId="0" applyNumberFormat="1" applyFont="1" applyFill="1" applyAlignment="1">
      <alignment horizontal="center" vertical="center"/>
    </xf>
    <xf numFmtId="191" fontId="136" fillId="7" borderId="0" xfId="0" applyNumberFormat="1" applyFont="1" applyFill="1" applyAlignment="1">
      <alignment horizontal="center" vertical="center"/>
    </xf>
    <xf numFmtId="3" fontId="93" fillId="0" borderId="20" xfId="1" applyNumberFormat="1" applyFont="1" applyFill="1" applyBorder="1" applyAlignment="1">
      <alignment horizontal="center"/>
    </xf>
    <xf numFmtId="0" fontId="247" fillId="7" borderId="1" xfId="315" applyFont="1" applyFill="1" applyBorder="1" applyAlignment="1" applyProtection="1">
      <alignment horizontal="center" vertical="center"/>
    </xf>
    <xf numFmtId="0" fontId="247" fillId="7" borderId="68" xfId="0" applyNumberFormat="1" applyFont="1" applyFill="1" applyBorder="1" applyAlignment="1">
      <alignment horizontal="center" vertical="center"/>
    </xf>
    <xf numFmtId="0" fontId="248" fillId="7" borderId="68" xfId="0" applyNumberFormat="1" applyFont="1" applyFill="1" applyBorder="1" applyAlignment="1">
      <alignment horizontal="center" vertical="center"/>
    </xf>
    <xf numFmtId="0" fontId="189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38" fillId="0" borderId="22" xfId="0" applyFont="1" applyBorder="1" applyAlignment="1">
      <alignment horizontal="center" vertical="center" wrapText="1"/>
    </xf>
    <xf numFmtId="2" fontId="250" fillId="0" borderId="6" xfId="0" applyNumberFormat="1" applyFont="1" applyFill="1" applyBorder="1" applyAlignment="1">
      <alignment horizontal="center" vertical="center"/>
    </xf>
    <xf numFmtId="4" fontId="101" fillId="0" borderId="1" xfId="1" applyNumberFormat="1" applyFont="1" applyFill="1" applyBorder="1" applyAlignment="1">
      <alignment horizontal="center"/>
    </xf>
    <xf numFmtId="191" fontId="101" fillId="0" borderId="1" xfId="1" applyNumberFormat="1" applyFont="1" applyFill="1" applyBorder="1" applyAlignment="1">
      <alignment horizontal="center"/>
    </xf>
    <xf numFmtId="191" fontId="101" fillId="0" borderId="1" xfId="1" applyNumberFormat="1" applyFont="1" applyBorder="1" applyAlignment="1">
      <alignment horizontal="center"/>
    </xf>
    <xf numFmtId="43" fontId="101" fillId="0" borderId="1" xfId="1" applyFont="1" applyBorder="1" applyAlignment="1">
      <alignment horizontal="right"/>
    </xf>
    <xf numFmtId="43" fontId="101" fillId="0" borderId="0" xfId="0" applyNumberFormat="1" applyFont="1" applyBorder="1"/>
    <xf numFmtId="0" fontId="101" fillId="0" borderId="0" xfId="0" applyFont="1" applyBorder="1"/>
    <xf numFmtId="3" fontId="101" fillId="0" borderId="0" xfId="0" applyNumberFormat="1" applyFont="1" applyBorder="1"/>
    <xf numFmtId="0" fontId="164" fillId="7" borderId="0" xfId="1" applyNumberFormat="1" applyFont="1" applyFill="1" applyBorder="1" applyAlignment="1">
      <alignment horizontal="center" vertical="center" wrapText="1"/>
    </xf>
    <xf numFmtId="0" fontId="117" fillId="7" borderId="0" xfId="0" applyFont="1" applyFill="1" applyAlignment="1">
      <alignment horizontal="center" vertical="center"/>
    </xf>
    <xf numFmtId="0" fontId="121" fillId="7" borderId="1" xfId="275" applyFont="1" applyFill="1" applyBorder="1" applyAlignment="1">
      <alignment horizontal="center" vertical="center"/>
    </xf>
    <xf numFmtId="219" fontId="65" fillId="7" borderId="1" xfId="255" applyNumberFormat="1" applyFont="1" applyFill="1" applyBorder="1" applyAlignment="1">
      <alignment horizontal="right" vertical="center"/>
    </xf>
    <xf numFmtId="43" fontId="20" fillId="0" borderId="1" xfId="1" applyNumberFormat="1" applyFont="1" applyFill="1" applyBorder="1" applyAlignment="1">
      <alignment horizontal="center" vertical="center"/>
    </xf>
    <xf numFmtId="236" fontId="173" fillId="7" borderId="1" xfId="1" applyNumberFormat="1" applyFont="1" applyFill="1" applyBorder="1" applyAlignment="1">
      <alignment horizontal="center" vertical="center" shrinkToFit="1"/>
    </xf>
    <xf numFmtId="0" fontId="164" fillId="12" borderId="1" xfId="28" applyFont="1" applyFill="1" applyBorder="1" applyAlignment="1" applyProtection="1">
      <alignment horizontal="left"/>
    </xf>
    <xf numFmtId="0" fontId="114" fillId="7" borderId="0" xfId="28" applyFont="1" applyFill="1" applyAlignment="1">
      <alignment horizontal="center" vertical="center"/>
    </xf>
    <xf numFmtId="192" fontId="114" fillId="7" borderId="0" xfId="1" applyNumberFormat="1" applyFont="1" applyFill="1" applyAlignment="1">
      <alignment horizontal="center" vertical="center"/>
    </xf>
    <xf numFmtId="0" fontId="210" fillId="7" borderId="0" xfId="28" applyFont="1" applyFill="1" applyAlignment="1">
      <alignment horizontal="center" vertical="center"/>
    </xf>
    <xf numFmtId="193" fontId="210" fillId="7" borderId="0" xfId="1" applyNumberFormat="1" applyFont="1" applyFill="1" applyAlignment="1">
      <alignment horizontal="center" vertical="center"/>
    </xf>
    <xf numFmtId="192" fontId="210" fillId="7" borderId="0" xfId="1" applyNumberFormat="1" applyFont="1" applyFill="1" applyAlignment="1">
      <alignment horizontal="center" vertical="center"/>
    </xf>
    <xf numFmtId="0" fontId="211" fillId="7" borderId="14" xfId="275" applyFont="1" applyFill="1" applyBorder="1" applyAlignment="1">
      <alignment horizontal="center" vertical="center"/>
    </xf>
    <xf numFmtId="0" fontId="134" fillId="7" borderId="1" xfId="275" applyFont="1" applyFill="1" applyBorder="1" applyAlignment="1">
      <alignment horizontal="center" vertical="center" shrinkToFit="1"/>
    </xf>
    <xf numFmtId="192" fontId="114" fillId="7" borderId="29" xfId="1" applyNumberFormat="1" applyFont="1" applyFill="1" applyBorder="1" applyAlignment="1">
      <alignment horizontal="center" vertical="center" wrapText="1"/>
    </xf>
    <xf numFmtId="0" fontId="210" fillId="7" borderId="28" xfId="275" applyFont="1" applyFill="1" applyBorder="1" applyAlignment="1">
      <alignment horizontal="center" vertical="center" shrinkToFit="1"/>
    </xf>
    <xf numFmtId="0" fontId="210" fillId="7" borderId="14" xfId="275" applyFont="1" applyFill="1" applyBorder="1" applyAlignment="1">
      <alignment horizontal="center" vertical="center" shrinkToFit="1"/>
    </xf>
    <xf numFmtId="0" fontId="210" fillId="7" borderId="1" xfId="28" applyFont="1" applyFill="1" applyBorder="1" applyAlignment="1">
      <alignment horizontal="center" vertical="center"/>
    </xf>
    <xf numFmtId="191" fontId="210" fillId="7" borderId="1" xfId="1" applyNumberFormat="1" applyFont="1" applyFill="1" applyBorder="1" applyAlignment="1">
      <alignment horizontal="center" vertical="center" wrapText="1"/>
    </xf>
    <xf numFmtId="2" fontId="114" fillId="7" borderId="0" xfId="28" applyNumberFormat="1" applyFont="1" applyFill="1" applyAlignment="1">
      <alignment horizontal="center" vertical="center"/>
    </xf>
    <xf numFmtId="192" fontId="114" fillId="7" borderId="1" xfId="3" applyNumberFormat="1" applyFont="1" applyFill="1" applyBorder="1" applyAlignment="1">
      <alignment horizontal="center" vertical="center"/>
    </xf>
    <xf numFmtId="191" fontId="114" fillId="7" borderId="1" xfId="13" applyNumberFormat="1" applyFont="1" applyFill="1" applyBorder="1" applyAlignment="1">
      <alignment horizontal="center" vertical="center" wrapText="1"/>
    </xf>
    <xf numFmtId="0" fontId="114" fillId="7" borderId="1" xfId="28" applyFont="1" applyFill="1" applyBorder="1" applyAlignment="1">
      <alignment horizontal="center" vertical="center"/>
    </xf>
    <xf numFmtId="192" fontId="114" fillId="7" borderId="1" xfId="1" applyNumberFormat="1" applyFont="1" applyFill="1" applyBorder="1" applyAlignment="1">
      <alignment horizontal="center" vertical="center"/>
    </xf>
    <xf numFmtId="193" fontId="210" fillId="7" borderId="1" xfId="1" applyNumberFormat="1" applyFont="1" applyFill="1" applyBorder="1" applyAlignment="1">
      <alignment horizontal="center" vertical="center"/>
    </xf>
    <xf numFmtId="192" fontId="210" fillId="7" borderId="1" xfId="1" applyNumberFormat="1" applyFont="1" applyFill="1" applyBorder="1" applyAlignment="1">
      <alignment horizontal="center" vertical="center"/>
    </xf>
    <xf numFmtId="0" fontId="114" fillId="7" borderId="1" xfId="0" applyFont="1" applyFill="1" applyBorder="1" applyAlignment="1">
      <alignment horizontal="center" vertical="center"/>
    </xf>
    <xf numFmtId="0" fontId="114" fillId="7" borderId="1" xfId="28" applyFont="1" applyFill="1" applyBorder="1" applyAlignment="1" applyProtection="1">
      <alignment horizontal="center" vertical="center"/>
    </xf>
    <xf numFmtId="1" fontId="114" fillId="7" borderId="1" xfId="1" applyNumberFormat="1" applyFont="1" applyFill="1" applyBorder="1" applyAlignment="1">
      <alignment horizontal="center" vertical="center" wrapText="1"/>
    </xf>
    <xf numFmtId="1" fontId="114" fillId="7" borderId="1" xfId="1" applyNumberFormat="1" applyFont="1" applyFill="1" applyBorder="1" applyAlignment="1">
      <alignment horizontal="center" vertical="center"/>
    </xf>
    <xf numFmtId="191" fontId="114" fillId="7" borderId="1" xfId="1" applyNumberFormat="1" applyFont="1" applyFill="1" applyBorder="1" applyAlignment="1">
      <alignment horizontal="center" vertical="center" wrapText="1"/>
    </xf>
    <xf numFmtId="191" fontId="114" fillId="7" borderId="1" xfId="1" applyNumberFormat="1" applyFont="1" applyFill="1" applyBorder="1" applyAlignment="1">
      <alignment horizontal="center" vertical="center"/>
    </xf>
    <xf numFmtId="1" fontId="114" fillId="7" borderId="1" xfId="28" applyNumberFormat="1" applyFont="1" applyFill="1" applyBorder="1" applyAlignment="1">
      <alignment horizontal="center" vertical="center"/>
    </xf>
    <xf numFmtId="223" fontId="114" fillId="7" borderId="1" xfId="0" applyNumberFormat="1" applyFont="1" applyFill="1" applyBorder="1" applyAlignment="1">
      <alignment horizontal="center" vertical="center"/>
    </xf>
    <xf numFmtId="3" fontId="114" fillId="7" borderId="1" xfId="0" applyNumberFormat="1" applyFont="1" applyFill="1" applyBorder="1" applyAlignment="1">
      <alignment horizontal="center" vertical="center"/>
    </xf>
    <xf numFmtId="1" fontId="210" fillId="7" borderId="1" xfId="275" applyNumberFormat="1" applyFont="1" applyFill="1" applyBorder="1" applyAlignment="1">
      <alignment horizontal="center" vertical="center"/>
    </xf>
    <xf numFmtId="1" fontId="210" fillId="7" borderId="1" xfId="13" applyNumberFormat="1" applyFont="1" applyFill="1" applyBorder="1" applyAlignment="1">
      <alignment horizontal="center" vertical="center" wrapText="1"/>
    </xf>
    <xf numFmtId="0" fontId="114" fillId="7" borderId="1" xfId="303" applyFont="1" applyFill="1" applyBorder="1" applyAlignment="1" applyProtection="1">
      <alignment horizontal="center" vertical="center"/>
    </xf>
    <xf numFmtId="43" fontId="114" fillId="7" borderId="1" xfId="1" applyFont="1" applyFill="1" applyBorder="1" applyAlignment="1">
      <alignment horizontal="center" vertical="center" wrapText="1"/>
    </xf>
    <xf numFmtId="1" fontId="114" fillId="7" borderId="1" xfId="0" applyNumberFormat="1" applyFont="1" applyFill="1" applyBorder="1" applyAlignment="1">
      <alignment horizontal="center" vertical="center"/>
    </xf>
    <xf numFmtId="1" fontId="210" fillId="7" borderId="1" xfId="1" applyNumberFormat="1" applyFont="1" applyFill="1" applyBorder="1" applyAlignment="1">
      <alignment horizontal="center" vertical="center" wrapText="1"/>
    </xf>
    <xf numFmtId="198" fontId="210" fillId="7" borderId="0" xfId="28" applyNumberFormat="1" applyFont="1" applyFill="1" applyAlignment="1">
      <alignment horizontal="center" vertical="center"/>
    </xf>
    <xf numFmtId="198" fontId="114" fillId="7" borderId="0" xfId="28" applyNumberFormat="1" applyFont="1" applyFill="1" applyAlignment="1">
      <alignment horizontal="center" vertical="center"/>
    </xf>
    <xf numFmtId="0" fontId="114" fillId="7" borderId="1" xfId="303" applyFont="1" applyFill="1" applyBorder="1" applyAlignment="1">
      <alignment horizontal="center" vertical="center"/>
    </xf>
    <xf numFmtId="3" fontId="114" fillId="7" borderId="1" xfId="1" applyNumberFormat="1" applyFont="1" applyFill="1" applyBorder="1" applyAlignment="1">
      <alignment horizontal="center" vertical="center"/>
    </xf>
    <xf numFmtId="205" fontId="114" fillId="7" borderId="0" xfId="28" applyNumberFormat="1" applyFont="1" applyFill="1" applyAlignment="1">
      <alignment horizontal="center" vertical="center"/>
    </xf>
    <xf numFmtId="0" fontId="114" fillId="7" borderId="1" xfId="275" applyFont="1" applyFill="1" applyBorder="1" applyAlignment="1">
      <alignment horizontal="center" vertical="center"/>
    </xf>
    <xf numFmtId="0" fontId="114" fillId="7" borderId="18" xfId="303" applyFont="1" applyFill="1" applyBorder="1" applyAlignment="1">
      <alignment horizontal="center" vertical="center"/>
    </xf>
    <xf numFmtId="191" fontId="210" fillId="7" borderId="1" xfId="275" applyNumberFormat="1" applyFont="1" applyFill="1" applyBorder="1" applyAlignment="1">
      <alignment horizontal="center" vertical="center"/>
    </xf>
    <xf numFmtId="3" fontId="210" fillId="7" borderId="1" xfId="275" applyNumberFormat="1" applyFont="1" applyFill="1" applyBorder="1" applyAlignment="1">
      <alignment horizontal="center" vertical="center" readingOrder="2"/>
    </xf>
    <xf numFmtId="191" fontId="210" fillId="7" borderId="1" xfId="275" applyNumberFormat="1" applyFont="1" applyFill="1" applyBorder="1" applyAlignment="1">
      <alignment horizontal="center" vertical="center" readingOrder="1"/>
    </xf>
    <xf numFmtId="191" fontId="210" fillId="7" borderId="1" xfId="3" applyNumberFormat="1" applyFont="1" applyFill="1" applyBorder="1" applyAlignment="1">
      <alignment horizontal="center" vertical="center" wrapText="1"/>
    </xf>
    <xf numFmtId="0" fontId="244" fillId="7" borderId="0" xfId="275" applyFont="1" applyFill="1" applyBorder="1" applyAlignment="1">
      <alignment vertical="center"/>
    </xf>
    <xf numFmtId="0" fontId="157" fillId="7" borderId="24" xfId="275" applyFont="1" applyFill="1" applyBorder="1" applyAlignment="1">
      <alignment horizontal="center" vertical="center"/>
    </xf>
    <xf numFmtId="0" fontId="157" fillId="7" borderId="24" xfId="28" applyFont="1" applyFill="1" applyBorder="1" applyAlignment="1">
      <alignment horizontal="center" vertical="center"/>
    </xf>
    <xf numFmtId="0" fontId="246" fillId="7" borderId="24" xfId="28" applyFont="1" applyFill="1" applyBorder="1" applyAlignment="1">
      <alignment horizontal="center" vertical="center"/>
    </xf>
    <xf numFmtId="1" fontId="111" fillId="7" borderId="24" xfId="13" applyNumberFormat="1" applyFont="1" applyFill="1" applyBorder="1" applyAlignment="1">
      <alignment horizontal="center" vertical="center" wrapText="1"/>
    </xf>
    <xf numFmtId="1" fontId="117" fillId="7" borderId="24" xfId="13" applyNumberFormat="1" applyFont="1" applyFill="1" applyBorder="1" applyAlignment="1">
      <alignment horizontal="center" vertical="center" wrapText="1"/>
    </xf>
    <xf numFmtId="1" fontId="114" fillId="7" borderId="0" xfId="13" applyNumberFormat="1" applyFont="1" applyFill="1" applyBorder="1" applyAlignment="1">
      <alignment horizontal="center" vertical="center" wrapText="1"/>
    </xf>
    <xf numFmtId="2" fontId="114" fillId="7" borderId="0" xfId="13" applyNumberFormat="1" applyFont="1" applyFill="1" applyBorder="1" applyAlignment="1">
      <alignment horizontal="center" vertical="center" wrapText="1"/>
    </xf>
    <xf numFmtId="192" fontId="114" fillId="7" borderId="24" xfId="3" applyNumberFormat="1" applyFont="1" applyFill="1" applyBorder="1" applyAlignment="1">
      <alignment horizontal="center" vertical="center"/>
    </xf>
    <xf numFmtId="0" fontId="114" fillId="7" borderId="0" xfId="275" applyFont="1" applyFill="1" applyAlignment="1">
      <alignment horizontal="center" vertical="center"/>
    </xf>
    <xf numFmtId="0" fontId="117" fillId="7" borderId="0" xfId="28" applyFont="1" applyFill="1" applyAlignment="1">
      <alignment horizontal="center" vertical="center"/>
    </xf>
    <xf numFmtId="0" fontId="111" fillId="7" borderId="0" xfId="28" applyFont="1" applyFill="1" applyAlignment="1">
      <alignment horizontal="center" vertical="center"/>
    </xf>
    <xf numFmtId="192" fontId="114" fillId="7" borderId="0" xfId="3" applyNumberFormat="1" applyFont="1" applyFill="1" applyBorder="1" applyAlignment="1">
      <alignment horizontal="center" vertical="center"/>
    </xf>
    <xf numFmtId="192" fontId="210" fillId="7" borderId="0" xfId="3" applyNumberFormat="1" applyFont="1" applyFill="1" applyBorder="1" applyAlignment="1">
      <alignment horizontal="center" vertical="center"/>
    </xf>
    <xf numFmtId="0" fontId="134" fillId="7" borderId="0" xfId="28" applyFont="1" applyFill="1" applyAlignment="1">
      <alignment horizontal="center" vertical="center"/>
    </xf>
    <xf numFmtId="0" fontId="121" fillId="7" borderId="0" xfId="275" applyFont="1" applyFill="1" applyAlignment="1">
      <alignment horizontal="center" vertical="center"/>
    </xf>
    <xf numFmtId="191" fontId="111" fillId="7" borderId="0" xfId="0" applyNumberFormat="1" applyFont="1" applyFill="1" applyAlignment="1">
      <alignment horizontal="center" vertical="center" shrinkToFit="1"/>
    </xf>
    <xf numFmtId="0" fontId="111" fillId="7" borderId="0" xfId="0" applyFont="1" applyFill="1" applyAlignment="1">
      <alignment vertical="center"/>
    </xf>
    <xf numFmtId="0" fontId="114" fillId="7" borderId="0" xfId="0" applyFont="1" applyFill="1" applyAlignment="1">
      <alignment vertical="center"/>
    </xf>
    <xf numFmtId="0" fontId="111" fillId="7" borderId="0" xfId="275" applyFont="1" applyFill="1" applyAlignment="1">
      <alignment horizontal="center" vertical="center"/>
    </xf>
    <xf numFmtId="0" fontId="117" fillId="7" borderId="0" xfId="275" applyFont="1" applyFill="1" applyAlignment="1">
      <alignment horizontal="center" vertical="center"/>
    </xf>
    <xf numFmtId="192" fontId="114" fillId="7" borderId="0" xfId="1" applyNumberFormat="1" applyFont="1" applyFill="1" applyBorder="1" applyAlignment="1">
      <alignment horizontal="center" vertical="center"/>
    </xf>
    <xf numFmtId="0" fontId="117" fillId="7" borderId="1" xfId="275" applyFont="1" applyFill="1" applyBorder="1" applyAlignment="1">
      <alignment horizontal="center" vertical="center"/>
    </xf>
    <xf numFmtId="0" fontId="111" fillId="7" borderId="15" xfId="275" applyFont="1" applyFill="1" applyBorder="1" applyAlignment="1">
      <alignment horizontal="center" vertical="center"/>
    </xf>
    <xf numFmtId="0" fontId="246" fillId="7" borderId="0" xfId="275" applyFont="1" applyFill="1" applyAlignment="1">
      <alignment horizontal="center" vertical="center"/>
    </xf>
    <xf numFmtId="0" fontId="66" fillId="0" borderId="0" xfId="0" applyFont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0" fontId="196" fillId="0" borderId="0" xfId="0" applyFont="1" applyFill="1" applyBorder="1" applyAlignment="1">
      <alignment horizontal="center" vertical="center"/>
    </xf>
    <xf numFmtId="0" fontId="180" fillId="0" borderId="6" xfId="0" applyFont="1" applyFill="1" applyBorder="1" applyAlignment="1">
      <alignment horizontal="center" vertical="center" wrapText="1"/>
    </xf>
    <xf numFmtId="3" fontId="201" fillId="0" borderId="23" xfId="0" applyNumberFormat="1" applyFont="1" applyFill="1" applyBorder="1" applyAlignment="1">
      <alignment horizontal="center" vertical="center" wrapText="1"/>
    </xf>
    <xf numFmtId="0" fontId="202" fillId="0" borderId="23" xfId="0" applyNumberFormat="1" applyFont="1" applyFill="1" applyBorder="1" applyAlignment="1">
      <alignment horizontal="center" vertical="center"/>
    </xf>
    <xf numFmtId="2" fontId="180" fillId="0" borderId="23" xfId="0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0" fontId="88" fillId="0" borderId="0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/>
    </xf>
    <xf numFmtId="0" fontId="179" fillId="0" borderId="0" xfId="0" applyFont="1" applyFill="1" applyBorder="1" applyAlignment="1">
      <alignment horizontal="center" vertical="center"/>
    </xf>
    <xf numFmtId="0" fontId="179" fillId="0" borderId="0" xfId="0" applyFont="1" applyFill="1" applyAlignment="1">
      <alignment horizontal="center" vertical="center"/>
    </xf>
    <xf numFmtId="0" fontId="198" fillId="0" borderId="0" xfId="0" applyFont="1" applyFill="1" applyBorder="1" applyAlignment="1">
      <alignment horizontal="center" vertical="center"/>
    </xf>
    <xf numFmtId="4" fontId="180" fillId="0" borderId="6" xfId="0" applyNumberFormat="1" applyFont="1" applyFill="1" applyBorder="1" applyAlignment="1">
      <alignment vertical="center"/>
    </xf>
    <xf numFmtId="0" fontId="203" fillId="0" borderId="0" xfId="0" applyFont="1" applyBorder="1" applyAlignment="1">
      <alignment horizontal="center" vertical="center"/>
    </xf>
    <xf numFmtId="192" fontId="210" fillId="0" borderId="1" xfId="1" applyNumberFormat="1" applyFont="1" applyFill="1" applyBorder="1"/>
    <xf numFmtId="234" fontId="11" fillId="0" borderId="1" xfId="0" applyNumberFormat="1" applyFont="1" applyFill="1" applyBorder="1"/>
    <xf numFmtId="234" fontId="13" fillId="0" borderId="1" xfId="0" applyNumberFormat="1" applyFont="1" applyFill="1" applyBorder="1"/>
    <xf numFmtId="0" fontId="251" fillId="0" borderId="6" xfId="0" quotePrefix="1" applyNumberFormat="1" applyFont="1" applyFill="1" applyBorder="1" applyAlignment="1">
      <alignment horizontal="center" vertical="center" wrapText="1"/>
    </xf>
    <xf numFmtId="2" fontId="251" fillId="0" borderId="6" xfId="0" quotePrefix="1" applyNumberFormat="1" applyFont="1" applyFill="1" applyBorder="1" applyAlignment="1">
      <alignment horizontal="center" vertical="center" wrapText="1"/>
    </xf>
    <xf numFmtId="197" fontId="251" fillId="0" borderId="6" xfId="0" quotePrefix="1" applyNumberFormat="1" applyFont="1" applyFill="1" applyBorder="1" applyAlignment="1">
      <alignment horizontal="center" vertical="center" wrapText="1"/>
    </xf>
    <xf numFmtId="0" fontId="251" fillId="0" borderId="6" xfId="0" applyFont="1" applyFill="1" applyBorder="1" applyAlignment="1">
      <alignment horizontal="center" vertical="center" wrapText="1"/>
    </xf>
    <xf numFmtId="0" fontId="251" fillId="0" borderId="6" xfId="0" applyNumberFormat="1" applyFont="1" applyFill="1" applyBorder="1" applyAlignment="1">
      <alignment horizontal="center" vertical="center"/>
    </xf>
    <xf numFmtId="2" fontId="251" fillId="0" borderId="6" xfId="0" applyNumberFormat="1" applyFont="1" applyFill="1" applyBorder="1" applyAlignment="1">
      <alignment horizontal="center" vertical="center"/>
    </xf>
    <xf numFmtId="3" fontId="251" fillId="0" borderId="6" xfId="0" quotePrefix="1" applyNumberFormat="1" applyFont="1" applyFill="1" applyBorder="1" applyAlignment="1">
      <alignment horizontal="center" vertical="center"/>
    </xf>
    <xf numFmtId="2" fontId="251" fillId="0" borderId="6" xfId="0" quotePrefix="1" applyNumberFormat="1" applyFont="1" applyFill="1" applyBorder="1" applyAlignment="1">
      <alignment horizontal="center" vertical="center"/>
    </xf>
    <xf numFmtId="197" fontId="251" fillId="0" borderId="6" xfId="0" quotePrefix="1" applyNumberFormat="1" applyFont="1" applyFill="1" applyBorder="1" applyAlignment="1">
      <alignment horizontal="center" vertical="center"/>
    </xf>
    <xf numFmtId="197" fontId="251" fillId="0" borderId="6" xfId="10" applyNumberFormat="1" applyFont="1" applyFill="1" applyBorder="1" applyAlignment="1">
      <alignment horizontal="center" vertical="center" wrapText="1"/>
    </xf>
    <xf numFmtId="0" fontId="251" fillId="0" borderId="6" xfId="0" quotePrefix="1" applyNumberFormat="1" applyFont="1" applyFill="1" applyBorder="1" applyAlignment="1">
      <alignment horizontal="center" vertical="center"/>
    </xf>
    <xf numFmtId="0" fontId="251" fillId="0" borderId="6" xfId="0" applyFont="1" applyFill="1" applyBorder="1" applyAlignment="1">
      <alignment horizontal="left" vertical="center" wrapText="1"/>
    </xf>
    <xf numFmtId="2" fontId="251" fillId="0" borderId="6" xfId="0" applyNumberFormat="1" applyFont="1" applyFill="1" applyBorder="1" applyAlignment="1">
      <alignment horizontal="center" vertical="center" wrapText="1"/>
    </xf>
    <xf numFmtId="197" fontId="251" fillId="0" borderId="6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197" fillId="0" borderId="1" xfId="0" applyFont="1" applyBorder="1"/>
    <xf numFmtId="0" fontId="80" fillId="0" borderId="1" xfId="0" applyFont="1" applyBorder="1"/>
    <xf numFmtId="0" fontId="252" fillId="0" borderId="6" xfId="0" applyFont="1" applyFill="1" applyBorder="1" applyAlignment="1">
      <alignment horizontal="center" vertical="center" wrapText="1"/>
    </xf>
    <xf numFmtId="0" fontId="252" fillId="0" borderId="6" xfId="0" applyFont="1" applyFill="1" applyBorder="1" applyAlignment="1">
      <alignment horizontal="left" vertical="center" wrapText="1"/>
    </xf>
    <xf numFmtId="2" fontId="252" fillId="0" borderId="6" xfId="0" applyNumberFormat="1" applyFont="1" applyFill="1" applyBorder="1" applyAlignment="1">
      <alignment horizontal="center" vertical="center" wrapText="1"/>
    </xf>
    <xf numFmtId="195" fontId="252" fillId="0" borderId="6" xfId="0" quotePrefix="1" applyNumberFormat="1" applyFont="1" applyFill="1" applyBorder="1" applyAlignment="1">
      <alignment horizontal="center" vertical="center" wrapText="1"/>
    </xf>
    <xf numFmtId="4" fontId="197" fillId="0" borderId="1" xfId="0" applyNumberFormat="1" applyFont="1" applyBorder="1"/>
    <xf numFmtId="3" fontId="253" fillId="0" borderId="6" xfId="0" applyNumberFormat="1" applyFont="1" applyFill="1" applyBorder="1" applyAlignment="1">
      <alignment horizontal="center" vertical="center" wrapText="1"/>
    </xf>
    <xf numFmtId="0" fontId="252" fillId="0" borderId="6" xfId="0" quotePrefix="1" applyNumberFormat="1" applyFont="1" applyFill="1" applyBorder="1" applyAlignment="1">
      <alignment horizontal="center" vertical="center" wrapText="1"/>
    </xf>
    <xf numFmtId="0" fontId="252" fillId="0" borderId="6" xfId="0" applyNumberFormat="1" applyFont="1" applyFill="1" applyBorder="1" applyAlignment="1">
      <alignment horizontal="center" vertical="center"/>
    </xf>
    <xf numFmtId="197" fontId="252" fillId="0" borderId="6" xfId="10" applyNumberFormat="1" applyFont="1" applyFill="1" applyBorder="1" applyAlignment="1">
      <alignment horizontal="center" vertical="center"/>
    </xf>
    <xf numFmtId="3" fontId="251" fillId="0" borderId="6" xfId="0" applyNumberFormat="1" applyFont="1" applyFill="1" applyBorder="1" applyAlignment="1">
      <alignment horizontal="center" vertical="center" wrapText="1"/>
    </xf>
    <xf numFmtId="2" fontId="252" fillId="0" borderId="6" xfId="0" applyNumberFormat="1" applyFont="1" applyFill="1" applyBorder="1" applyAlignment="1">
      <alignment horizontal="center" vertical="center"/>
    </xf>
    <xf numFmtId="3" fontId="251" fillId="0" borderId="6" xfId="0" quotePrefix="1" applyNumberFormat="1" applyFont="1" applyFill="1" applyBorder="1" applyAlignment="1">
      <alignment horizontal="left" vertical="center"/>
    </xf>
    <xf numFmtId="3" fontId="252" fillId="0" borderId="6" xfId="0" quotePrefix="1" applyNumberFormat="1" applyFont="1" applyFill="1" applyBorder="1" applyAlignment="1">
      <alignment horizontal="left" vertical="center"/>
    </xf>
    <xf numFmtId="3" fontId="252" fillId="0" borderId="6" xfId="0" quotePrefix="1" applyNumberFormat="1" applyFont="1" applyFill="1" applyBorder="1" applyAlignment="1">
      <alignment horizontal="center" vertical="center"/>
    </xf>
    <xf numFmtId="2" fontId="252" fillId="0" borderId="6" xfId="0" quotePrefix="1" applyNumberFormat="1" applyFont="1" applyFill="1" applyBorder="1" applyAlignment="1">
      <alignment horizontal="center" vertical="center"/>
    </xf>
    <xf numFmtId="197" fontId="251" fillId="0" borderId="6" xfId="10" applyNumberFormat="1" applyFont="1" applyFill="1" applyBorder="1" applyAlignment="1">
      <alignment horizontal="center" vertical="center"/>
    </xf>
    <xf numFmtId="4" fontId="251" fillId="0" borderId="6" xfId="10" applyNumberFormat="1" applyFont="1" applyFill="1" applyBorder="1" applyAlignment="1">
      <alignment horizontal="center" vertical="center"/>
    </xf>
    <xf numFmtId="3" fontId="252" fillId="0" borderId="6" xfId="0" applyNumberFormat="1" applyFont="1" applyFill="1" applyBorder="1" applyAlignment="1">
      <alignment horizontal="center" vertical="center" wrapText="1"/>
    </xf>
    <xf numFmtId="1" fontId="254" fillId="7" borderId="6" xfId="10" applyNumberFormat="1" applyFont="1" applyFill="1" applyBorder="1" applyAlignment="1">
      <alignment horizontal="center" vertical="center"/>
    </xf>
    <xf numFmtId="4" fontId="252" fillId="7" borderId="6" xfId="273" applyNumberFormat="1" applyFont="1" applyFill="1" applyBorder="1" applyAlignment="1">
      <alignment horizontal="center" vertical="center"/>
    </xf>
    <xf numFmtId="1" fontId="254" fillId="7" borderId="6" xfId="273" applyNumberFormat="1" applyFont="1" applyFill="1" applyBorder="1" applyAlignment="1">
      <alignment horizontal="center" vertical="center"/>
    </xf>
    <xf numFmtId="4" fontId="255" fillId="7" borderId="6" xfId="273" applyNumberFormat="1" applyFont="1" applyFill="1" applyBorder="1" applyAlignment="1">
      <alignment horizontal="center" vertical="center"/>
    </xf>
    <xf numFmtId="0" fontId="252" fillId="7" borderId="6" xfId="273" applyFont="1" applyFill="1" applyBorder="1" applyAlignment="1">
      <alignment vertical="center" wrapText="1"/>
    </xf>
    <xf numFmtId="3" fontId="254" fillId="0" borderId="6" xfId="0" quotePrefix="1" applyNumberFormat="1" applyFont="1" applyFill="1" applyBorder="1" applyAlignment="1">
      <alignment horizontal="center" vertical="center"/>
    </xf>
    <xf numFmtId="2" fontId="255" fillId="0" borderId="6" xfId="0" quotePrefix="1" applyNumberFormat="1" applyFont="1" applyFill="1" applyBorder="1" applyAlignment="1">
      <alignment horizontal="center" vertical="center"/>
    </xf>
    <xf numFmtId="1" fontId="251" fillId="7" borderId="6" xfId="10" applyNumberFormat="1" applyFont="1" applyFill="1" applyBorder="1" applyAlignment="1">
      <alignment horizontal="center" vertical="center"/>
    </xf>
    <xf numFmtId="3" fontId="252" fillId="0" borderId="6" xfId="10" applyNumberFormat="1" applyFont="1" applyFill="1" applyBorder="1" applyAlignment="1">
      <alignment horizontal="center" vertical="center"/>
    </xf>
    <xf numFmtId="0" fontId="252" fillId="0" borderId="6" xfId="0" applyFont="1" applyFill="1" applyBorder="1" applyAlignment="1">
      <alignment vertical="center" wrapText="1"/>
    </xf>
    <xf numFmtId="2" fontId="252" fillId="0" borderId="6" xfId="0" applyNumberFormat="1" applyFont="1" applyFill="1" applyBorder="1" applyAlignment="1">
      <alignment vertical="center"/>
    </xf>
    <xf numFmtId="1" fontId="255" fillId="7" borderId="6" xfId="273" applyNumberFormat="1" applyFont="1" applyFill="1" applyBorder="1" applyAlignment="1">
      <alignment horizontal="center" vertical="center"/>
    </xf>
    <xf numFmtId="197" fontId="252" fillId="7" borderId="6" xfId="10" applyNumberFormat="1" applyFont="1" applyFill="1" applyBorder="1" applyAlignment="1">
      <alignment horizontal="center" vertical="center"/>
    </xf>
    <xf numFmtId="3" fontId="252" fillId="0" borderId="6" xfId="0" applyNumberFormat="1" applyFont="1" applyFill="1" applyBorder="1" applyAlignment="1">
      <alignment horizontal="center" vertical="center"/>
    </xf>
    <xf numFmtId="197" fontId="252" fillId="0" borderId="6" xfId="0" applyNumberFormat="1" applyFont="1" applyFill="1" applyBorder="1" applyAlignment="1">
      <alignment horizontal="center" vertical="center"/>
    </xf>
    <xf numFmtId="0" fontId="252" fillId="0" borderId="6" xfId="0" quotePrefix="1" applyNumberFormat="1" applyFont="1" applyFill="1" applyBorder="1" applyAlignment="1">
      <alignment horizontal="center" vertical="center"/>
    </xf>
    <xf numFmtId="197" fontId="252" fillId="0" borderId="6" xfId="10" applyNumberFormat="1" applyFont="1" applyFill="1" applyBorder="1" applyAlignment="1">
      <alignment horizontal="center" vertical="center" wrapText="1"/>
    </xf>
    <xf numFmtId="2" fontId="251" fillId="0" borderId="17" xfId="0" applyNumberFormat="1" applyFont="1" applyFill="1" applyBorder="1" applyAlignment="1">
      <alignment horizontal="center" vertical="center" wrapText="1"/>
    </xf>
    <xf numFmtId="0" fontId="251" fillId="0" borderId="17" xfId="0" quotePrefix="1" applyNumberFormat="1" applyFont="1" applyFill="1" applyBorder="1" applyAlignment="1">
      <alignment horizontal="center" vertical="center" wrapText="1"/>
    </xf>
    <xf numFmtId="2" fontId="251" fillId="0" borderId="17" xfId="0" quotePrefix="1" applyNumberFormat="1" applyFont="1" applyFill="1" applyBorder="1" applyAlignment="1">
      <alignment horizontal="center" vertical="center" wrapText="1"/>
    </xf>
    <xf numFmtId="197" fontId="251" fillId="0" borderId="17" xfId="0" quotePrefix="1" applyNumberFormat="1" applyFont="1" applyFill="1" applyBorder="1" applyAlignment="1">
      <alignment horizontal="center" vertical="center" wrapText="1"/>
    </xf>
    <xf numFmtId="197" fontId="251" fillId="0" borderId="17" xfId="10" applyNumberFormat="1" applyFont="1" applyFill="1" applyBorder="1" applyAlignment="1">
      <alignment horizontal="center" vertical="center" wrapText="1"/>
    </xf>
    <xf numFmtId="0" fontId="179" fillId="0" borderId="6" xfId="0" quotePrefix="1" applyNumberFormat="1" applyFont="1" applyFill="1" applyBorder="1" applyAlignment="1">
      <alignment horizontal="center" vertical="center" wrapText="1"/>
    </xf>
    <xf numFmtId="2" fontId="179" fillId="0" borderId="6" xfId="0" quotePrefix="1" applyNumberFormat="1" applyFont="1" applyFill="1" applyBorder="1" applyAlignment="1">
      <alignment horizontal="center" vertical="center" wrapText="1"/>
    </xf>
    <xf numFmtId="197" fontId="179" fillId="0" borderId="6" xfId="0" quotePrefix="1" applyNumberFormat="1" applyFont="1" applyFill="1" applyBorder="1" applyAlignment="1">
      <alignment horizontal="center" vertical="center" wrapText="1"/>
    </xf>
    <xf numFmtId="2" fontId="179" fillId="0" borderId="6" xfId="0" quotePrefix="1" applyNumberFormat="1" applyFont="1" applyFill="1" applyBorder="1" applyAlignment="1">
      <alignment horizontal="center" vertical="center"/>
    </xf>
    <xf numFmtId="197" fontId="180" fillId="0" borderId="6" xfId="0" applyNumberFormat="1" applyFont="1" applyFill="1" applyBorder="1" applyAlignment="1">
      <alignment horizontal="center" vertical="center" wrapText="1"/>
    </xf>
    <xf numFmtId="3" fontId="201" fillId="0" borderId="6" xfId="0" applyNumberFormat="1" applyFont="1" applyFill="1" applyBorder="1" applyAlignment="1">
      <alignment horizontal="center" vertical="center"/>
    </xf>
    <xf numFmtId="0" fontId="201" fillId="0" borderId="6" xfId="0" applyFont="1" applyFill="1" applyBorder="1" applyAlignment="1">
      <alignment vertical="center"/>
    </xf>
    <xf numFmtId="4" fontId="201" fillId="0" borderId="6" xfId="10" applyNumberFormat="1" applyFont="1" applyFill="1" applyBorder="1" applyAlignment="1">
      <alignment horizontal="center" vertical="center" wrapText="1"/>
    </xf>
    <xf numFmtId="4" fontId="182" fillId="7" borderId="6" xfId="273" applyNumberFormat="1" applyFont="1" applyFill="1" applyBorder="1" applyAlignment="1">
      <alignment horizontal="center" vertical="center"/>
    </xf>
    <xf numFmtId="0" fontId="203" fillId="0" borderId="0" xfId="0" applyFont="1" applyAlignment="1">
      <alignment horizontal="center"/>
    </xf>
    <xf numFmtId="0" fontId="232" fillId="0" borderId="0" xfId="0" applyFont="1" applyAlignment="1">
      <alignment horizontal="center"/>
    </xf>
    <xf numFmtId="2" fontId="182" fillId="0" borderId="6" xfId="0" quotePrefix="1" applyNumberFormat="1" applyFont="1" applyFill="1" applyBorder="1" applyAlignment="1">
      <alignment horizontal="center" vertical="center"/>
    </xf>
    <xf numFmtId="4" fontId="203" fillId="0" borderId="0" xfId="0" applyNumberFormat="1" applyFont="1" applyAlignment="1">
      <alignment horizontal="center"/>
    </xf>
    <xf numFmtId="195" fontId="29" fillId="0" borderId="44" xfId="0" applyNumberFormat="1" applyFont="1" applyFill="1" applyBorder="1"/>
    <xf numFmtId="195" fontId="29" fillId="0" borderId="44" xfId="0" applyNumberFormat="1" applyFont="1" applyFill="1" applyBorder="1" applyAlignment="1">
      <alignment horizontal="center" vertical="center"/>
    </xf>
    <xf numFmtId="3" fontId="204" fillId="7" borderId="6" xfId="273" applyNumberFormat="1" applyFont="1" applyFill="1" applyBorder="1" applyAlignment="1">
      <alignment horizontal="center" vertical="center"/>
    </xf>
    <xf numFmtId="195" fontId="29" fillId="9" borderId="44" xfId="0" applyNumberFormat="1" applyFont="1" applyFill="1" applyBorder="1"/>
    <xf numFmtId="3" fontId="180" fillId="0" borderId="6" xfId="10" applyNumberFormat="1" applyFont="1" applyFill="1" applyBorder="1" applyAlignment="1">
      <alignment horizontal="center" vertical="center"/>
    </xf>
    <xf numFmtId="3" fontId="199" fillId="0" borderId="23" xfId="0" applyNumberFormat="1" applyFont="1" applyFill="1" applyBorder="1" applyAlignment="1">
      <alignment horizontal="center" vertical="center" wrapText="1"/>
    </xf>
    <xf numFmtId="0" fontId="199" fillId="0" borderId="23" xfId="0" applyFont="1" applyFill="1" applyBorder="1" applyAlignment="1">
      <alignment vertical="center" wrapText="1"/>
    </xf>
    <xf numFmtId="0" fontId="200" fillId="0" borderId="23" xfId="0" applyNumberFormat="1" applyFont="1" applyFill="1" applyBorder="1" applyAlignment="1">
      <alignment horizontal="center" vertical="center"/>
    </xf>
    <xf numFmtId="2" fontId="179" fillId="0" borderId="23" xfId="0" applyNumberFormat="1" applyFont="1" applyFill="1" applyBorder="1" applyAlignment="1">
      <alignment horizontal="center" vertical="center"/>
    </xf>
    <xf numFmtId="4" fontId="179" fillId="0" borderId="34" xfId="0" applyNumberFormat="1" applyFont="1" applyFill="1" applyBorder="1" applyAlignment="1">
      <alignment vertical="center"/>
    </xf>
    <xf numFmtId="3" fontId="179" fillId="0" borderId="23" xfId="0" applyNumberFormat="1" applyFont="1" applyFill="1" applyBorder="1" applyAlignment="1">
      <alignment horizontal="center" vertical="center"/>
    </xf>
    <xf numFmtId="197" fontId="179" fillId="0" borderId="23" xfId="0" applyNumberFormat="1" applyFont="1" applyFill="1" applyBorder="1" applyAlignment="1">
      <alignment horizontal="center" vertical="center"/>
    </xf>
    <xf numFmtId="0" fontId="199" fillId="0" borderId="23" xfId="0" quotePrefix="1" applyNumberFormat="1" applyFont="1" applyFill="1" applyBorder="1" applyAlignment="1">
      <alignment horizontal="center" vertical="center"/>
    </xf>
    <xf numFmtId="4" fontId="180" fillId="0" borderId="32" xfId="0" applyNumberFormat="1" applyFont="1" applyFill="1" applyBorder="1" applyAlignment="1">
      <alignment vertical="center"/>
    </xf>
    <xf numFmtId="3" fontId="180" fillId="0" borderId="23" xfId="0" applyNumberFormat="1" applyFont="1" applyFill="1" applyBorder="1" applyAlignment="1">
      <alignment horizontal="center" vertical="center"/>
    </xf>
    <xf numFmtId="197" fontId="180" fillId="0" borderId="23" xfId="0" applyNumberFormat="1" applyFont="1" applyFill="1" applyBorder="1" applyAlignment="1">
      <alignment horizontal="center" vertical="center"/>
    </xf>
    <xf numFmtId="0" fontId="256" fillId="0" borderId="0" xfId="26" applyFont="1" applyAlignment="1">
      <alignment horizontal="center"/>
    </xf>
    <xf numFmtId="0" fontId="65" fillId="0" borderId="0" xfId="26" applyFont="1" applyAlignment="1"/>
    <xf numFmtId="0" fontId="66" fillId="0" borderId="0" xfId="26" applyFont="1" applyAlignment="1"/>
    <xf numFmtId="0" fontId="257" fillId="0" borderId="0" xfId="26" applyFont="1" applyAlignment="1"/>
    <xf numFmtId="0" fontId="141" fillId="0" borderId="14" xfId="0" applyFont="1" applyBorder="1" applyAlignment="1">
      <alignment horizontal="center" vertical="center" wrapText="1"/>
    </xf>
    <xf numFmtId="0" fontId="51" fillId="0" borderId="14" xfId="0" applyFont="1" applyBorder="1" applyAlignment="1">
      <alignment horizontal="center" vertical="center" wrapText="1"/>
    </xf>
    <xf numFmtId="0" fontId="65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 wrapText="1"/>
    </xf>
    <xf numFmtId="0" fontId="258" fillId="0" borderId="1" xfId="0" applyFont="1" applyBorder="1" applyAlignment="1">
      <alignment horizontal="center" vertical="center" wrapText="1"/>
    </xf>
    <xf numFmtId="218" fontId="66" fillId="0" borderId="1" xfId="8" applyNumberFormat="1" applyFont="1" applyBorder="1" applyAlignment="1">
      <alignment horizontal="center" vertical="center" wrapText="1"/>
    </xf>
    <xf numFmtId="0" fontId="65" fillId="0" borderId="1" xfId="0" applyFont="1" applyBorder="1" applyAlignment="1">
      <alignment horizontal="left" vertical="center"/>
    </xf>
    <xf numFmtId="202" fontId="22" fillId="0" borderId="1" xfId="0" applyNumberFormat="1" applyFont="1" applyFill="1" applyBorder="1" applyAlignment="1">
      <alignment horizontal="right"/>
    </xf>
    <xf numFmtId="0" fontId="11" fillId="0" borderId="1" xfId="0" applyFont="1" applyFill="1" applyBorder="1" applyAlignment="1">
      <alignment vertical="center" wrapText="1"/>
    </xf>
    <xf numFmtId="218" fontId="11" fillId="0" borderId="1" xfId="0" applyNumberFormat="1" applyFont="1" applyFill="1" applyBorder="1" applyAlignment="1">
      <alignment vertical="center" wrapText="1"/>
    </xf>
    <xf numFmtId="0" fontId="66" fillId="0" borderId="1" xfId="0" applyFont="1" applyBorder="1" applyAlignment="1">
      <alignment horizontal="center"/>
    </xf>
    <xf numFmtId="0" fontId="66" fillId="0" borderId="1" xfId="0" applyFont="1" applyBorder="1"/>
    <xf numFmtId="192" fontId="116" fillId="0" borderId="0" xfId="0" applyNumberFormat="1" applyFont="1"/>
    <xf numFmtId="0" fontId="11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center" vertical="center" wrapText="1"/>
    </xf>
    <xf numFmtId="1" fontId="65" fillId="0" borderId="1" xfId="0" applyNumberFormat="1" applyFont="1" applyBorder="1" applyAlignment="1">
      <alignment horizontal="center" vertical="center" wrapText="1"/>
    </xf>
    <xf numFmtId="3" fontId="65" fillId="0" borderId="1" xfId="0" applyNumberFormat="1" applyFont="1" applyBorder="1" applyAlignment="1">
      <alignment horizontal="center" vertical="center" wrapText="1"/>
    </xf>
    <xf numFmtId="199" fontId="234" fillId="0" borderId="6" xfId="0" applyNumberFormat="1" applyFont="1" applyFill="1" applyBorder="1" applyAlignment="1">
      <alignment vertical="center"/>
    </xf>
    <xf numFmtId="213" fontId="93" fillId="0" borderId="1" xfId="1" applyNumberFormat="1" applyFont="1" applyBorder="1" applyAlignment="1">
      <alignment horizontal="center" vertical="center"/>
    </xf>
    <xf numFmtId="218" fontId="114" fillId="0" borderId="0" xfId="0" applyNumberFormat="1" applyFont="1"/>
    <xf numFmtId="0" fontId="29" fillId="0" borderId="0" xfId="0" applyFont="1" applyFill="1" applyAlignment="1"/>
    <xf numFmtId="213" fontId="13" fillId="0" borderId="1" xfId="8" applyNumberFormat="1" applyFont="1" applyFill="1" applyBorder="1" applyAlignment="1">
      <alignment horizontal="center" vertical="center" wrapText="1"/>
    </xf>
    <xf numFmtId="3" fontId="11" fillId="0" borderId="1" xfId="0" applyNumberFormat="1" applyFont="1" applyFill="1" applyBorder="1" applyAlignment="1">
      <alignment horizontal="center" vertical="center"/>
    </xf>
    <xf numFmtId="2" fontId="111" fillId="0" borderId="0" xfId="0" applyNumberFormat="1" applyFont="1" applyFill="1" applyAlignment="1">
      <alignment shrinkToFit="1"/>
    </xf>
    <xf numFmtId="0" fontId="124" fillId="7" borderId="0" xfId="0" applyFont="1" applyFill="1" applyAlignment="1">
      <alignment horizontal="center"/>
    </xf>
    <xf numFmtId="0" fontId="125" fillId="7" borderId="0" xfId="0" applyFont="1" applyFill="1" applyAlignment="1">
      <alignment horizontal="center"/>
    </xf>
    <xf numFmtId="0" fontId="124" fillId="7" borderId="0" xfId="0" applyFont="1" applyFill="1" applyAlignment="1">
      <alignment horizontal="center" vertical="center"/>
    </xf>
    <xf numFmtId="0" fontId="136" fillId="7" borderId="1" xfId="1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/>
    </xf>
    <xf numFmtId="0" fontId="20" fillId="0" borderId="0" xfId="0" applyFont="1" applyFill="1" applyAlignment="1">
      <alignment horizontal="center"/>
    </xf>
    <xf numFmtId="4" fontId="10" fillId="0" borderId="0" xfId="0" applyNumberFormat="1" applyFont="1" applyFill="1" applyAlignment="1">
      <alignment horizontal="center"/>
    </xf>
    <xf numFmtId="0" fontId="185" fillId="0" borderId="0" xfId="0" applyFont="1" applyFill="1" applyAlignment="1">
      <alignment horizontal="center"/>
    </xf>
    <xf numFmtId="205" fontId="111" fillId="0" borderId="0" xfId="0" applyNumberFormat="1" applyFont="1" applyFill="1"/>
    <xf numFmtId="234" fontId="111" fillId="0" borderId="0" xfId="0" applyNumberFormat="1" applyFont="1" applyFill="1"/>
    <xf numFmtId="43" fontId="125" fillId="7" borderId="0" xfId="1" applyFont="1" applyFill="1" applyBorder="1"/>
    <xf numFmtId="189" fontId="125" fillId="7" borderId="0" xfId="0" applyNumberFormat="1" applyFont="1" applyFill="1" applyBorder="1"/>
    <xf numFmtId="198" fontId="111" fillId="0" borderId="0" xfId="0" applyNumberFormat="1" applyFont="1" applyFill="1"/>
    <xf numFmtId="213" fontId="125" fillId="7" borderId="0" xfId="0" applyNumberFormat="1" applyFont="1" applyFill="1" applyBorder="1"/>
    <xf numFmtId="0" fontId="103" fillId="0" borderId="0" xfId="255" applyFont="1" applyAlignment="1"/>
    <xf numFmtId="0" fontId="124" fillId="7" borderId="0" xfId="0" applyFont="1" applyFill="1" applyAlignment="1">
      <alignment horizontal="center"/>
    </xf>
    <xf numFmtId="0" fontId="124" fillId="7" borderId="0" xfId="0" applyFont="1" applyFill="1" applyAlignment="1">
      <alignment horizontal="center" vertical="center"/>
    </xf>
    <xf numFmtId="0" fontId="66" fillId="0" borderId="0" xfId="0" applyFont="1" applyAlignment="1">
      <alignment horizontal="center"/>
    </xf>
    <xf numFmtId="197" fontId="197" fillId="0" borderId="0" xfId="0" applyNumberFormat="1" applyFont="1" applyAlignment="1">
      <alignment horizontal="center"/>
    </xf>
    <xf numFmtId="43" fontId="197" fillId="0" borderId="0" xfId="1" applyFont="1" applyAlignment="1">
      <alignment horizontal="center"/>
    </xf>
    <xf numFmtId="43" fontId="197" fillId="0" borderId="1" xfId="1" applyFont="1" applyBorder="1"/>
    <xf numFmtId="1" fontId="117" fillId="0" borderId="1" xfId="0" applyNumberFormat="1" applyFont="1" applyBorder="1" applyAlignment="1">
      <alignment horizontal="center" vertical="center" wrapText="1"/>
    </xf>
    <xf numFmtId="3" fontId="117" fillId="0" borderId="1" xfId="0" applyNumberFormat="1" applyFont="1" applyBorder="1" applyAlignment="1">
      <alignment horizontal="center" vertical="center" wrapText="1"/>
    </xf>
    <xf numFmtId="0" fontId="136" fillId="7" borderId="15" xfId="1" applyNumberFormat="1" applyFont="1" applyFill="1" applyBorder="1" applyAlignment="1">
      <alignment horizontal="center" vertical="center" wrapText="1"/>
    </xf>
    <xf numFmtId="191" fontId="124" fillId="7" borderId="0" xfId="1" applyNumberFormat="1" applyFont="1" applyFill="1" applyBorder="1" applyAlignment="1">
      <alignment horizontal="center"/>
    </xf>
    <xf numFmtId="191" fontId="127" fillId="7" borderId="0" xfId="1" applyNumberFormat="1" applyFont="1" applyFill="1" applyBorder="1" applyAlignment="1">
      <alignment vertical="center"/>
    </xf>
    <xf numFmtId="191" fontId="20" fillId="0" borderId="0" xfId="0" applyNumberFormat="1" applyFont="1" applyBorder="1" applyAlignment="1">
      <alignment vertical="center"/>
    </xf>
    <xf numFmtId="240" fontId="4" fillId="0" borderId="6" xfId="1" applyNumberFormat="1" applyFont="1" applyBorder="1" applyAlignment="1">
      <alignment horizontal="center" vertical="center"/>
    </xf>
    <xf numFmtId="199" fontId="153" fillId="0" borderId="6" xfId="0" applyNumberFormat="1" applyFont="1" applyFill="1" applyBorder="1" applyAlignment="1">
      <alignment horizontal="right" vertical="center"/>
    </xf>
    <xf numFmtId="0" fontId="6" fillId="0" borderId="0" xfId="0" applyFont="1" applyFill="1" applyAlignment="1">
      <alignment horizontal="center"/>
    </xf>
    <xf numFmtId="199" fontId="11" fillId="0" borderId="31" xfId="0" applyNumberFormat="1" applyFont="1" applyFill="1" applyBorder="1" applyAlignment="1">
      <alignment horizontal="center" vertical="center"/>
    </xf>
    <xf numFmtId="199" fontId="36" fillId="0" borderId="0" xfId="0" applyNumberFormat="1" applyFont="1" applyFill="1" applyBorder="1" applyAlignment="1">
      <alignment horizontal="center" vertical="center"/>
    </xf>
    <xf numFmtId="0" fontId="124" fillId="0" borderId="1" xfId="0" applyFont="1" applyBorder="1" applyAlignment="1">
      <alignment horizontal="center" vertical="center"/>
    </xf>
    <xf numFmtId="0" fontId="124" fillId="0" borderId="1" xfId="0" applyFont="1" applyBorder="1" applyAlignment="1">
      <alignment horizontal="center" vertical="center" wrapText="1"/>
    </xf>
    <xf numFmtId="191" fontId="124" fillId="0" borderId="1" xfId="1" applyNumberFormat="1" applyFont="1" applyFill="1" applyBorder="1" applyAlignment="1">
      <alignment horizontal="center" vertical="center" wrapText="1"/>
    </xf>
    <xf numFmtId="191" fontId="124" fillId="0" borderId="1" xfId="1" applyNumberFormat="1" applyFont="1" applyFill="1" applyBorder="1" applyAlignment="1">
      <alignment horizontal="center" vertical="center"/>
    </xf>
    <xf numFmtId="191" fontId="127" fillId="0" borderId="0" xfId="0" applyNumberFormat="1" applyFont="1"/>
    <xf numFmtId="0" fontId="125" fillId="0" borderId="27" xfId="0" applyFont="1" applyBorder="1" applyAlignment="1">
      <alignment horizontal="center" vertical="center"/>
    </xf>
    <xf numFmtId="0" fontId="22" fillId="0" borderId="21" xfId="255" applyFont="1" applyBorder="1" applyAlignment="1">
      <alignment horizontal="left" vertical="center"/>
    </xf>
    <xf numFmtId="192" fontId="125" fillId="0" borderId="22" xfId="1" applyNumberFormat="1" applyFont="1" applyFill="1" applyBorder="1" applyAlignment="1">
      <alignment horizontal="center" vertical="center"/>
    </xf>
    <xf numFmtId="2" fontId="164" fillId="0" borderId="15" xfId="1" applyNumberFormat="1" applyFont="1" applyFill="1" applyBorder="1" applyAlignment="1">
      <alignment horizontal="right" vertical="center" indent="1"/>
    </xf>
    <xf numFmtId="0" fontId="136" fillId="0" borderId="27" xfId="0" applyFont="1" applyBorder="1" applyAlignment="1">
      <alignment horizontal="center" vertical="center"/>
    </xf>
    <xf numFmtId="192" fontId="136" fillId="0" borderId="1" xfId="1" applyNumberFormat="1" applyFont="1" applyFill="1" applyBorder="1" applyAlignment="1">
      <alignment horizontal="right" vertical="center" indent="1"/>
    </xf>
    <xf numFmtId="192" fontId="136" fillId="0" borderId="1" xfId="1" applyNumberFormat="1" applyFont="1" applyFill="1" applyBorder="1" applyAlignment="1">
      <alignment horizontal="center" vertical="center"/>
    </xf>
    <xf numFmtId="192" fontId="136" fillId="0" borderId="22" xfId="1" applyNumberFormat="1" applyFont="1" applyFill="1" applyBorder="1" applyAlignment="1">
      <alignment horizontal="center" vertical="center"/>
    </xf>
    <xf numFmtId="43" fontId="136" fillId="0" borderId="22" xfId="1" applyFont="1" applyFill="1" applyBorder="1" applyAlignment="1">
      <alignment horizontal="center" vertical="center"/>
    </xf>
    <xf numFmtId="192" fontId="77" fillId="0" borderId="1" xfId="1" applyNumberFormat="1" applyFont="1" applyFill="1" applyBorder="1" applyAlignment="1">
      <alignment vertical="center"/>
    </xf>
    <xf numFmtId="189" fontId="77" fillId="0" borderId="1" xfId="1" applyNumberFormat="1" applyFont="1" applyFill="1" applyBorder="1" applyAlignment="1">
      <alignment vertical="center"/>
    </xf>
    <xf numFmtId="192" fontId="136" fillId="0" borderId="1" xfId="1" applyNumberFormat="1" applyFont="1" applyFill="1" applyBorder="1" applyAlignment="1">
      <alignment vertical="center"/>
    </xf>
    <xf numFmtId="189" fontId="136" fillId="0" borderId="1" xfId="1" applyNumberFormat="1" applyFont="1" applyFill="1" applyBorder="1" applyAlignment="1">
      <alignment vertical="center"/>
    </xf>
    <xf numFmtId="189" fontId="77" fillId="0" borderId="1" xfId="0" applyNumberFormat="1" applyFont="1" applyBorder="1" applyAlignment="1">
      <alignment vertical="center"/>
    </xf>
    <xf numFmtId="192" fontId="136" fillId="0" borderId="1" xfId="0" applyNumberFormat="1" applyFont="1" applyBorder="1" applyAlignment="1">
      <alignment vertical="center"/>
    </xf>
    <xf numFmtId="189" fontId="136" fillId="0" borderId="1" xfId="0" applyNumberFormat="1" applyFont="1" applyBorder="1" applyAlignment="1">
      <alignment vertical="center"/>
    </xf>
    <xf numFmtId="2" fontId="136" fillId="0" borderId="15" xfId="1" applyNumberFormat="1" applyFont="1" applyFill="1" applyBorder="1" applyAlignment="1">
      <alignment horizontal="right" vertical="center" indent="1"/>
    </xf>
    <xf numFmtId="192" fontId="223" fillId="0" borderId="1" xfId="0" applyNumberFormat="1" applyFont="1" applyBorder="1" applyAlignment="1">
      <alignment vertical="center"/>
    </xf>
    <xf numFmtId="0" fontId="136" fillId="0" borderId="0" xfId="0" applyFont="1" applyAlignment="1">
      <alignment vertical="center"/>
    </xf>
    <xf numFmtId="0" fontId="164" fillId="0" borderId="27" xfId="0" applyFont="1" applyBorder="1" applyAlignment="1">
      <alignment horizontal="center" vertical="center"/>
    </xf>
    <xf numFmtId="0" fontId="101" fillId="0" borderId="21" xfId="255" applyFont="1" applyBorder="1" applyAlignment="1">
      <alignment horizontal="left" vertical="center"/>
    </xf>
    <xf numFmtId="0" fontId="101" fillId="0" borderId="31" xfId="255" applyFont="1" applyBorder="1" applyAlignment="1">
      <alignment horizontal="left" vertical="center"/>
    </xf>
    <xf numFmtId="192" fontId="164" fillId="0" borderId="1" xfId="1" applyNumberFormat="1" applyFont="1" applyFill="1" applyBorder="1" applyAlignment="1">
      <alignment horizontal="right" vertical="center" indent="1"/>
    </xf>
    <xf numFmtId="192" fontId="164" fillId="0" borderId="1" xfId="1" applyNumberFormat="1" applyFont="1" applyFill="1" applyBorder="1" applyAlignment="1">
      <alignment horizontal="center" vertical="center"/>
    </xf>
    <xf numFmtId="192" fontId="164" fillId="0" borderId="22" xfId="1" applyNumberFormat="1" applyFont="1" applyFill="1" applyBorder="1" applyAlignment="1">
      <alignment horizontal="center" vertical="center"/>
    </xf>
    <xf numFmtId="43" fontId="164" fillId="0" borderId="22" xfId="1" applyFont="1" applyFill="1" applyBorder="1" applyAlignment="1">
      <alignment horizontal="center" vertical="center"/>
    </xf>
    <xf numFmtId="192" fontId="101" fillId="0" borderId="1" xfId="1" applyNumberFormat="1" applyFont="1" applyFill="1" applyBorder="1" applyAlignment="1">
      <alignment vertical="center"/>
    </xf>
    <xf numFmtId="189" fontId="101" fillId="0" borderId="1" xfId="1" applyNumberFormat="1" applyFont="1" applyFill="1" applyBorder="1" applyAlignment="1">
      <alignment vertical="center"/>
    </xf>
    <xf numFmtId="192" fontId="164" fillId="0" borderId="1" xfId="1" applyNumberFormat="1" applyFont="1" applyFill="1" applyBorder="1" applyAlignment="1">
      <alignment vertical="center"/>
    </xf>
    <xf numFmtId="189" fontId="164" fillId="0" borderId="1" xfId="1" applyNumberFormat="1" applyFont="1" applyFill="1" applyBorder="1" applyAlignment="1">
      <alignment vertical="center"/>
    </xf>
    <xf numFmtId="189" fontId="101" fillId="0" borderId="1" xfId="0" applyNumberFormat="1" applyFont="1" applyBorder="1" applyAlignment="1">
      <alignment vertical="center"/>
    </xf>
    <xf numFmtId="192" fontId="164" fillId="0" borderId="1" xfId="0" applyNumberFormat="1" applyFont="1" applyBorder="1" applyAlignment="1">
      <alignment vertical="center"/>
    </xf>
    <xf numFmtId="189" fontId="164" fillId="0" borderId="1" xfId="0" applyNumberFormat="1" applyFont="1" applyBorder="1" applyAlignment="1">
      <alignment vertical="center"/>
    </xf>
    <xf numFmtId="192" fontId="178" fillId="0" borderId="1" xfId="0" applyNumberFormat="1" applyFont="1" applyBorder="1" applyAlignment="1">
      <alignment vertical="center"/>
    </xf>
    <xf numFmtId="0" fontId="164" fillId="0" borderId="0" xfId="0" applyFont="1" applyAlignment="1">
      <alignment vertical="center"/>
    </xf>
    <xf numFmtId="3" fontId="125" fillId="0" borderId="1" xfId="1" applyNumberFormat="1" applyFont="1" applyFill="1" applyBorder="1" applyAlignment="1">
      <alignment horizontal="center" vertical="center"/>
    </xf>
    <xf numFmtId="43" fontId="164" fillId="0" borderId="30" xfId="1" applyNumberFormat="1" applyFont="1" applyFill="1" applyBorder="1" applyAlignment="1">
      <alignment vertical="center" shrinkToFit="1"/>
    </xf>
    <xf numFmtId="43" fontId="124" fillId="0" borderId="1" xfId="1" applyNumberFormat="1" applyFont="1" applyFill="1" applyBorder="1" applyAlignment="1">
      <alignment vertical="center" shrinkToFit="1"/>
    </xf>
    <xf numFmtId="3" fontId="164" fillId="0" borderId="1" xfId="1" applyNumberFormat="1" applyFont="1" applyFill="1" applyBorder="1" applyAlignment="1">
      <alignment horizontal="center" vertical="center"/>
    </xf>
    <xf numFmtId="191" fontId="164" fillId="0" borderId="30" xfId="1" applyNumberFormat="1" applyFont="1" applyFill="1" applyBorder="1" applyAlignment="1">
      <alignment horizontal="center" vertical="center" shrinkToFit="1"/>
    </xf>
    <xf numFmtId="191" fontId="164" fillId="0" borderId="25" xfId="1" applyNumberFormat="1" applyFont="1" applyFill="1" applyBorder="1" applyAlignment="1">
      <alignment vertical="center"/>
    </xf>
    <xf numFmtId="199" fontId="236" fillId="0" borderId="16" xfId="0" applyNumberFormat="1" applyFont="1" applyFill="1" applyBorder="1" applyAlignment="1">
      <alignment horizontal="center" vertical="center"/>
    </xf>
    <xf numFmtId="199" fontId="36" fillId="0" borderId="6" xfId="0" applyNumberFormat="1" applyFont="1" applyFill="1" applyBorder="1" applyAlignment="1">
      <alignment vertical="center" wrapText="1"/>
    </xf>
    <xf numFmtId="199" fontId="264" fillId="0" borderId="16" xfId="0" applyNumberFormat="1" applyFont="1" applyFill="1" applyBorder="1" applyAlignment="1">
      <alignment horizontal="right" vertical="center"/>
    </xf>
    <xf numFmtId="199" fontId="264" fillId="0" borderId="6" xfId="0" applyNumberFormat="1" applyFont="1" applyFill="1" applyBorder="1" applyAlignment="1">
      <alignment horizontal="right" vertical="center"/>
    </xf>
    <xf numFmtId="199" fontId="265" fillId="0" borderId="6" xfId="0" applyNumberFormat="1" applyFont="1" applyFill="1" applyBorder="1" applyAlignment="1">
      <alignment horizontal="right" vertical="center"/>
    </xf>
    <xf numFmtId="199" fontId="9" fillId="0" borderId="18" xfId="0" applyNumberFormat="1" applyFont="1" applyFill="1" applyBorder="1" applyAlignment="1">
      <alignment vertical="center" wrapText="1"/>
    </xf>
    <xf numFmtId="199" fontId="236" fillId="0" borderId="1" xfId="0" applyNumberFormat="1" applyFont="1" applyFill="1" applyBorder="1" applyAlignment="1">
      <alignment horizontal="center" vertical="center"/>
    </xf>
    <xf numFmtId="191" fontId="0" fillId="0" borderId="0" xfId="1" applyNumberFormat="1" applyFont="1"/>
    <xf numFmtId="0" fontId="266" fillId="0" borderId="0" xfId="0" applyFont="1"/>
    <xf numFmtId="0" fontId="0" fillId="0" borderId="0" xfId="0" applyFont="1"/>
    <xf numFmtId="242" fontId="0" fillId="0" borderId="0" xfId="0" applyNumberFormat="1"/>
    <xf numFmtId="233" fontId="265" fillId="0" borderId="6" xfId="0" applyNumberFormat="1" applyFont="1" applyFill="1" applyBorder="1" applyAlignment="1">
      <alignment horizontal="right" vertical="center"/>
    </xf>
    <xf numFmtId="233" fontId="239" fillId="0" borderId="17" xfId="0" applyNumberFormat="1" applyFont="1" applyFill="1" applyBorder="1" applyAlignment="1">
      <alignment horizontal="right" vertical="center"/>
    </xf>
    <xf numFmtId="199" fontId="0" fillId="0" borderId="1" xfId="0" applyNumberFormat="1" applyBorder="1"/>
    <xf numFmtId="241" fontId="0" fillId="0" borderId="1" xfId="0" applyNumberFormat="1" applyBorder="1"/>
    <xf numFmtId="242" fontId="0" fillId="0" borderId="1" xfId="0" applyNumberFormat="1" applyBorder="1"/>
    <xf numFmtId="233" fontId="0" fillId="0" borderId="1" xfId="0" applyNumberFormat="1" applyBorder="1"/>
    <xf numFmtId="191" fontId="0" fillId="0" borderId="1" xfId="0" applyNumberFormat="1" applyBorder="1"/>
    <xf numFmtId="43" fontId="0" fillId="0" borderId="1" xfId="1" applyFont="1" applyBorder="1"/>
    <xf numFmtId="0" fontId="0" fillId="0" borderId="0" xfId="0" applyAlignment="1">
      <alignment horizontal="right"/>
    </xf>
    <xf numFmtId="199" fontId="236" fillId="0" borderId="16" xfId="0" applyNumberFormat="1" applyFont="1" applyFill="1" applyBorder="1" applyAlignment="1">
      <alignment horizontal="right" vertical="center"/>
    </xf>
    <xf numFmtId="199" fontId="264" fillId="0" borderId="16" xfId="8" applyNumberFormat="1" applyFont="1" applyFill="1" applyBorder="1" applyAlignment="1">
      <alignment horizontal="right" vertical="center"/>
    </xf>
    <xf numFmtId="233" fontId="9" fillId="0" borderId="6" xfId="0" applyNumberFormat="1" applyFont="1" applyFill="1" applyBorder="1" applyAlignment="1">
      <alignment horizontal="right" vertical="center"/>
    </xf>
    <xf numFmtId="233" fontId="264" fillId="0" borderId="6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10" fillId="0" borderId="0" xfId="0" applyFont="1" applyFill="1" applyAlignment="1">
      <alignment horizontal="right"/>
    </xf>
    <xf numFmtId="0" fontId="20" fillId="0" borderId="0" xfId="0" applyFont="1" applyAlignment="1">
      <alignment horizontal="center"/>
    </xf>
    <xf numFmtId="0" fontId="203" fillId="0" borderId="1" xfId="0" applyFont="1" applyBorder="1" applyAlignment="1">
      <alignment horizontal="center" vertical="center"/>
    </xf>
    <xf numFmtId="240" fontId="92" fillId="0" borderId="23" xfId="1" applyNumberFormat="1" applyFont="1" applyBorder="1" applyAlignment="1">
      <alignment horizontal="center" vertical="center"/>
    </xf>
    <xf numFmtId="213" fontId="173" fillId="0" borderId="1" xfId="1" applyNumberFormat="1" applyFont="1" applyBorder="1" applyAlignment="1">
      <alignment horizontal="center" vertical="center"/>
    </xf>
    <xf numFmtId="9" fontId="197" fillId="0" borderId="1" xfId="0" applyNumberFormat="1" applyFont="1" applyBorder="1" applyAlignment="1">
      <alignment horizontal="center" vertical="center"/>
    </xf>
    <xf numFmtId="197" fontId="197" fillId="0" borderId="1" xfId="0" applyNumberFormat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19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287" applyFont="1" applyBorder="1" applyAlignment="1">
      <alignment horizontal="center"/>
    </xf>
    <xf numFmtId="1" fontId="0" fillId="0" borderId="1" xfId="287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237" fontId="0" fillId="0" borderId="1" xfId="0" applyNumberFormat="1" applyBorder="1" applyAlignment="1">
      <alignment horizontal="center" vertical="center"/>
    </xf>
    <xf numFmtId="197" fontId="0" fillId="0" borderId="1" xfId="0" applyNumberFormat="1" applyFill="1" applyBorder="1" applyAlignment="1">
      <alignment horizontal="center"/>
    </xf>
    <xf numFmtId="4" fontId="197" fillId="0" borderId="0" xfId="0" applyNumberFormat="1" applyFont="1" applyBorder="1"/>
    <xf numFmtId="2" fontId="0" fillId="0" borderId="0" xfId="0" applyNumberFormat="1" applyBorder="1"/>
    <xf numFmtId="191" fontId="0" fillId="0" borderId="0" xfId="0" applyNumberFormat="1"/>
    <xf numFmtId="0" fontId="39" fillId="13" borderId="68" xfId="0" applyNumberFormat="1" applyFont="1" applyFill="1" applyBorder="1" applyAlignment="1">
      <alignment horizontal="left" shrinkToFit="1"/>
    </xf>
    <xf numFmtId="195" fontId="189" fillId="0" borderId="1" xfId="0" applyNumberFormat="1" applyFont="1" applyBorder="1" applyAlignment="1">
      <alignment horizontal="center"/>
    </xf>
    <xf numFmtId="239" fontId="22" fillId="0" borderId="20" xfId="1" applyNumberFormat="1" applyFont="1" applyFill="1" applyBorder="1" applyAlignment="1">
      <alignment horizontal="center" vertical="center" wrapText="1" readingOrder="1"/>
    </xf>
    <xf numFmtId="238" fontId="101" fillId="0" borderId="16" xfId="1" applyNumberFormat="1" applyFont="1" applyFill="1" applyBorder="1" applyAlignment="1">
      <alignment horizontal="center" vertical="center" shrinkToFit="1"/>
    </xf>
    <xf numFmtId="1" fontId="11" fillId="0" borderId="0" xfId="0" applyNumberFormat="1" applyFont="1" applyFill="1" applyAlignment="1">
      <alignment horizontal="center" vertical="center"/>
    </xf>
    <xf numFmtId="1" fontId="11" fillId="0" borderId="0" xfId="275" applyNumberFormat="1" applyFont="1" applyFill="1" applyAlignment="1">
      <alignment horizontal="center" vertical="center"/>
    </xf>
    <xf numFmtId="1" fontId="134" fillId="0" borderId="0" xfId="0" applyNumberFormat="1" applyFont="1" applyFill="1" applyAlignment="1">
      <alignment horizontal="center"/>
    </xf>
    <xf numFmtId="1" fontId="11" fillId="0" borderId="1" xfId="0" applyNumberFormat="1" applyFont="1" applyFill="1" applyBorder="1" applyAlignment="1">
      <alignment horizontal="center" vertical="center" wrapText="1"/>
    </xf>
    <xf numFmtId="1" fontId="34" fillId="0" borderId="0" xfId="0" applyNumberFormat="1" applyFont="1" applyFill="1" applyBorder="1" applyAlignment="1">
      <alignment horizontal="center" shrinkToFit="1"/>
    </xf>
    <xf numFmtId="0" fontId="77" fillId="0" borderId="14" xfId="0" applyFont="1" applyBorder="1" applyAlignment="1">
      <alignment horizontal="center"/>
    </xf>
    <xf numFmtId="191" fontId="136" fillId="7" borderId="1" xfId="1" applyNumberFormat="1" applyFont="1" applyFill="1" applyBorder="1" applyAlignment="1">
      <alignment horizontal="center" wrapText="1"/>
    </xf>
    <xf numFmtId="0" fontId="247" fillId="16" borderId="68" xfId="0" applyNumberFormat="1" applyFont="1" applyFill="1" applyBorder="1" applyAlignment="1">
      <alignment horizontal="center" vertical="center"/>
    </xf>
    <xf numFmtId="0" fontId="248" fillId="16" borderId="68" xfId="0" applyNumberFormat="1" applyFont="1" applyFill="1" applyBorder="1" applyAlignment="1">
      <alignment horizontal="center" vertical="center"/>
    </xf>
    <xf numFmtId="3" fontId="125" fillId="7" borderId="0" xfId="0" applyNumberFormat="1" applyFont="1" applyFill="1" applyBorder="1"/>
    <xf numFmtId="3" fontId="124" fillId="7" borderId="0" xfId="0" applyNumberFormat="1" applyFont="1" applyFill="1" applyAlignment="1">
      <alignment horizontal="center" vertical="center"/>
    </xf>
    <xf numFmtId="0" fontId="127" fillId="0" borderId="0" xfId="0" applyFont="1" applyAlignment="1">
      <alignment horizontal="right"/>
    </xf>
    <xf numFmtId="2" fontId="22" fillId="0" borderId="0" xfId="0" applyNumberFormat="1" applyFont="1"/>
    <xf numFmtId="194" fontId="127" fillId="0" borderId="0" xfId="0" applyNumberFormat="1" applyFont="1"/>
    <xf numFmtId="240" fontId="35" fillId="0" borderId="1" xfId="1" applyNumberFormat="1" applyFont="1" applyBorder="1" applyAlignment="1">
      <alignment horizontal="center" vertical="center"/>
    </xf>
    <xf numFmtId="2" fontId="92" fillId="0" borderId="16" xfId="1" applyNumberFormat="1" applyFont="1" applyFill="1" applyBorder="1" applyAlignment="1">
      <alignment horizontal="center" vertical="center" wrapText="1"/>
    </xf>
    <xf numFmtId="2" fontId="92" fillId="0" borderId="17" xfId="1" applyNumberFormat="1" applyFont="1" applyFill="1" applyBorder="1" applyAlignment="1">
      <alignment horizontal="center" vertical="center" wrapText="1"/>
    </xf>
    <xf numFmtId="2" fontId="93" fillId="0" borderId="20" xfId="1" applyNumberFormat="1" applyFont="1" applyFill="1" applyBorder="1" applyAlignment="1">
      <alignment horizontal="center" vertical="center"/>
    </xf>
    <xf numFmtId="2" fontId="93" fillId="0" borderId="20" xfId="1" applyNumberFormat="1" applyFont="1" applyFill="1" applyBorder="1" applyAlignment="1">
      <alignment horizontal="center" vertical="center" wrapText="1"/>
    </xf>
    <xf numFmtId="0" fontId="22" fillId="7" borderId="0" xfId="0" applyFont="1" applyFill="1"/>
    <xf numFmtId="0" fontId="20" fillId="7" borderId="0" xfId="0" applyFont="1" applyFill="1" applyAlignment="1">
      <alignment horizontal="center" vertical="center"/>
    </xf>
    <xf numFmtId="0" fontId="22" fillId="7" borderId="0" xfId="0" applyFont="1" applyFill="1" applyAlignment="1">
      <alignment vertical="center"/>
    </xf>
    <xf numFmtId="0" fontId="20" fillId="7" borderId="0" xfId="0" applyFont="1" applyFill="1"/>
    <xf numFmtId="0" fontId="16" fillId="7" borderId="0" xfId="0" applyFont="1" applyFill="1" applyAlignment="1">
      <alignment horizontal="center"/>
    </xf>
    <xf numFmtId="0" fontId="150" fillId="7" borderId="0" xfId="0" applyFont="1" applyFill="1" applyAlignment="1">
      <alignment horizontal="center"/>
    </xf>
    <xf numFmtId="224" fontId="150" fillId="7" borderId="0" xfId="1" applyNumberFormat="1" applyFont="1" applyFill="1" applyAlignment="1">
      <alignment horizontal="center"/>
    </xf>
    <xf numFmtId="0" fontId="22" fillId="7" borderId="0" xfId="0" applyFont="1" applyFill="1" applyAlignment="1">
      <alignment horizontal="center"/>
    </xf>
    <xf numFmtId="0" fontId="101" fillId="7" borderId="0" xfId="0" applyFont="1" applyFill="1" applyAlignment="1">
      <alignment horizontal="center" shrinkToFit="1"/>
    </xf>
    <xf numFmtId="0" fontId="101" fillId="7" borderId="0" xfId="0" applyFont="1" applyFill="1" applyAlignment="1">
      <alignment shrinkToFit="1"/>
    </xf>
    <xf numFmtId="43" fontId="22" fillId="7" borderId="0" xfId="1" applyFont="1" applyFill="1" applyBorder="1" applyAlignment="1"/>
    <xf numFmtId="193" fontId="22" fillId="7" borderId="0" xfId="1" applyNumberFormat="1" applyFont="1" applyFill="1" applyBorder="1" applyAlignment="1"/>
    <xf numFmtId="192" fontId="22" fillId="7" borderId="0" xfId="1" applyNumberFormat="1" applyFont="1" applyFill="1" applyBorder="1" applyAlignment="1">
      <alignment horizontal="center"/>
    </xf>
    <xf numFmtId="192" fontId="22" fillId="7" borderId="0" xfId="1" applyNumberFormat="1" applyFont="1" applyFill="1" applyBorder="1" applyAlignment="1"/>
    <xf numFmtId="192" fontId="22" fillId="7" borderId="0" xfId="1" applyNumberFormat="1" applyFont="1" applyFill="1" applyBorder="1"/>
    <xf numFmtId="0" fontId="20" fillId="7" borderId="1" xfId="0" applyFont="1" applyFill="1" applyBorder="1" applyAlignment="1">
      <alignment vertical="center" shrinkToFit="1"/>
    </xf>
    <xf numFmtId="193" fontId="20" fillId="7" borderId="1" xfId="1" applyNumberFormat="1" applyFont="1" applyFill="1" applyBorder="1" applyAlignment="1">
      <alignment horizontal="center" vertical="center" wrapText="1"/>
    </xf>
    <xf numFmtId="192" fontId="20" fillId="7" borderId="1" xfId="1" applyNumberFormat="1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/>
    </xf>
    <xf numFmtId="0" fontId="104" fillId="7" borderId="1" xfId="25" applyFont="1" applyFill="1" applyBorder="1" applyAlignment="1">
      <alignment horizontal="left" vertical="center"/>
    </xf>
    <xf numFmtId="3" fontId="22" fillId="7" borderId="1" xfId="0" applyNumberFormat="1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left" vertical="center"/>
    </xf>
    <xf numFmtId="200" fontId="22" fillId="7" borderId="1" xfId="0" applyNumberFormat="1" applyFont="1" applyFill="1" applyBorder="1" applyAlignment="1">
      <alignment vertical="center"/>
    </xf>
    <xf numFmtId="188" fontId="22" fillId="7" borderId="1" xfId="1" applyNumberFormat="1" applyFont="1" applyFill="1" applyBorder="1" applyAlignment="1">
      <alignment vertical="center"/>
    </xf>
    <xf numFmtId="213" fontId="22" fillId="7" borderId="1" xfId="1" applyNumberFormat="1" applyFont="1" applyFill="1" applyBorder="1" applyAlignment="1">
      <alignment horizontal="center" vertical="center"/>
    </xf>
    <xf numFmtId="213" fontId="22" fillId="7" borderId="1" xfId="1" applyNumberFormat="1" applyFont="1" applyFill="1" applyBorder="1" applyAlignment="1">
      <alignment horizontal="center" vertical="center" wrapText="1"/>
    </xf>
    <xf numFmtId="188" fontId="22" fillId="7" borderId="1" xfId="0" applyNumberFormat="1" applyFont="1" applyFill="1" applyBorder="1" applyAlignment="1">
      <alignment vertical="center"/>
    </xf>
    <xf numFmtId="191" fontId="22" fillId="7" borderId="1" xfId="1" applyNumberFormat="1" applyFont="1" applyFill="1" applyBorder="1" applyAlignment="1">
      <alignment horizontal="right" vertical="center" wrapText="1"/>
    </xf>
    <xf numFmtId="213" fontId="22" fillId="7" borderId="0" xfId="0" applyNumberFormat="1" applyFont="1" applyFill="1" applyBorder="1"/>
    <xf numFmtId="191" fontId="22" fillId="7" borderId="0" xfId="1" applyNumberFormat="1" applyFont="1" applyFill="1" applyBorder="1"/>
    <xf numFmtId="191" fontId="22" fillId="7" borderId="0" xfId="0" applyNumberFormat="1" applyFont="1" applyFill="1" applyBorder="1"/>
    <xf numFmtId="0" fontId="20" fillId="7" borderId="1" xfId="0" applyFont="1" applyFill="1" applyBorder="1" applyAlignment="1">
      <alignment horizontal="center" vertical="center" shrinkToFit="1"/>
    </xf>
    <xf numFmtId="3" fontId="20" fillId="7" borderId="1" xfId="1" applyNumberFormat="1" applyFont="1" applyFill="1" applyBorder="1" applyAlignment="1">
      <alignment vertical="center" shrinkToFit="1"/>
    </xf>
    <xf numFmtId="213" fontId="20" fillId="7" borderId="1" xfId="1" applyNumberFormat="1" applyFont="1" applyFill="1" applyBorder="1" applyAlignment="1">
      <alignment horizontal="center" vertical="center" shrinkToFit="1"/>
    </xf>
    <xf numFmtId="4" fontId="20" fillId="7" borderId="0" xfId="1" applyNumberFormat="1" applyFont="1" applyFill="1" applyBorder="1" applyAlignment="1">
      <alignment vertical="center" shrinkToFit="1"/>
    </xf>
    <xf numFmtId="0" fontId="20" fillId="7" borderId="0" xfId="0" applyFont="1" applyFill="1" applyBorder="1" applyAlignment="1">
      <alignment vertical="center"/>
    </xf>
    <xf numFmtId="0" fontId="22" fillId="7" borderId="0" xfId="0" applyFont="1" applyFill="1" applyAlignment="1">
      <alignment shrinkToFit="1"/>
    </xf>
    <xf numFmtId="193" fontId="22" fillId="7" borderId="0" xfId="1" applyNumberFormat="1" applyFont="1" applyFill="1"/>
    <xf numFmtId="192" fontId="22" fillId="7" borderId="0" xfId="1" applyNumberFormat="1" applyFont="1" applyFill="1" applyAlignment="1">
      <alignment horizontal="center"/>
    </xf>
    <xf numFmtId="3" fontId="22" fillId="7" borderId="0" xfId="0" applyNumberFormat="1" applyFont="1" applyFill="1"/>
    <xf numFmtId="0" fontId="77" fillId="7" borderId="0" xfId="0" applyFont="1" applyFill="1" applyAlignment="1">
      <alignment vertical="center"/>
    </xf>
    <xf numFmtId="0" fontId="77" fillId="7" borderId="0" xfId="0" applyFont="1" applyFill="1" applyAlignment="1">
      <alignment horizontal="center" vertical="center"/>
    </xf>
    <xf numFmtId="192" fontId="22" fillId="7" borderId="0" xfId="0" applyNumberFormat="1" applyFont="1" applyFill="1"/>
    <xf numFmtId="200" fontId="22" fillId="7" borderId="0" xfId="0" applyNumberFormat="1" applyFont="1" applyFill="1"/>
    <xf numFmtId="189" fontId="20" fillId="7" borderId="0" xfId="0" applyNumberFormat="1" applyFont="1" applyFill="1" applyAlignment="1">
      <alignment vertical="center"/>
    </xf>
    <xf numFmtId="192" fontId="22" fillId="7" borderId="0" xfId="1" applyNumberFormat="1" applyFont="1" applyFill="1"/>
    <xf numFmtId="194" fontId="22" fillId="7" borderId="0" xfId="0" applyNumberFormat="1" applyFont="1" applyFill="1"/>
    <xf numFmtId="192" fontId="22" fillId="7" borderId="0" xfId="1" applyNumberFormat="1" applyFont="1" applyFill="1" applyAlignment="1">
      <alignment shrinkToFit="1"/>
    </xf>
    <xf numFmtId="197" fontId="22" fillId="7" borderId="0" xfId="0" applyNumberFormat="1" applyFont="1" applyFill="1"/>
    <xf numFmtId="191" fontId="22" fillId="7" borderId="0" xfId="1" applyNumberFormat="1" applyFont="1" applyFill="1" applyAlignment="1">
      <alignment horizontal="center"/>
    </xf>
    <xf numFmtId="3" fontId="22" fillId="7" borderId="0" xfId="0" applyNumberFormat="1" applyFont="1" applyFill="1" applyAlignment="1">
      <alignment horizontal="center"/>
    </xf>
    <xf numFmtId="43" fontId="22" fillId="7" borderId="0" xfId="0" applyNumberFormat="1" applyFont="1" applyFill="1" applyAlignment="1">
      <alignment horizontal="center"/>
    </xf>
    <xf numFmtId="2" fontId="22" fillId="7" borderId="0" xfId="0" applyNumberFormat="1" applyFont="1" applyFill="1"/>
    <xf numFmtId="189" fontId="22" fillId="7" borderId="0" xfId="0" applyNumberFormat="1" applyFont="1" applyFill="1"/>
    <xf numFmtId="4" fontId="22" fillId="7" borderId="0" xfId="0" applyNumberFormat="1" applyFont="1" applyFill="1" applyAlignment="1">
      <alignment horizontal="center"/>
    </xf>
    <xf numFmtId="0" fontId="23" fillId="7" borderId="0" xfId="0" applyFont="1" applyFill="1"/>
    <xf numFmtId="43" fontId="23" fillId="7" borderId="0" xfId="0" applyNumberFormat="1" applyFont="1" applyFill="1" applyAlignment="1">
      <alignment horizontal="center"/>
    </xf>
    <xf numFmtId="191" fontId="23" fillId="7" borderId="0" xfId="1" applyNumberFormat="1" applyFont="1" applyFill="1"/>
    <xf numFmtId="193" fontId="23" fillId="7" borderId="0" xfId="1" applyNumberFormat="1" applyFont="1" applyFill="1"/>
    <xf numFmtId="0" fontId="23" fillId="7" borderId="0" xfId="0" applyFont="1" applyFill="1" applyAlignment="1">
      <alignment horizontal="center"/>
    </xf>
    <xf numFmtId="3" fontId="23" fillId="7" borderId="0" xfId="0" applyNumberFormat="1" applyFont="1" applyFill="1"/>
    <xf numFmtId="191" fontId="24" fillId="7" borderId="0" xfId="1" applyNumberFormat="1" applyFont="1" applyFill="1" applyAlignment="1"/>
    <xf numFmtId="191" fontId="22" fillId="7" borderId="0" xfId="0" applyNumberFormat="1" applyFont="1" applyFill="1"/>
    <xf numFmtId="0" fontId="22" fillId="7" borderId="0" xfId="0" applyFont="1" applyFill="1" applyAlignment="1">
      <alignment horizontal="left"/>
    </xf>
    <xf numFmtId="0" fontId="22" fillId="7" borderId="0" xfId="0" applyFont="1" applyFill="1" applyAlignment="1">
      <alignment horizontal="right"/>
    </xf>
    <xf numFmtId="189" fontId="22" fillId="7" borderId="0" xfId="1" applyNumberFormat="1" applyFont="1" applyFill="1"/>
    <xf numFmtId="0" fontId="22" fillId="7" borderId="0" xfId="0" applyFont="1" applyFill="1" applyBorder="1" applyAlignment="1">
      <alignment horizontal="right"/>
    </xf>
    <xf numFmtId="37" fontId="20" fillId="7" borderId="1" xfId="1" applyNumberFormat="1" applyFont="1" applyFill="1" applyBorder="1" applyAlignment="1">
      <alignment horizontal="center" vertical="center" wrapText="1"/>
    </xf>
    <xf numFmtId="1" fontId="111" fillId="0" borderId="0" xfId="3" applyNumberFormat="1" applyFont="1" applyFill="1"/>
    <xf numFmtId="1" fontId="111" fillId="0" borderId="0" xfId="3" applyNumberFormat="1" applyFont="1" applyFill="1" applyAlignment="1">
      <alignment vertical="center"/>
    </xf>
    <xf numFmtId="1" fontId="11" fillId="0" borderId="0" xfId="3" applyNumberFormat="1" applyFont="1" applyFill="1" applyAlignment="1">
      <alignment horizontal="center" shrinkToFit="1"/>
    </xf>
    <xf numFmtId="1" fontId="13" fillId="0" borderId="0" xfId="3" applyNumberFormat="1" applyFont="1" applyFill="1" applyAlignment="1">
      <alignment horizontal="center" shrinkToFit="1"/>
    </xf>
    <xf numFmtId="1" fontId="11" fillId="0" borderId="0" xfId="3" applyNumberFormat="1" applyFont="1" applyFill="1" applyAlignment="1">
      <alignment horizontal="center"/>
    </xf>
    <xf numFmtId="1" fontId="13" fillId="0" borderId="0" xfId="3" applyNumberFormat="1" applyFont="1" applyFill="1" applyAlignment="1">
      <alignment horizontal="center"/>
    </xf>
    <xf numFmtId="213" fontId="27" fillId="0" borderId="1" xfId="3" applyNumberFormat="1" applyFont="1" applyFill="1" applyBorder="1" applyAlignment="1">
      <alignment horizontal="center" vertical="center" shrinkToFit="1"/>
    </xf>
    <xf numFmtId="213" fontId="13" fillId="0" borderId="1" xfId="3" applyNumberFormat="1" applyFont="1" applyFill="1" applyBorder="1" applyAlignment="1">
      <alignment horizontal="center" vertical="center" shrinkToFit="1"/>
    </xf>
    <xf numFmtId="192" fontId="141" fillId="0" borderId="1" xfId="3" applyNumberFormat="1" applyFont="1" applyFill="1" applyBorder="1" applyAlignment="1">
      <alignment horizontal="center" vertical="center"/>
    </xf>
    <xf numFmtId="192" fontId="141" fillId="0" borderId="1" xfId="3" applyNumberFormat="1" applyFont="1" applyFill="1" applyBorder="1" applyAlignment="1">
      <alignment vertical="center"/>
    </xf>
    <xf numFmtId="213" fontId="141" fillId="0" borderId="1" xfId="3" applyNumberFormat="1" applyFont="1" applyFill="1" applyBorder="1" applyAlignment="1">
      <alignment horizontal="center" vertical="center" shrinkToFit="1"/>
    </xf>
    <xf numFmtId="213" fontId="137" fillId="0" borderId="1" xfId="3" applyNumberFormat="1" applyFont="1" applyFill="1" applyBorder="1" applyAlignment="1">
      <alignment horizontal="center" vertical="center" shrinkToFit="1"/>
    </xf>
    <xf numFmtId="213" fontId="65" fillId="0" borderId="1" xfId="3" applyNumberFormat="1" applyFont="1" applyFill="1" applyBorder="1" applyAlignment="1">
      <alignment horizontal="center" vertical="center" shrinkToFit="1"/>
    </xf>
    <xf numFmtId="213" fontId="111" fillId="0" borderId="1" xfId="3" applyNumberFormat="1" applyFont="1" applyFill="1" applyBorder="1" applyAlignment="1">
      <alignment horizontal="center" vertical="center" shrinkToFit="1"/>
    </xf>
    <xf numFmtId="192" fontId="65" fillId="0" borderId="1" xfId="3" applyNumberFormat="1" applyFont="1" applyFill="1" applyBorder="1" applyAlignment="1">
      <alignment vertical="center"/>
    </xf>
    <xf numFmtId="213" fontId="11" fillId="0" borderId="1" xfId="3" applyNumberFormat="1" applyFont="1" applyFill="1" applyBorder="1" applyAlignment="1">
      <alignment horizontal="center" vertical="center"/>
    </xf>
    <xf numFmtId="1" fontId="13" fillId="0" borderId="1" xfId="3" applyNumberFormat="1" applyFont="1" applyFill="1" applyBorder="1" applyAlignment="1">
      <alignment horizontal="center"/>
    </xf>
    <xf numFmtId="1" fontId="111" fillId="0" borderId="0" xfId="3" applyNumberFormat="1" applyFont="1" applyFill="1" applyAlignment="1"/>
    <xf numFmtId="1" fontId="134" fillId="0" borderId="0" xfId="3" applyNumberFormat="1" applyFont="1" applyFill="1" applyAlignment="1">
      <alignment vertical="center"/>
    </xf>
    <xf numFmtId="191" fontId="111" fillId="0" borderId="0" xfId="3" applyNumberFormat="1" applyFont="1" applyFill="1"/>
    <xf numFmtId="1" fontId="134" fillId="0" borderId="0" xfId="3" applyNumberFormat="1" applyFont="1" applyFill="1"/>
    <xf numFmtId="1" fontId="11" fillId="0" borderId="0" xfId="3" applyNumberFormat="1" applyFont="1" applyFill="1" applyAlignment="1">
      <alignment horizontal="center" vertical="center"/>
    </xf>
    <xf numFmtId="1" fontId="13" fillId="0" borderId="0" xfId="3" applyNumberFormat="1" applyFont="1" applyFill="1" applyAlignment="1">
      <alignment horizontal="center" vertical="center"/>
    </xf>
    <xf numFmtId="1" fontId="11" fillId="0" borderId="0" xfId="275" applyNumberFormat="1" applyFont="1" applyFill="1" applyAlignment="1">
      <alignment horizontal="center"/>
    </xf>
    <xf numFmtId="1" fontId="11" fillId="0" borderId="0" xfId="275" applyNumberFormat="1" applyFont="1" applyFill="1" applyAlignment="1">
      <alignment horizontal="center" shrinkToFit="1"/>
    </xf>
    <xf numFmtId="1" fontId="13" fillId="0" borderId="1" xfId="28" applyNumberFormat="1" applyFont="1" applyFill="1" applyBorder="1" applyAlignment="1">
      <alignment horizontal="center" vertical="center"/>
    </xf>
    <xf numFmtId="1" fontId="180" fillId="0" borderId="1" xfId="303" applyNumberFormat="1" applyFont="1" applyBorder="1" applyAlignment="1">
      <alignment horizontal="left"/>
    </xf>
    <xf numFmtId="191" fontId="13" fillId="0" borderId="1" xfId="1" applyNumberFormat="1" applyFont="1" applyFill="1" applyBorder="1"/>
    <xf numFmtId="212" fontId="77" fillId="0" borderId="1" xfId="1" applyNumberFormat="1" applyFont="1" applyBorder="1" applyAlignment="1">
      <alignment horizontal="left" vertical="center"/>
    </xf>
    <xf numFmtId="0" fontId="20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3" fontId="22" fillId="0" borderId="0" xfId="0" applyNumberFormat="1" applyFont="1" applyAlignment="1">
      <alignment horizontal="center"/>
    </xf>
    <xf numFmtId="0" fontId="20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267" fillId="0" borderId="0" xfId="311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13" fillId="0" borderId="0" xfId="0" applyFont="1" applyFill="1"/>
    <xf numFmtId="218" fontId="13" fillId="0" borderId="0" xfId="1" applyNumberFormat="1" applyFont="1" applyFill="1" applyAlignment="1">
      <alignment horizontal="center"/>
    </xf>
    <xf numFmtId="218" fontId="13" fillId="0" borderId="0" xfId="1" applyNumberFormat="1" applyFont="1" applyFill="1" applyAlignment="1">
      <alignment horizontal="right"/>
    </xf>
    <xf numFmtId="218" fontId="13" fillId="0" borderId="0" xfId="1" applyNumberFormat="1" applyFont="1" applyFill="1"/>
    <xf numFmtId="201" fontId="13" fillId="0" borderId="0" xfId="1" applyNumberFormat="1" applyFont="1" applyFill="1" applyAlignment="1">
      <alignment horizontal="center"/>
    </xf>
    <xf numFmtId="0" fontId="13" fillId="0" borderId="0" xfId="0" applyNumberFormat="1" applyFont="1" applyFill="1" applyAlignment="1"/>
    <xf numFmtId="0" fontId="11" fillId="0" borderId="0" xfId="0" applyNumberFormat="1" applyFont="1" applyFill="1" applyAlignment="1"/>
    <xf numFmtId="0" fontId="11" fillId="0" borderId="0" xfId="0" applyNumberFormat="1" applyFont="1" applyFill="1" applyAlignment="1">
      <alignment horizontal="center"/>
    </xf>
    <xf numFmtId="0" fontId="13" fillId="0" borderId="0" xfId="0" applyFont="1" applyFill="1" applyAlignment="1">
      <alignment horizontal="center"/>
    </xf>
    <xf numFmtId="0" fontId="11" fillId="0" borderId="1" xfId="0" applyFont="1" applyFill="1" applyBorder="1" applyAlignment="1">
      <alignment horizontal="center" vertical="center" wrapText="1"/>
    </xf>
    <xf numFmtId="4" fontId="11" fillId="0" borderId="1" xfId="0" applyNumberFormat="1" applyFont="1" applyFill="1" applyBorder="1" applyAlignment="1">
      <alignment horizontal="center" vertical="center" wrapText="1"/>
    </xf>
    <xf numFmtId="218" fontId="11" fillId="0" borderId="1" xfId="1" applyNumberFormat="1" applyFont="1" applyFill="1" applyBorder="1" applyAlignment="1">
      <alignment horizontal="center" vertical="center" wrapText="1"/>
    </xf>
    <xf numFmtId="201" fontId="11" fillId="0" borderId="1" xfId="1" applyNumberFormat="1" applyFont="1" applyFill="1" applyBorder="1" applyAlignment="1">
      <alignment horizontal="center" vertical="center" wrapText="1"/>
    </xf>
    <xf numFmtId="0" fontId="13" fillId="0" borderId="0" xfId="0" applyFont="1" applyFill="1" applyAlignment="1">
      <alignment vertical="center" wrapText="1"/>
    </xf>
    <xf numFmtId="0" fontId="13" fillId="0" borderId="1" xfId="273" applyFont="1" applyFill="1" applyBorder="1" applyAlignment="1">
      <alignment horizontal="center" vertical="center"/>
    </xf>
    <xf numFmtId="0" fontId="29" fillId="0" borderId="1" xfId="273" applyFont="1" applyFill="1" applyBorder="1" applyAlignment="1">
      <alignment horizontal="left" vertical="center"/>
    </xf>
    <xf numFmtId="4" fontId="13" fillId="0" borderId="1" xfId="1" applyNumberFormat="1" applyFont="1" applyFill="1" applyBorder="1" applyAlignment="1">
      <alignment horizontal="center" vertical="center"/>
    </xf>
    <xf numFmtId="218" fontId="13" fillId="0" borderId="1" xfId="1" applyNumberFormat="1" applyFont="1" applyFill="1" applyBorder="1" applyAlignment="1">
      <alignment horizontal="right"/>
    </xf>
    <xf numFmtId="201" fontId="13" fillId="0" borderId="1" xfId="1" applyNumberFormat="1" applyFont="1" applyFill="1" applyBorder="1" applyAlignment="1">
      <alignment horizontal="right"/>
    </xf>
    <xf numFmtId="0" fontId="11" fillId="0" borderId="0" xfId="0" applyFont="1" applyFill="1"/>
    <xf numFmtId="218" fontId="11" fillId="0" borderId="0" xfId="1" applyNumberFormat="1" applyFont="1" applyFill="1"/>
    <xf numFmtId="218" fontId="111" fillId="0" borderId="1" xfId="1" applyNumberFormat="1" applyFont="1" applyFill="1" applyBorder="1" applyAlignment="1">
      <alignment horizontal="right"/>
    </xf>
    <xf numFmtId="218" fontId="13" fillId="0" borderId="0" xfId="0" applyNumberFormat="1" applyFont="1" applyFill="1"/>
    <xf numFmtId="4" fontId="13" fillId="0" borderId="1" xfId="0" applyNumberFormat="1" applyFont="1" applyFill="1" applyBorder="1" applyAlignment="1">
      <alignment horizontal="center"/>
    </xf>
    <xf numFmtId="218" fontId="11" fillId="0" borderId="1" xfId="1" applyNumberFormat="1" applyFont="1" applyFill="1" applyBorder="1" applyAlignment="1">
      <alignment horizontal="right"/>
    </xf>
    <xf numFmtId="201" fontId="11" fillId="0" borderId="1" xfId="1" applyNumberFormat="1" applyFont="1" applyFill="1" applyBorder="1" applyAlignment="1">
      <alignment horizontal="right"/>
    </xf>
    <xf numFmtId="3" fontId="13" fillId="0" borderId="0" xfId="0" applyNumberFormat="1" applyFont="1" applyFill="1"/>
    <xf numFmtId="0" fontId="269" fillId="0" borderId="0" xfId="311" applyFont="1" applyFill="1"/>
    <xf numFmtId="0" fontId="269" fillId="0" borderId="0" xfId="311" applyFont="1" applyFill="1" applyAlignment="1">
      <alignment horizontal="center"/>
    </xf>
    <xf numFmtId="218" fontId="27" fillId="0" borderId="0" xfId="1" applyNumberFormat="1" applyFont="1" applyFill="1" applyAlignment="1">
      <alignment horizontal="center"/>
    </xf>
    <xf numFmtId="218" fontId="27" fillId="0" borderId="0" xfId="1" applyNumberFormat="1" applyFont="1" applyFill="1" applyAlignment="1">
      <alignment horizontal="right"/>
    </xf>
    <xf numFmtId="0" fontId="267" fillId="0" borderId="0" xfId="311" applyFont="1" applyFill="1" applyAlignment="1"/>
    <xf numFmtId="201" fontId="267" fillId="0" borderId="0" xfId="311" applyNumberFormat="1" applyFont="1" applyFill="1" applyAlignment="1"/>
    <xf numFmtId="0" fontId="27" fillId="0" borderId="0" xfId="0" applyFont="1" applyFill="1"/>
    <xf numFmtId="192" fontId="27" fillId="0" borderId="0" xfId="0" applyNumberFormat="1" applyFont="1" applyFill="1"/>
    <xf numFmtId="189" fontId="27" fillId="0" borderId="0" xfId="1" applyNumberFormat="1" applyFont="1" applyFill="1"/>
    <xf numFmtId="243" fontId="27" fillId="0" borderId="0" xfId="1" applyNumberFormat="1" applyFont="1" applyFill="1"/>
    <xf numFmtId="0" fontId="270" fillId="0" borderId="0" xfId="311" applyFont="1" applyFill="1"/>
    <xf numFmtId="192" fontId="27" fillId="0" borderId="0" xfId="1" applyNumberFormat="1" applyFont="1" applyFill="1"/>
    <xf numFmtId="216" fontId="27" fillId="0" borderId="0" xfId="0" applyNumberFormat="1" applyFont="1" applyFill="1"/>
    <xf numFmtId="0" fontId="270" fillId="0" borderId="0" xfId="311" applyFont="1" applyFill="1" applyAlignment="1">
      <alignment horizontal="center"/>
    </xf>
    <xf numFmtId="218" fontId="270" fillId="0" borderId="0" xfId="1" applyNumberFormat="1" applyFont="1" applyFill="1"/>
    <xf numFmtId="0" fontId="16" fillId="0" borderId="0" xfId="0" applyFont="1" applyFill="1"/>
    <xf numFmtId="3" fontId="16" fillId="0" borderId="0" xfId="0" applyNumberFormat="1" applyFont="1" applyFill="1"/>
    <xf numFmtId="189" fontId="16" fillId="0" borderId="0" xfId="0" applyNumberFormat="1" applyFont="1" applyFill="1"/>
    <xf numFmtId="218" fontId="27" fillId="0" borderId="0" xfId="1" applyNumberFormat="1" applyFont="1" applyFill="1"/>
    <xf numFmtId="201" fontId="270" fillId="0" borderId="0" xfId="1" applyNumberFormat="1" applyFont="1" applyFill="1"/>
    <xf numFmtId="3" fontId="27" fillId="0" borderId="0" xfId="0" applyNumberFormat="1" applyFont="1" applyFill="1"/>
    <xf numFmtId="0" fontId="61" fillId="0" borderId="0" xfId="311" applyFont="1" applyFill="1"/>
    <xf numFmtId="0" fontId="61" fillId="0" borderId="0" xfId="311" applyFont="1" applyFill="1" applyAlignment="1">
      <alignment horizontal="center"/>
    </xf>
    <xf numFmtId="218" fontId="61" fillId="0" borderId="0" xfId="1" applyNumberFormat="1" applyFont="1" applyFill="1"/>
    <xf numFmtId="201" fontId="61" fillId="0" borderId="0" xfId="1" applyNumberFormat="1" applyFont="1" applyFill="1"/>
    <xf numFmtId="0" fontId="72" fillId="0" borderId="0" xfId="311" applyFont="1" applyFill="1"/>
    <xf numFmtId="218" fontId="72" fillId="0" borderId="0" xfId="1" applyNumberFormat="1" applyFont="1" applyFill="1" applyAlignment="1"/>
    <xf numFmtId="201" fontId="72" fillId="0" borderId="0" xfId="1" applyNumberFormat="1" applyFont="1" applyFill="1" applyAlignment="1"/>
    <xf numFmtId="201" fontId="13" fillId="0" borderId="0" xfId="1" applyNumberFormat="1" applyFont="1" applyFill="1"/>
    <xf numFmtId="0" fontId="10" fillId="0" borderId="0" xfId="0" applyFont="1" applyFill="1" applyAlignment="1">
      <alignment horizontal="center"/>
    </xf>
    <xf numFmtId="3" fontId="6" fillId="0" borderId="0" xfId="0" applyNumberFormat="1" applyFont="1" applyFill="1"/>
    <xf numFmtId="3" fontId="10" fillId="9" borderId="0" xfId="0" applyNumberFormat="1" applyFont="1" applyFill="1"/>
    <xf numFmtId="199" fontId="116" fillId="0" borderId="0" xfId="0" applyNumberFormat="1" applyFont="1" applyFill="1"/>
    <xf numFmtId="199" fontId="271" fillId="0" borderId="6" xfId="0" applyNumberFormat="1" applyFont="1" applyFill="1" applyBorder="1" applyAlignment="1">
      <alignment horizontal="right" vertical="center"/>
    </xf>
    <xf numFmtId="3" fontId="124" fillId="7" borderId="0" xfId="0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1" fontId="11" fillId="0" borderId="0" xfId="275" applyNumberFormat="1" applyFont="1" applyFill="1" applyAlignment="1">
      <alignment horizontal="center" vertical="center"/>
    </xf>
    <xf numFmtId="0" fontId="272" fillId="0" borderId="1" xfId="0" applyFont="1" applyBorder="1" applyAlignment="1">
      <alignment horizontal="center" wrapText="1"/>
    </xf>
    <xf numFmtId="0" fontId="201" fillId="0" borderId="17" xfId="0" applyFont="1" applyFill="1" applyBorder="1" applyAlignment="1">
      <alignment horizontal="left" vertical="center" wrapText="1"/>
    </xf>
    <xf numFmtId="0" fontId="201" fillId="0" borderId="17" xfId="0" quotePrefix="1" applyNumberFormat="1" applyFont="1" applyFill="1" applyBorder="1" applyAlignment="1">
      <alignment horizontal="center" vertical="center" wrapText="1"/>
    </xf>
    <xf numFmtId="3" fontId="199" fillId="0" borderId="18" xfId="0" applyNumberFormat="1" applyFont="1" applyFill="1" applyBorder="1" applyAlignment="1">
      <alignment horizontal="center" vertical="center" wrapText="1"/>
    </xf>
    <xf numFmtId="4" fontId="199" fillId="0" borderId="18" xfId="10" applyNumberFormat="1" applyFont="1" applyFill="1" applyBorder="1" applyAlignment="1">
      <alignment horizontal="center" vertical="center"/>
    </xf>
    <xf numFmtId="0" fontId="0" fillId="0" borderId="14" xfId="0" applyBorder="1"/>
    <xf numFmtId="0" fontId="199" fillId="7" borderId="18" xfId="273" applyFont="1" applyFill="1" applyBorder="1" applyAlignment="1">
      <alignment vertical="center"/>
    </xf>
    <xf numFmtId="3" fontId="0" fillId="0" borderId="0" xfId="0" applyNumberFormat="1"/>
    <xf numFmtId="192" fontId="13" fillId="0" borderId="15" xfId="1" applyNumberFormat="1" applyFont="1" applyFill="1" applyBorder="1" applyAlignment="1">
      <alignment horizontal="center"/>
    </xf>
    <xf numFmtId="192" fontId="13" fillId="0" borderId="18" xfId="1" applyNumberFormat="1" applyFont="1" applyFill="1" applyBorder="1" applyAlignment="1">
      <alignment horizontal="center"/>
    </xf>
    <xf numFmtId="192" fontId="13" fillId="0" borderId="23" xfId="1" applyNumberFormat="1" applyFont="1" applyFill="1" applyBorder="1" applyAlignment="1">
      <alignment horizontal="center"/>
    </xf>
    <xf numFmtId="213" fontId="11" fillId="0" borderId="1" xfId="3" applyNumberFormat="1" applyFont="1" applyFill="1" applyBorder="1" applyAlignment="1">
      <alignment horizontal="center" vertical="center" shrinkToFit="1"/>
    </xf>
    <xf numFmtId="213" fontId="11" fillId="7" borderId="1" xfId="3" applyNumberFormat="1" applyFont="1" applyFill="1" applyBorder="1" applyAlignment="1">
      <alignment horizontal="center" vertical="center" shrinkToFit="1"/>
    </xf>
    <xf numFmtId="0" fontId="29" fillId="12" borderId="1" xfId="28" applyFont="1" applyFill="1" applyBorder="1" applyAlignment="1" applyProtection="1">
      <alignment horizontal="center" vertical="center"/>
    </xf>
    <xf numFmtId="192" fontId="141" fillId="0" borderId="1" xfId="3" applyNumberFormat="1" applyFont="1" applyFill="1" applyBorder="1" applyAlignment="1" applyProtection="1">
      <alignment horizontal="center" vertical="center"/>
    </xf>
    <xf numFmtId="192" fontId="141" fillId="0" borderId="1" xfId="3" applyNumberFormat="1" applyFont="1" applyFill="1" applyBorder="1" applyAlignment="1" applyProtection="1">
      <alignment vertical="center"/>
    </xf>
    <xf numFmtId="230" fontId="121" fillId="0" borderId="1" xfId="0" applyNumberFormat="1" applyFont="1" applyBorder="1"/>
    <xf numFmtId="213" fontId="16" fillId="0" borderId="1" xfId="3" applyNumberFormat="1" applyFont="1" applyFill="1" applyBorder="1" applyAlignment="1">
      <alignment horizontal="center" vertical="center" shrinkToFit="1"/>
    </xf>
    <xf numFmtId="234" fontId="121" fillId="0" borderId="1" xfId="0" applyNumberFormat="1" applyFont="1" applyFill="1" applyBorder="1"/>
    <xf numFmtId="1" fontId="13" fillId="0" borderId="1" xfId="303" applyNumberFormat="1" applyFont="1" applyFill="1" applyBorder="1" applyAlignment="1">
      <alignment horizontal="center"/>
    </xf>
    <xf numFmtId="213" fontId="11" fillId="7" borderId="1" xfId="3" applyNumberFormat="1" applyFont="1" applyFill="1" applyBorder="1" applyAlignment="1">
      <alignment horizontal="center" vertical="center"/>
    </xf>
    <xf numFmtId="0" fontId="213" fillId="7" borderId="1" xfId="275" applyNumberFormat="1" applyFont="1" applyFill="1" applyBorder="1" applyAlignment="1" applyProtection="1">
      <alignment horizontal="center" vertical="center"/>
    </xf>
    <xf numFmtId="0" fontId="144" fillId="7" borderId="0" xfId="0" applyFont="1" applyFill="1" applyAlignment="1">
      <alignment horizontal="center" vertical="center"/>
    </xf>
    <xf numFmtId="1" fontId="34" fillId="0" borderId="0" xfId="0" applyNumberFormat="1" applyFont="1" applyFill="1" applyBorder="1" applyAlignment="1">
      <alignment horizontal="center" shrinkToFit="1"/>
    </xf>
    <xf numFmtId="1" fontId="11" fillId="0" borderId="0" xfId="0" applyNumberFormat="1" applyFont="1" applyFill="1" applyAlignment="1">
      <alignment horizontal="center" vertical="center"/>
    </xf>
    <xf numFmtId="1" fontId="134" fillId="0" borderId="0" xfId="0" applyNumberFormat="1" applyFont="1" applyFill="1" applyAlignment="1">
      <alignment horizontal="center"/>
    </xf>
    <xf numFmtId="1" fontId="11" fillId="0" borderId="1" xfId="0" applyNumberFormat="1" applyFont="1" applyFill="1" applyBorder="1" applyAlignment="1">
      <alignment horizontal="center" vertical="center" wrapText="1"/>
    </xf>
    <xf numFmtId="9" fontId="124" fillId="7" borderId="0" xfId="287" applyFont="1" applyFill="1" applyAlignment="1">
      <alignment vertical="center"/>
    </xf>
    <xf numFmtId="188" fontId="2" fillId="0" borderId="0" xfId="0" applyNumberFormat="1" applyFont="1" applyFill="1" applyAlignment="1">
      <alignment vertical="center"/>
    </xf>
    <xf numFmtId="0" fontId="124" fillId="7" borderId="0" xfId="0" applyFont="1" applyFill="1" applyAlignment="1">
      <alignment horizontal="center"/>
    </xf>
    <xf numFmtId="0" fontId="125" fillId="7" borderId="0" xfId="0" applyFont="1" applyFill="1" applyAlignment="1">
      <alignment horizontal="center"/>
    </xf>
    <xf numFmtId="0" fontId="136" fillId="7" borderId="15" xfId="1" applyNumberFormat="1" applyFont="1" applyFill="1" applyBorder="1" applyAlignment="1">
      <alignment horizontal="center" vertical="center" wrapText="1"/>
    </xf>
    <xf numFmtId="192" fontId="125" fillId="7" borderId="0" xfId="1" applyNumberFormat="1" applyFont="1" applyFill="1" applyAlignment="1">
      <alignment horizontal="center"/>
    </xf>
    <xf numFmtId="3" fontId="125" fillId="7" borderId="0" xfId="0" applyNumberFormat="1" applyFont="1" applyFill="1" applyAlignment="1">
      <alignment horizontal="center"/>
    </xf>
    <xf numFmtId="0" fontId="124" fillId="7" borderId="0" xfId="0" applyFont="1" applyFill="1" applyAlignment="1">
      <alignment horizontal="center" vertical="center"/>
    </xf>
    <xf numFmtId="0" fontId="124" fillId="7" borderId="1" xfId="0" applyFont="1" applyFill="1" applyBorder="1" applyAlignment="1">
      <alignment horizontal="center" vertical="center" wrapText="1"/>
    </xf>
    <xf numFmtId="0" fontId="124" fillId="7" borderId="1" xfId="0" applyFont="1" applyFill="1" applyBorder="1" applyAlignment="1">
      <alignment horizontal="center" vertical="center" shrinkToFit="1"/>
    </xf>
    <xf numFmtId="192" fontId="124" fillId="7" borderId="1" xfId="1" applyNumberFormat="1" applyFont="1" applyFill="1" applyBorder="1" applyAlignment="1">
      <alignment horizontal="center" vertical="center" wrapText="1"/>
    </xf>
    <xf numFmtId="0" fontId="124" fillId="7" borderId="1" xfId="1" applyNumberFormat="1" applyFont="1" applyFill="1" applyBorder="1" applyAlignment="1">
      <alignment horizontal="center" vertical="center" wrapText="1"/>
    </xf>
    <xf numFmtId="0" fontId="136" fillId="7" borderId="1" xfId="1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/>
    </xf>
    <xf numFmtId="0" fontId="20" fillId="0" borderId="0" xfId="0" applyFont="1" applyFill="1" applyAlignment="1">
      <alignment horizontal="center"/>
    </xf>
    <xf numFmtId="4" fontId="10" fillId="0" borderId="0" xfId="0" applyNumberFormat="1" applyFont="1" applyFill="1" applyAlignment="1">
      <alignment horizontal="center"/>
    </xf>
    <xf numFmtId="0" fontId="185" fillId="0" borderId="0" xfId="0" applyFont="1" applyFill="1" applyAlignment="1">
      <alignment horizontal="center"/>
    </xf>
    <xf numFmtId="191" fontId="124" fillId="7" borderId="0" xfId="1" applyNumberFormat="1" applyFont="1" applyFill="1"/>
    <xf numFmtId="0" fontId="124" fillId="0" borderId="0" xfId="255" applyFont="1" applyAlignment="1"/>
    <xf numFmtId="191" fontId="77" fillId="0" borderId="0" xfId="0" applyNumberFormat="1" applyFont="1" applyBorder="1"/>
    <xf numFmtId="191" fontId="22" fillId="0" borderId="0" xfId="1" applyNumberFormat="1" applyFont="1" applyBorder="1"/>
    <xf numFmtId="188" fontId="10" fillId="0" borderId="0" xfId="0" applyNumberFormat="1" applyFont="1" applyFill="1" applyAlignment="1">
      <alignment vertical="center"/>
    </xf>
    <xf numFmtId="0" fontId="124" fillId="0" borderId="0" xfId="255" applyFont="1" applyAlignment="1">
      <alignment horizontal="center"/>
    </xf>
    <xf numFmtId="0" fontId="10" fillId="0" borderId="0" xfId="0" applyFont="1" applyFill="1" applyAlignment="1">
      <alignment horizontal="center"/>
    </xf>
    <xf numFmtId="0" fontId="20" fillId="0" borderId="0" xfId="0" applyFont="1" applyFill="1" applyAlignment="1">
      <alignment horizontal="center"/>
    </xf>
    <xf numFmtId="4" fontId="10" fillId="0" borderId="0" xfId="0" applyNumberFormat="1" applyFont="1" applyFill="1" applyAlignment="1">
      <alignment horizontal="center"/>
    </xf>
    <xf numFmtId="0" fontId="185" fillId="0" borderId="0" xfId="0" applyFont="1" applyFill="1" applyAlignment="1">
      <alignment horizontal="center"/>
    </xf>
    <xf numFmtId="0" fontId="11" fillId="0" borderId="1" xfId="0" applyFont="1" applyFill="1" applyBorder="1" applyAlignment="1">
      <alignment horizontal="center" vertical="center"/>
    </xf>
    <xf numFmtId="218" fontId="11" fillId="0" borderId="1" xfId="8" applyNumberFormat="1" applyFont="1" applyFill="1" applyBorder="1" applyAlignment="1">
      <alignment horizontal="center" vertical="center" wrapText="1"/>
    </xf>
    <xf numFmtId="0" fontId="134" fillId="7" borderId="1" xfId="1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vertical="center"/>
    </xf>
    <xf numFmtId="188" fontId="11" fillId="0" borderId="1" xfId="8" applyNumberFormat="1" applyFont="1" applyFill="1" applyBorder="1" applyAlignment="1">
      <alignment horizontal="right" vertical="center" shrinkToFit="1"/>
    </xf>
    <xf numFmtId="188" fontId="13" fillId="0" borderId="1" xfId="0" quotePrefix="1" applyNumberFormat="1" applyFont="1" applyFill="1" applyBorder="1" applyAlignment="1">
      <alignment horizontal="left" vertical="center"/>
    </xf>
    <xf numFmtId="188" fontId="13" fillId="0" borderId="1" xfId="0" applyNumberFormat="1" applyFont="1" applyFill="1" applyBorder="1" applyAlignment="1">
      <alignment vertical="center"/>
    </xf>
    <xf numFmtId="188" fontId="13" fillId="0" borderId="1" xfId="8" applyNumberFormat="1" applyFont="1" applyFill="1" applyBorder="1" applyAlignment="1">
      <alignment horizontal="right" vertical="center" shrinkToFit="1"/>
    </xf>
    <xf numFmtId="0" fontId="13" fillId="0" borderId="1" xfId="0" applyFont="1" applyFill="1" applyBorder="1" applyAlignment="1">
      <alignment vertical="center"/>
    </xf>
    <xf numFmtId="202" fontId="11" fillId="0" borderId="1" xfId="8" applyNumberFormat="1" applyFont="1" applyFill="1" applyBorder="1" applyAlignment="1">
      <alignment horizontal="right" vertical="center" shrinkToFit="1"/>
    </xf>
    <xf numFmtId="0" fontId="13" fillId="0" borderId="1" xfId="0" quotePrefix="1" applyFont="1" applyFill="1" applyBorder="1" applyAlignment="1">
      <alignment horizontal="left" vertical="center"/>
    </xf>
    <xf numFmtId="188" fontId="13" fillId="0" borderId="1" xfId="0" applyNumberFormat="1" applyFont="1" applyFill="1" applyBorder="1" applyAlignment="1">
      <alignment horizontal="left" vertical="center"/>
    </xf>
    <xf numFmtId="202" fontId="13" fillId="0" borderId="1" xfId="8" applyNumberFormat="1" applyFont="1" applyFill="1" applyBorder="1" applyAlignment="1">
      <alignment vertical="center" shrinkToFit="1"/>
    </xf>
    <xf numFmtId="188" fontId="13" fillId="0" borderId="21" xfId="0" quotePrefix="1" applyNumberFormat="1" applyFont="1" applyFill="1" applyBorder="1" applyAlignment="1">
      <alignment horizontal="left" vertical="center"/>
    </xf>
    <xf numFmtId="188" fontId="13" fillId="0" borderId="21" xfId="0" applyNumberFormat="1" applyFont="1" applyFill="1" applyBorder="1" applyAlignment="1">
      <alignment horizontal="left" vertical="center"/>
    </xf>
    <xf numFmtId="188" fontId="121" fillId="0" borderId="1" xfId="0" applyNumberFormat="1" applyFont="1" applyFill="1" applyBorder="1" applyAlignment="1">
      <alignment vertical="center"/>
    </xf>
    <xf numFmtId="0" fontId="11" fillId="0" borderId="1" xfId="0" applyFont="1" applyFill="1" applyBorder="1" applyAlignment="1">
      <alignment horizontal="right"/>
    </xf>
    <xf numFmtId="218" fontId="11" fillId="0" borderId="1" xfId="0" applyNumberFormat="1" applyFont="1" applyFill="1" applyBorder="1" applyAlignment="1">
      <alignment horizontal="right" vertical="center"/>
    </xf>
    <xf numFmtId="188" fontId="13" fillId="0" borderId="1" xfId="8" applyNumberFormat="1" applyFont="1" applyFill="1" applyBorder="1" applyAlignment="1">
      <alignment horizontal="left" vertical="center" shrinkToFit="1"/>
    </xf>
    <xf numFmtId="0" fontId="92" fillId="0" borderId="15" xfId="0" applyFont="1" applyBorder="1" applyAlignment="1">
      <alignment horizontal="center" vertical="center"/>
    </xf>
    <xf numFmtId="0" fontId="124" fillId="7" borderId="0" xfId="0" applyFont="1" applyFill="1" applyAlignment="1">
      <alignment horizontal="center"/>
    </xf>
    <xf numFmtId="0" fontId="125" fillId="7" borderId="0" xfId="0" applyFont="1" applyFill="1" applyAlignment="1">
      <alignment horizontal="center"/>
    </xf>
    <xf numFmtId="0" fontId="136" fillId="7" borderId="0" xfId="0" applyFont="1" applyFill="1" applyAlignment="1">
      <alignment horizontal="center" vertical="center"/>
    </xf>
    <xf numFmtId="0" fontId="124" fillId="7" borderId="0" xfId="0" applyFont="1" applyFill="1" applyAlignment="1">
      <alignment horizontal="center" vertical="center"/>
    </xf>
    <xf numFmtId="192" fontId="125" fillId="7" borderId="0" xfId="1" applyNumberFormat="1" applyFont="1" applyFill="1" applyAlignment="1">
      <alignment horizontal="center"/>
    </xf>
    <xf numFmtId="3" fontId="125" fillId="7" borderId="0" xfId="0" applyNumberFormat="1" applyFont="1" applyFill="1" applyAlignment="1">
      <alignment horizontal="center"/>
    </xf>
    <xf numFmtId="192" fontId="136" fillId="7" borderId="1" xfId="1" applyNumberFormat="1" applyFont="1" applyFill="1" applyBorder="1" applyAlignment="1">
      <alignment horizontal="center" vertical="center" wrapText="1"/>
    </xf>
    <xf numFmtId="0" fontId="136" fillId="7" borderId="1" xfId="0" applyFont="1" applyFill="1" applyBorder="1" applyAlignment="1">
      <alignment horizontal="center" vertical="center" wrapText="1"/>
    </xf>
    <xf numFmtId="0" fontId="136" fillId="7" borderId="15" xfId="1" applyNumberFormat="1" applyFont="1" applyFill="1" applyBorder="1" applyAlignment="1">
      <alignment horizontal="center" vertical="center" wrapText="1"/>
    </xf>
    <xf numFmtId="0" fontId="124" fillId="7" borderId="1" xfId="0" applyFont="1" applyFill="1" applyBorder="1" applyAlignment="1">
      <alignment horizontal="center" vertical="center" shrinkToFit="1"/>
    </xf>
    <xf numFmtId="0" fontId="136" fillId="7" borderId="1" xfId="1" applyNumberFormat="1" applyFont="1" applyFill="1" applyBorder="1" applyAlignment="1">
      <alignment horizontal="center" vertical="center" wrapText="1"/>
    </xf>
    <xf numFmtId="0" fontId="20" fillId="0" borderId="0" xfId="0" applyFont="1" applyFill="1" applyAlignment="1">
      <alignment horizontal="center"/>
    </xf>
    <xf numFmtId="0" fontId="22" fillId="0" borderId="0" xfId="0" applyFont="1" applyFill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1" fontId="27" fillId="0" borderId="15" xfId="0" applyNumberFormat="1" applyFont="1" applyBorder="1" applyAlignment="1">
      <alignment vertical="center" wrapText="1"/>
    </xf>
    <xf numFmtId="0" fontId="22" fillId="0" borderId="15" xfId="0" applyFont="1" applyBorder="1" applyAlignment="1">
      <alignment vertical="center" wrapText="1"/>
    </xf>
    <xf numFmtId="0" fontId="92" fillId="0" borderId="17" xfId="0" applyFont="1" applyBorder="1" applyAlignment="1">
      <alignment horizontal="center" vertical="center"/>
    </xf>
    <xf numFmtId="1" fontId="27" fillId="0" borderId="17" xfId="0" applyNumberFormat="1" applyFont="1" applyBorder="1" applyAlignment="1">
      <alignment vertical="center" wrapText="1"/>
    </xf>
    <xf numFmtId="0" fontId="22" fillId="0" borderId="17" xfId="0" applyFont="1" applyBorder="1" applyAlignment="1">
      <alignment vertical="center" wrapText="1"/>
    </xf>
    <xf numFmtId="0" fontId="101" fillId="0" borderId="0" xfId="255" applyFont="1" applyAlignment="1">
      <alignment vertical="center"/>
    </xf>
    <xf numFmtId="0" fontId="22" fillId="3" borderId="0" xfId="0" applyFont="1" applyFill="1" applyAlignment="1">
      <alignment horizontal="center"/>
    </xf>
    <xf numFmtId="0" fontId="102" fillId="0" borderId="0" xfId="0" applyFont="1"/>
    <xf numFmtId="203" fontId="22" fillId="3" borderId="0" xfId="8" applyNumberFormat="1" applyFont="1" applyFill="1"/>
    <xf numFmtId="0" fontId="102" fillId="0" borderId="0" xfId="0" applyFont="1" applyFill="1"/>
    <xf numFmtId="0" fontId="105" fillId="0" borderId="0" xfId="0" applyFont="1" applyFill="1" applyAlignment="1"/>
    <xf numFmtId="0" fontId="105" fillId="3" borderId="0" xfId="0" applyFont="1" applyFill="1" applyAlignment="1"/>
    <xf numFmtId="0" fontId="105" fillId="3" borderId="0" xfId="0" applyFont="1" applyFill="1" applyAlignment="1">
      <alignment horizontal="center"/>
    </xf>
    <xf numFmtId="228" fontId="22" fillId="3" borderId="0" xfId="8" applyNumberFormat="1" applyFont="1" applyFill="1"/>
    <xf numFmtId="227" fontId="105" fillId="3" borderId="0" xfId="8" applyNumberFormat="1" applyFont="1" applyFill="1" applyAlignment="1">
      <alignment horizontal="center"/>
    </xf>
    <xf numFmtId="203" fontId="105" fillId="3" borderId="0" xfId="8" applyNumberFormat="1" applyFont="1" applyFill="1" applyAlignment="1">
      <alignment horizontal="center"/>
    </xf>
    <xf numFmtId="2" fontId="102" fillId="0" borderId="0" xfId="0" applyNumberFormat="1" applyFont="1"/>
    <xf numFmtId="0" fontId="105" fillId="0" borderId="0" xfId="0" applyFont="1" applyFill="1" applyAlignment="1">
      <alignment horizontal="center"/>
    </xf>
    <xf numFmtId="0" fontId="20" fillId="3" borderId="0" xfId="0" applyFont="1" applyFill="1" applyBorder="1" applyAlignment="1">
      <alignment wrapText="1"/>
    </xf>
    <xf numFmtId="0" fontId="20" fillId="3" borderId="0" xfId="0" applyFont="1" applyFill="1" applyBorder="1" applyAlignment="1"/>
    <xf numFmtId="4" fontId="22" fillId="0" borderId="0" xfId="0" applyNumberFormat="1" applyFont="1" applyFill="1" applyAlignment="1">
      <alignment horizontal="center"/>
    </xf>
    <xf numFmtId="4" fontId="22" fillId="0" borderId="0" xfId="0" applyNumberFormat="1" applyFont="1" applyFill="1" applyAlignment="1">
      <alignment horizontal="right"/>
    </xf>
    <xf numFmtId="201" fontId="22" fillId="0" borderId="0" xfId="8" applyFont="1" applyFill="1" applyAlignment="1">
      <alignment horizontal="center"/>
    </xf>
    <xf numFmtId="4" fontId="20" fillId="0" borderId="0" xfId="0" applyNumberFormat="1" applyFont="1" applyFill="1" applyBorder="1" applyAlignment="1">
      <alignment vertical="center"/>
    </xf>
    <xf numFmtId="3" fontId="20" fillId="0" borderId="0" xfId="0" applyNumberFormat="1" applyFont="1" applyFill="1" applyBorder="1" applyAlignment="1">
      <alignment vertical="center" wrapText="1"/>
    </xf>
    <xf numFmtId="3" fontId="20" fillId="0" borderId="0" xfId="0" applyNumberFormat="1" applyFont="1" applyFill="1" applyBorder="1" applyAlignment="1">
      <alignment vertical="center"/>
    </xf>
    <xf numFmtId="4" fontId="22" fillId="0" borderId="0" xfId="0" applyNumberFormat="1" applyFont="1" applyFill="1" applyBorder="1" applyAlignment="1">
      <alignment vertical="center"/>
    </xf>
    <xf numFmtId="0" fontId="22" fillId="0" borderId="25" xfId="0" applyFont="1" applyFill="1" applyBorder="1" applyAlignment="1">
      <alignment horizontal="center" vertical="center"/>
    </xf>
    <xf numFmtId="192" fontId="22" fillId="0" borderId="25" xfId="11" applyNumberFormat="1" applyFont="1" applyFill="1" applyBorder="1" applyAlignment="1">
      <alignment horizontal="center" vertical="center" wrapText="1"/>
    </xf>
    <xf numFmtId="3" fontId="92" fillId="0" borderId="25" xfId="3" applyNumberFormat="1" applyFont="1" applyFill="1" applyBorder="1" applyAlignment="1">
      <alignment horizontal="center" vertical="center"/>
    </xf>
    <xf numFmtId="0" fontId="20" fillId="0" borderId="25" xfId="0" applyFont="1" applyFill="1" applyBorder="1" applyAlignment="1">
      <alignment horizontal="center" vertical="center"/>
    </xf>
    <xf numFmtId="0" fontId="22" fillId="0" borderId="26" xfId="0" applyFont="1" applyFill="1" applyBorder="1" applyAlignment="1">
      <alignment horizontal="center" vertical="center"/>
    </xf>
    <xf numFmtId="192" fontId="22" fillId="0" borderId="26" xfId="11" applyNumberFormat="1" applyFont="1" applyFill="1" applyBorder="1" applyAlignment="1">
      <alignment horizontal="center" vertical="center" wrapText="1"/>
    </xf>
    <xf numFmtId="3" fontId="92" fillId="0" borderId="26" xfId="3" applyNumberFormat="1" applyFont="1" applyFill="1" applyBorder="1" applyAlignment="1">
      <alignment horizontal="center" vertical="center"/>
    </xf>
    <xf numFmtId="0" fontId="20" fillId="0" borderId="26" xfId="0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192" fontId="20" fillId="0" borderId="1" xfId="11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vertical="center" wrapText="1"/>
    </xf>
    <xf numFmtId="3" fontId="22" fillId="0" borderId="0" xfId="0" applyNumberFormat="1" applyFont="1" applyFill="1" applyBorder="1" applyAlignment="1">
      <alignment vertical="center"/>
    </xf>
    <xf numFmtId="0" fontId="102" fillId="0" borderId="0" xfId="0" applyFont="1" applyBorder="1" applyAlignment="1"/>
    <xf numFmtId="0" fontId="20" fillId="7" borderId="1" xfId="0" applyFont="1" applyFill="1" applyBorder="1" applyAlignment="1">
      <alignment horizontal="center" vertical="center" wrapText="1"/>
    </xf>
    <xf numFmtId="0" fontId="101" fillId="7" borderId="25" xfId="0" applyFont="1" applyFill="1" applyBorder="1" applyAlignment="1">
      <alignment horizontal="left"/>
    </xf>
    <xf numFmtId="0" fontId="22" fillId="0" borderId="26" xfId="0" applyNumberFormat="1" applyFont="1" applyFill="1" applyBorder="1" applyAlignment="1">
      <alignment horizontal="left" shrinkToFit="1"/>
    </xf>
    <xf numFmtId="0" fontId="22" fillId="0" borderId="26" xfId="0" applyNumberFormat="1" applyFont="1" applyFill="1" applyBorder="1" applyAlignment="1">
      <alignment horizontal="left" vertical="center" shrinkToFit="1"/>
    </xf>
    <xf numFmtId="0" fontId="121" fillId="7" borderId="1" xfId="275" applyFont="1" applyFill="1" applyBorder="1" applyAlignment="1">
      <alignment horizontal="center" vertical="center" shrinkToFit="1"/>
    </xf>
    <xf numFmtId="0" fontId="11" fillId="7" borderId="1" xfId="275" applyFont="1" applyFill="1" applyBorder="1" applyAlignment="1">
      <alignment horizontal="center" vertical="center"/>
    </xf>
    <xf numFmtId="0" fontId="247" fillId="0" borderId="1" xfId="275" applyNumberFormat="1" applyFont="1" applyFill="1" applyBorder="1" applyAlignment="1" applyProtection="1">
      <alignment horizontal="center" vertical="center"/>
    </xf>
    <xf numFmtId="0" fontId="249" fillId="0" borderId="1" xfId="275" applyNumberFormat="1" applyFont="1" applyFill="1" applyBorder="1" applyAlignment="1" applyProtection="1">
      <alignment horizontal="center" vertical="center"/>
    </xf>
    <xf numFmtId="0" fontId="202" fillId="7" borderId="1" xfId="275" applyNumberFormat="1" applyFont="1" applyFill="1" applyBorder="1" applyAlignment="1" applyProtection="1">
      <alignment horizontal="center" vertical="center"/>
    </xf>
    <xf numFmtId="0" fontId="202" fillId="14" borderId="1" xfId="0" applyNumberFormat="1" applyFont="1" applyFill="1" applyBorder="1" applyAlignment="1">
      <alignment horizontal="center" vertical="center"/>
    </xf>
    <xf numFmtId="0" fontId="202" fillId="15" borderId="1" xfId="0" applyNumberFormat="1" applyFont="1" applyFill="1" applyBorder="1" applyAlignment="1">
      <alignment horizontal="center" vertical="center"/>
    </xf>
    <xf numFmtId="3" fontId="29" fillId="12" borderId="1" xfId="0" applyNumberFormat="1" applyFont="1" applyFill="1" applyBorder="1" applyAlignment="1">
      <alignment horizontal="center" vertical="center"/>
    </xf>
    <xf numFmtId="0" fontId="29" fillId="12" borderId="1" xfId="0" applyFont="1" applyFill="1" applyBorder="1" applyAlignment="1">
      <alignment horizontal="center" vertical="center"/>
    </xf>
    <xf numFmtId="3" fontId="93" fillId="0" borderId="0" xfId="0" applyNumberFormat="1" applyFont="1"/>
    <xf numFmtId="3" fontId="20" fillId="0" borderId="0" xfId="0" applyNumberFormat="1" applyFont="1" applyAlignment="1">
      <alignment vertical="center"/>
    </xf>
    <xf numFmtId="3" fontId="127" fillId="0" borderId="0" xfId="0" applyNumberFormat="1" applyFont="1" applyAlignment="1">
      <alignment vertical="center"/>
    </xf>
    <xf numFmtId="3" fontId="95" fillId="0" borderId="0" xfId="0" applyNumberFormat="1" applyFont="1"/>
    <xf numFmtId="3" fontId="101" fillId="0" borderId="0" xfId="0" applyNumberFormat="1" applyFont="1" applyAlignment="1">
      <alignment vertical="center"/>
    </xf>
    <xf numFmtId="3" fontId="173" fillId="0" borderId="0" xfId="0" applyNumberFormat="1" applyFont="1"/>
    <xf numFmtId="189" fontId="77" fillId="7" borderId="1" xfId="0" applyNumberFormat="1" applyFont="1" applyFill="1" applyBorder="1" applyAlignment="1">
      <alignment horizontal="center" vertical="center"/>
    </xf>
    <xf numFmtId="189" fontId="92" fillId="9" borderId="0" xfId="0" applyNumberFormat="1" applyFont="1" applyFill="1"/>
    <xf numFmtId="189" fontId="127" fillId="0" borderId="0" xfId="0" applyNumberFormat="1" applyFont="1"/>
    <xf numFmtId="218" fontId="22" fillId="0" borderId="0" xfId="0" applyNumberFormat="1" applyFont="1" applyFill="1" applyAlignment="1">
      <alignment horizontal="center"/>
    </xf>
    <xf numFmtId="1" fontId="134" fillId="0" borderId="0" xfId="0" applyNumberFormat="1" applyFont="1" applyFill="1" applyBorder="1" applyAlignment="1">
      <alignment vertical="center" shrinkToFit="1"/>
    </xf>
    <xf numFmtId="3" fontId="92" fillId="0" borderId="84" xfId="3" applyNumberFormat="1" applyFont="1" applyFill="1" applyBorder="1" applyAlignment="1">
      <alignment horizontal="center" vertical="center"/>
    </xf>
    <xf numFmtId="3" fontId="93" fillId="0" borderId="1" xfId="3" applyNumberFormat="1" applyFont="1" applyFill="1" applyBorder="1" applyAlignment="1">
      <alignment horizontal="center" vertical="center"/>
    </xf>
    <xf numFmtId="3" fontId="22" fillId="0" borderId="22" xfId="0" applyNumberFormat="1" applyFont="1" applyFill="1" applyBorder="1" applyAlignment="1">
      <alignment horizontal="center" vertical="center" wrapText="1"/>
    </xf>
    <xf numFmtId="0" fontId="77" fillId="0" borderId="14" xfId="0" applyFont="1" applyBorder="1" applyAlignment="1"/>
    <xf numFmtId="0" fontId="164" fillId="7" borderId="15" xfId="25" applyFont="1" applyFill="1" applyBorder="1" applyAlignment="1">
      <alignment horizontal="center" vertical="center"/>
    </xf>
    <xf numFmtId="0" fontId="276" fillId="0" borderId="0" xfId="28" applyFont="1" applyAlignment="1"/>
    <xf numFmtId="0" fontId="276" fillId="0" borderId="0" xfId="0" applyFont="1"/>
    <xf numFmtId="0" fontId="275" fillId="0" borderId="0" xfId="28" applyFont="1" applyAlignment="1"/>
    <xf numFmtId="0" fontId="275" fillId="0" borderId="1" xfId="0" applyFont="1" applyBorder="1" applyAlignment="1">
      <alignment horizontal="center"/>
    </xf>
    <xf numFmtId="0" fontId="276" fillId="0" borderId="1" xfId="0" applyFont="1" applyBorder="1" applyAlignment="1">
      <alignment horizontal="center"/>
    </xf>
    <xf numFmtId="0" fontId="276" fillId="0" borderId="1" xfId="0" applyFont="1" applyBorder="1"/>
    <xf numFmtId="0" fontId="101" fillId="0" borderId="15" xfId="303" applyFont="1" applyBorder="1" applyAlignment="1">
      <alignment vertical="center"/>
    </xf>
    <xf numFmtId="200" fontId="164" fillId="7" borderId="15" xfId="0" applyNumberFormat="1" applyFont="1" applyFill="1" applyBorder="1" applyAlignment="1">
      <alignment vertical="center"/>
    </xf>
    <xf numFmtId="188" fontId="164" fillId="7" borderId="15" xfId="1" applyNumberFormat="1" applyFont="1" applyFill="1" applyBorder="1" applyAlignment="1">
      <alignment vertical="center"/>
    </xf>
    <xf numFmtId="0" fontId="101" fillId="0" borderId="15" xfId="303" applyFont="1" applyBorder="1" applyAlignment="1"/>
    <xf numFmtId="3" fontId="178" fillId="7" borderId="1" xfId="25" applyNumberFormat="1" applyFont="1" applyFill="1" applyBorder="1" applyAlignment="1">
      <alignment horizontal="center" vertical="center"/>
    </xf>
    <xf numFmtId="0" fontId="178" fillId="7" borderId="15" xfId="25" applyFont="1" applyFill="1" applyBorder="1" applyAlignment="1">
      <alignment horizontal="center" vertical="center"/>
    </xf>
    <xf numFmtId="200" fontId="127" fillId="7" borderId="1" xfId="0" applyNumberFormat="1" applyFont="1" applyFill="1" applyBorder="1" applyAlignment="1">
      <alignment vertical="center"/>
    </xf>
    <xf numFmtId="0" fontId="127" fillId="7" borderId="1" xfId="0" applyFont="1" applyFill="1" applyBorder="1" applyAlignment="1">
      <alignment horizontal="left" vertical="center"/>
    </xf>
    <xf numFmtId="0" fontId="127" fillId="0" borderId="1" xfId="303" applyFont="1" applyBorder="1" applyAlignment="1">
      <alignment horizontal="left"/>
    </xf>
    <xf numFmtId="188" fontId="125" fillId="7" borderId="20" xfId="1" applyNumberFormat="1" applyFont="1" applyFill="1" applyBorder="1" applyAlignment="1">
      <alignment vertical="center"/>
    </xf>
    <xf numFmtId="200" fontId="125" fillId="7" borderId="20" xfId="0" applyNumberFormat="1" applyFont="1" applyFill="1" applyBorder="1" applyAlignment="1">
      <alignment vertical="center"/>
    </xf>
    <xf numFmtId="1" fontId="124" fillId="7" borderId="20" xfId="0" applyNumberFormat="1" applyFont="1" applyFill="1" applyBorder="1" applyAlignment="1">
      <alignment vertical="center" wrapText="1"/>
    </xf>
    <xf numFmtId="0" fontId="180" fillId="0" borderId="15" xfId="303" applyFont="1" applyBorder="1" applyAlignment="1">
      <alignment vertical="center"/>
    </xf>
    <xf numFmtId="0" fontId="125" fillId="7" borderId="15" xfId="0" applyFont="1" applyFill="1" applyBorder="1" applyAlignment="1">
      <alignment vertical="center"/>
    </xf>
    <xf numFmtId="0" fontId="125" fillId="7" borderId="20" xfId="0" applyFont="1" applyFill="1" applyBorder="1" applyAlignment="1">
      <alignment vertical="center"/>
    </xf>
    <xf numFmtId="0" fontId="217" fillId="0" borderId="1" xfId="303" applyFont="1" applyBorder="1" applyAlignment="1">
      <alignment horizontal="left"/>
    </xf>
    <xf numFmtId="3" fontId="124" fillId="7" borderId="0" xfId="0" applyNumberFormat="1" applyFont="1" applyFill="1" applyAlignment="1">
      <alignment vertical="center"/>
    </xf>
    <xf numFmtId="192" fontId="22" fillId="9" borderId="0" xfId="1" applyNumberFormat="1" applyFont="1" applyFill="1" applyBorder="1"/>
    <xf numFmtId="191" fontId="101" fillId="0" borderId="0" xfId="0" applyNumberFormat="1" applyFont="1" applyBorder="1"/>
    <xf numFmtId="191" fontId="22" fillId="9" borderId="0" xfId="1" applyNumberFormat="1" applyFont="1" applyFill="1" applyBorder="1"/>
    <xf numFmtId="213" fontId="173" fillId="0" borderId="1" xfId="1" applyNumberFormat="1" applyFont="1" applyBorder="1" applyAlignment="1">
      <alignment horizontal="left" indent="3"/>
    </xf>
    <xf numFmtId="3" fontId="164" fillId="7" borderId="0" xfId="0" applyNumberFormat="1" applyFont="1" applyFill="1"/>
    <xf numFmtId="0" fontId="201" fillId="0" borderId="86" xfId="0" quotePrefix="1" applyNumberFormat="1" applyFont="1" applyFill="1" applyBorder="1" applyAlignment="1">
      <alignment horizontal="center" vertical="center" wrapText="1"/>
    </xf>
    <xf numFmtId="0" fontId="197" fillId="0" borderId="86" xfId="0" applyFont="1" applyBorder="1"/>
    <xf numFmtId="0" fontId="0" fillId="0" borderId="86" xfId="0" applyBorder="1"/>
    <xf numFmtId="0" fontId="197" fillId="0" borderId="88" xfId="0" applyFont="1" applyBorder="1"/>
    <xf numFmtId="0" fontId="0" fillId="0" borderId="88" xfId="0" applyBorder="1"/>
    <xf numFmtId="0" fontId="199" fillId="0" borderId="18" xfId="0" applyFont="1" applyFill="1" applyBorder="1" applyAlignment="1">
      <alignment horizontal="center" vertical="center" wrapText="1"/>
    </xf>
    <xf numFmtId="2" fontId="199" fillId="0" borderId="6" xfId="0" quotePrefix="1" applyNumberFormat="1" applyFont="1" applyFill="1" applyBorder="1" applyAlignment="1">
      <alignment horizontal="center" vertical="center" wrapText="1"/>
    </xf>
    <xf numFmtId="197" fontId="199" fillId="0" borderId="6" xfId="0" quotePrefix="1" applyNumberFormat="1" applyFont="1" applyFill="1" applyBorder="1" applyAlignment="1">
      <alignment horizontal="center" vertical="center" wrapText="1"/>
    </xf>
    <xf numFmtId="0" fontId="199" fillId="0" borderId="6" xfId="0" applyNumberFormat="1" applyFont="1" applyFill="1" applyBorder="1" applyAlignment="1">
      <alignment horizontal="center" vertical="center"/>
    </xf>
    <xf numFmtId="2" fontId="199" fillId="0" borderId="6" xfId="0" applyNumberFormat="1" applyFont="1" applyFill="1" applyBorder="1" applyAlignment="1">
      <alignment horizontal="center" vertical="center"/>
    </xf>
    <xf numFmtId="3" fontId="199" fillId="0" borderId="6" xfId="0" quotePrefix="1" applyNumberFormat="1" applyFont="1" applyFill="1" applyBorder="1" applyAlignment="1">
      <alignment horizontal="center" vertical="center"/>
    </xf>
    <xf numFmtId="2" fontId="199" fillId="0" borderId="6" xfId="0" quotePrefix="1" applyNumberFormat="1" applyFont="1" applyFill="1" applyBorder="1" applyAlignment="1">
      <alignment horizontal="center" vertical="center"/>
    </xf>
    <xf numFmtId="197" fontId="199" fillId="0" borderId="6" xfId="0" quotePrefix="1" applyNumberFormat="1" applyFont="1" applyFill="1" applyBorder="1" applyAlignment="1">
      <alignment horizontal="center" vertical="center"/>
    </xf>
    <xf numFmtId="197" fontId="199" fillId="0" borderId="6" xfId="10" applyNumberFormat="1" applyFont="1" applyFill="1" applyBorder="1" applyAlignment="1">
      <alignment horizontal="center" vertical="center" wrapText="1"/>
    </xf>
    <xf numFmtId="9" fontId="197" fillId="0" borderId="0" xfId="287" applyFont="1"/>
    <xf numFmtId="9" fontId="0" fillId="0" borderId="0" xfId="287" applyFont="1"/>
    <xf numFmtId="2" fontId="201" fillId="0" borderId="6" xfId="0" applyNumberFormat="1" applyFont="1" applyFill="1" applyBorder="1" applyAlignment="1">
      <alignment horizontal="center" vertical="center" wrapText="1"/>
    </xf>
    <xf numFmtId="3" fontId="279" fillId="0" borderId="6" xfId="0" applyNumberFormat="1" applyFont="1" applyFill="1" applyBorder="1" applyAlignment="1">
      <alignment horizontal="center" vertical="center" wrapText="1"/>
    </xf>
    <xf numFmtId="197" fontId="201" fillId="0" borderId="6" xfId="0" applyNumberFormat="1" applyFont="1" applyFill="1" applyBorder="1" applyAlignment="1">
      <alignment horizontal="center" vertical="center" wrapText="1"/>
    </xf>
    <xf numFmtId="0" fontId="201" fillId="0" borderId="6" xfId="0" applyNumberFormat="1" applyFont="1" applyFill="1" applyBorder="1" applyAlignment="1">
      <alignment horizontal="center" vertical="center"/>
    </xf>
    <xf numFmtId="197" fontId="201" fillId="0" borderId="6" xfId="10" applyNumberFormat="1" applyFont="1" applyFill="1" applyBorder="1" applyAlignment="1">
      <alignment horizontal="center" vertical="center"/>
    </xf>
    <xf numFmtId="2" fontId="201" fillId="0" borderId="17" xfId="0" applyNumberFormat="1" applyFont="1" applyFill="1" applyBorder="1" applyAlignment="1">
      <alignment horizontal="center" vertical="center" wrapText="1"/>
    </xf>
    <xf numFmtId="197" fontId="199" fillId="0" borderId="17" xfId="0" applyNumberFormat="1" applyFont="1" applyFill="1" applyBorder="1" applyAlignment="1">
      <alignment horizontal="center" vertical="center" wrapText="1"/>
    </xf>
    <xf numFmtId="197" fontId="201" fillId="0" borderId="17" xfId="10" applyNumberFormat="1" applyFont="1" applyFill="1" applyBorder="1" applyAlignment="1">
      <alignment horizontal="center" vertical="center"/>
    </xf>
    <xf numFmtId="0" fontId="201" fillId="0" borderId="14" xfId="0" quotePrefix="1" applyNumberFormat="1" applyFont="1" applyFill="1" applyBorder="1" applyAlignment="1">
      <alignment horizontal="center" vertical="center" wrapText="1"/>
    </xf>
    <xf numFmtId="0" fontId="197" fillId="0" borderId="14" xfId="0" applyFont="1" applyBorder="1"/>
    <xf numFmtId="0" fontId="199" fillId="0" borderId="16" xfId="0" applyFont="1" applyFill="1" applyBorder="1" applyAlignment="1">
      <alignment horizontal="left" vertical="center" wrapText="1"/>
    </xf>
    <xf numFmtId="0" fontId="201" fillId="0" borderId="16" xfId="0" applyFont="1" applyFill="1" applyBorder="1" applyAlignment="1">
      <alignment horizontal="center" vertical="center" wrapText="1"/>
    </xf>
    <xf numFmtId="2" fontId="201" fillId="0" borderId="16" xfId="0" applyNumberFormat="1" applyFont="1" applyFill="1" applyBorder="1" applyAlignment="1">
      <alignment horizontal="center" vertical="center" wrapText="1"/>
    </xf>
    <xf numFmtId="197" fontId="199" fillId="0" borderId="16" xfId="10" applyNumberFormat="1" applyFont="1" applyFill="1" applyBorder="1" applyAlignment="1">
      <alignment horizontal="center" vertical="center"/>
    </xf>
    <xf numFmtId="0" fontId="201" fillId="0" borderId="16" xfId="0" quotePrefix="1" applyNumberFormat="1" applyFont="1" applyFill="1" applyBorder="1" applyAlignment="1">
      <alignment horizontal="center" vertical="center" wrapText="1"/>
    </xf>
    <xf numFmtId="0" fontId="0" fillId="0" borderId="89" xfId="0" applyBorder="1"/>
    <xf numFmtId="0" fontId="199" fillId="0" borderId="18" xfId="0" applyFont="1" applyFill="1" applyBorder="1" applyAlignment="1">
      <alignment horizontal="left" vertical="center" wrapText="1"/>
    </xf>
    <xf numFmtId="0" fontId="201" fillId="0" borderId="18" xfId="0" applyFont="1" applyFill="1" applyBorder="1" applyAlignment="1">
      <alignment horizontal="center" vertical="center" wrapText="1"/>
    </xf>
    <xf numFmtId="2" fontId="201" fillId="0" borderId="18" xfId="0" applyNumberFormat="1" applyFont="1" applyFill="1" applyBorder="1" applyAlignment="1">
      <alignment horizontal="center" vertical="center" wrapText="1"/>
    </xf>
    <xf numFmtId="197" fontId="199" fillId="0" borderId="18" xfId="0" applyNumberFormat="1" applyFont="1" applyFill="1" applyBorder="1" applyAlignment="1">
      <alignment horizontal="center" vertical="center" wrapText="1"/>
    </xf>
    <xf numFmtId="0" fontId="201" fillId="0" borderId="18" xfId="0" quotePrefix="1" applyNumberFormat="1" applyFont="1" applyFill="1" applyBorder="1" applyAlignment="1">
      <alignment horizontal="center" vertical="center" wrapText="1"/>
    </xf>
    <xf numFmtId="1" fontId="201" fillId="0" borderId="18" xfId="0" applyNumberFormat="1" applyFont="1" applyFill="1" applyBorder="1" applyAlignment="1">
      <alignment horizontal="center" vertical="center" wrapText="1"/>
    </xf>
    <xf numFmtId="0" fontId="201" fillId="0" borderId="88" xfId="0" quotePrefix="1" applyNumberFormat="1" applyFont="1" applyFill="1" applyBorder="1" applyAlignment="1">
      <alignment horizontal="center" vertical="center" wrapText="1"/>
    </xf>
    <xf numFmtId="0" fontId="201" fillId="0" borderId="18" xfId="0" applyNumberFormat="1" applyFont="1" applyFill="1" applyBorder="1" applyAlignment="1">
      <alignment horizontal="center" vertical="center"/>
    </xf>
    <xf numFmtId="2" fontId="201" fillId="0" borderId="18" xfId="0" applyNumberFormat="1" applyFont="1" applyFill="1" applyBorder="1" applyAlignment="1">
      <alignment horizontal="center" vertical="center"/>
    </xf>
    <xf numFmtId="3" fontId="199" fillId="0" borderId="18" xfId="0" quotePrefix="1" applyNumberFormat="1" applyFont="1" applyFill="1" applyBorder="1" applyAlignment="1">
      <alignment horizontal="left" vertical="center"/>
    </xf>
    <xf numFmtId="3" fontId="201" fillId="0" borderId="18" xfId="0" quotePrefix="1" applyNumberFormat="1" applyFont="1" applyFill="1" applyBorder="1" applyAlignment="1">
      <alignment horizontal="left" vertical="center"/>
    </xf>
    <xf numFmtId="3" fontId="199" fillId="0" borderId="18" xfId="0" quotePrefix="1" applyNumberFormat="1" applyFont="1" applyFill="1" applyBorder="1" applyAlignment="1">
      <alignment horizontal="center" vertical="center"/>
    </xf>
    <xf numFmtId="3" fontId="201" fillId="0" borderId="18" xfId="0" quotePrefix="1" applyNumberFormat="1" applyFont="1" applyFill="1" applyBorder="1" applyAlignment="1">
      <alignment horizontal="center" vertical="center"/>
    </xf>
    <xf numFmtId="2" fontId="201" fillId="0" borderId="18" xfId="0" quotePrefix="1" applyNumberFormat="1" applyFont="1" applyFill="1" applyBorder="1" applyAlignment="1">
      <alignment horizontal="center" vertical="center"/>
    </xf>
    <xf numFmtId="197" fontId="199" fillId="0" borderId="18" xfId="0" quotePrefix="1" applyNumberFormat="1" applyFont="1" applyFill="1" applyBorder="1" applyAlignment="1">
      <alignment horizontal="center" vertical="center"/>
    </xf>
    <xf numFmtId="197" fontId="199" fillId="0" borderId="18" xfId="10" applyNumberFormat="1" applyFont="1" applyFill="1" applyBorder="1" applyAlignment="1">
      <alignment horizontal="center" vertical="center"/>
    </xf>
    <xf numFmtId="195" fontId="199" fillId="0" borderId="6" xfId="0" applyNumberFormat="1" applyFont="1" applyFill="1" applyBorder="1" applyAlignment="1">
      <alignment horizontal="center" vertical="center" wrapText="1"/>
    </xf>
    <xf numFmtId="2" fontId="201" fillId="0" borderId="6" xfId="0" applyNumberFormat="1" applyFont="1" applyFill="1" applyBorder="1" applyAlignment="1">
      <alignment horizontal="center" vertical="center"/>
    </xf>
    <xf numFmtId="197" fontId="199" fillId="0" borderId="6" xfId="0" applyNumberFormat="1" applyFont="1" applyFill="1" applyBorder="1" applyAlignment="1">
      <alignment vertical="center"/>
    </xf>
    <xf numFmtId="197" fontId="201" fillId="0" borderId="6" xfId="0" applyNumberFormat="1" applyFont="1" applyFill="1" applyBorder="1" applyAlignment="1">
      <alignment horizontal="center" vertical="center"/>
    </xf>
    <xf numFmtId="2" fontId="201" fillId="0" borderId="23" xfId="0" applyNumberFormat="1" applyFont="1" applyFill="1" applyBorder="1" applyAlignment="1">
      <alignment horizontal="center" vertical="center"/>
    </xf>
    <xf numFmtId="197" fontId="199" fillId="0" borderId="23" xfId="0" applyNumberFormat="1" applyFont="1" applyFill="1" applyBorder="1" applyAlignment="1">
      <alignment vertical="center"/>
    </xf>
    <xf numFmtId="3" fontId="201" fillId="0" borderId="23" xfId="0" applyNumberFormat="1" applyFont="1" applyFill="1" applyBorder="1" applyAlignment="1">
      <alignment horizontal="center" vertical="center"/>
    </xf>
    <xf numFmtId="2" fontId="199" fillId="0" borderId="17" xfId="0" applyNumberFormat="1" applyFont="1" applyFill="1" applyBorder="1" applyAlignment="1">
      <alignment horizontal="center" vertical="center" wrapText="1"/>
    </xf>
    <xf numFmtId="2" fontId="199" fillId="0" borderId="17" xfId="0" quotePrefix="1" applyNumberFormat="1" applyFont="1" applyFill="1" applyBorder="1" applyAlignment="1">
      <alignment horizontal="center" vertical="center" wrapText="1"/>
    </xf>
    <xf numFmtId="197" fontId="199" fillId="0" borderId="17" xfId="0" quotePrefix="1" applyNumberFormat="1" applyFont="1" applyFill="1" applyBorder="1" applyAlignment="1">
      <alignment horizontal="center" vertical="center" wrapText="1"/>
    </xf>
    <xf numFmtId="197" fontId="199" fillId="0" borderId="17" xfId="10" applyNumberFormat="1" applyFont="1" applyFill="1" applyBorder="1" applyAlignment="1">
      <alignment horizontal="center" vertical="center" wrapText="1"/>
    </xf>
    <xf numFmtId="3" fontId="22" fillId="0" borderId="60" xfId="0" applyNumberFormat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3" fontId="124" fillId="7" borderId="0" xfId="0" applyNumberFormat="1" applyFont="1" applyFill="1"/>
    <xf numFmtId="0" fontId="268" fillId="0" borderId="3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145" fillId="0" borderId="1" xfId="0" applyFont="1" applyBorder="1" applyAlignment="1">
      <alignment horizontal="center" vertical="center"/>
    </xf>
    <xf numFmtId="0" fontId="22" fillId="0" borderId="1" xfId="0" applyFont="1" applyFill="1" applyBorder="1" applyAlignment="1">
      <alignment vertical="center" wrapText="1"/>
    </xf>
    <xf numFmtId="1" fontId="11" fillId="0" borderId="0" xfId="0" applyNumberFormat="1" applyFont="1" applyFill="1" applyAlignment="1">
      <alignment horizontal="center" vertical="center"/>
    </xf>
    <xf numFmtId="1" fontId="134" fillId="0" borderId="0" xfId="0" applyNumberFormat="1" applyFont="1" applyFill="1" applyAlignment="1">
      <alignment horizontal="center"/>
    </xf>
    <xf numFmtId="1" fontId="34" fillId="0" borderId="0" xfId="0" applyNumberFormat="1" applyFont="1" applyFill="1" applyBorder="1" applyAlignment="1">
      <alignment horizontal="center" shrinkToFit="1"/>
    </xf>
    <xf numFmtId="0" fontId="210" fillId="7" borderId="20" xfId="0" applyFont="1" applyFill="1" applyBorder="1" applyAlignment="1">
      <alignment horizontal="center" vertical="center"/>
    </xf>
    <xf numFmtId="0" fontId="210" fillId="7" borderId="0" xfId="0" applyFont="1" applyFill="1" applyAlignment="1">
      <alignment horizontal="center" vertical="center"/>
    </xf>
    <xf numFmtId="0" fontId="114" fillId="7" borderId="0" xfId="0" applyFont="1" applyFill="1" applyAlignment="1">
      <alignment horizontal="center" vertical="center"/>
    </xf>
    <xf numFmtId="192" fontId="114" fillId="7" borderId="20" xfId="1" applyNumberFormat="1" applyFont="1" applyFill="1" applyBorder="1" applyAlignment="1">
      <alignment horizontal="center" vertical="center" wrapText="1"/>
    </xf>
    <xf numFmtId="0" fontId="134" fillId="7" borderId="0" xfId="275" applyFont="1" applyFill="1" applyAlignment="1">
      <alignment horizontal="center" vertical="center"/>
    </xf>
    <xf numFmtId="0" fontId="210" fillId="7" borderId="0" xfId="275" applyFont="1" applyFill="1" applyAlignment="1">
      <alignment horizontal="center" vertical="center"/>
    </xf>
    <xf numFmtId="43" fontId="210" fillId="7" borderId="20" xfId="13" applyFont="1" applyFill="1" applyBorder="1" applyAlignment="1">
      <alignment horizontal="center" vertical="center"/>
    </xf>
    <xf numFmtId="0" fontId="211" fillId="7" borderId="0" xfId="275" applyFont="1" applyFill="1" applyAlignment="1">
      <alignment horizontal="center" vertical="center"/>
    </xf>
    <xf numFmtId="0" fontId="157" fillId="7" borderId="0" xfId="275" applyFont="1" applyFill="1" applyAlignment="1">
      <alignment horizontal="center" vertical="center"/>
    </xf>
    <xf numFmtId="0" fontId="210" fillId="7" borderId="1" xfId="275" applyFont="1" applyFill="1" applyBorder="1" applyAlignment="1">
      <alignment horizontal="center" vertical="center"/>
    </xf>
    <xf numFmtId="1" fontId="11" fillId="0" borderId="1" xfId="0" applyNumberFormat="1" applyFont="1" applyFill="1" applyBorder="1" applyAlignment="1">
      <alignment horizontal="center" vertical="center" wrapText="1"/>
    </xf>
    <xf numFmtId="1" fontId="11" fillId="0" borderId="1" xfId="28" applyNumberFormat="1" applyFont="1" applyFill="1" applyBorder="1" applyAlignment="1">
      <alignment horizontal="center"/>
    </xf>
    <xf numFmtId="0" fontId="11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0" fontId="196" fillId="0" borderId="0" xfId="0" applyFont="1" applyFill="1" applyBorder="1" applyAlignment="1">
      <alignment horizontal="center" vertical="center"/>
    </xf>
    <xf numFmtId="3" fontId="201" fillId="0" borderId="23" xfId="0" applyNumberFormat="1" applyFont="1" applyFill="1" applyBorder="1" applyAlignment="1">
      <alignment horizontal="center" vertical="center" wrapText="1"/>
    </xf>
    <xf numFmtId="3" fontId="201" fillId="0" borderId="18" xfId="0" applyNumberFormat="1" applyFont="1" applyFill="1" applyBorder="1" applyAlignment="1">
      <alignment horizontal="center" vertical="center" wrapText="1"/>
    </xf>
    <xf numFmtId="0" fontId="201" fillId="0" borderId="18" xfId="0" applyFont="1" applyFill="1" applyBorder="1" applyAlignment="1">
      <alignment horizontal="left" vertical="center" wrapText="1"/>
    </xf>
    <xf numFmtId="0" fontId="202" fillId="0" borderId="18" xfId="0" applyNumberFormat="1" applyFont="1" applyFill="1" applyBorder="1" applyAlignment="1">
      <alignment horizontal="center" vertical="center"/>
    </xf>
    <xf numFmtId="4" fontId="201" fillId="0" borderId="18" xfId="10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88" fillId="0" borderId="0" xfId="0" applyFont="1" applyFill="1" applyBorder="1" applyAlignment="1">
      <alignment horizontal="center" vertical="center"/>
    </xf>
    <xf numFmtId="0" fontId="179" fillId="0" borderId="0" xfId="0" applyFont="1" applyFill="1" applyBorder="1" applyAlignment="1">
      <alignment horizontal="center" vertical="center"/>
    </xf>
    <xf numFmtId="0" fontId="179" fillId="0" borderId="0" xfId="0" applyFont="1" applyFill="1" applyAlignment="1">
      <alignment horizontal="center" vertical="center"/>
    </xf>
    <xf numFmtId="0" fontId="198" fillId="0" borderId="0" xfId="0" applyFont="1" applyFill="1" applyBorder="1" applyAlignment="1">
      <alignment horizontal="center" vertical="center"/>
    </xf>
    <xf numFmtId="0" fontId="201" fillId="0" borderId="23" xfId="0" applyFont="1" applyFill="1" applyBorder="1" applyAlignment="1">
      <alignment vertical="center" wrapText="1"/>
    </xf>
    <xf numFmtId="0" fontId="183" fillId="3" borderId="0" xfId="0" applyFont="1" applyFill="1" applyBorder="1" applyAlignment="1">
      <alignment horizontal="center" vertical="center"/>
    </xf>
    <xf numFmtId="3" fontId="201" fillId="0" borderId="6" xfId="0" applyNumberFormat="1" applyFont="1" applyFill="1" applyBorder="1" applyAlignment="1">
      <alignment horizontal="center" vertical="center" wrapText="1"/>
    </xf>
    <xf numFmtId="0" fontId="201" fillId="0" borderId="6" xfId="0" applyFont="1" applyFill="1" applyBorder="1" applyAlignment="1">
      <alignment horizontal="left" vertical="center" wrapText="1"/>
    </xf>
    <xf numFmtId="0" fontId="199" fillId="0" borderId="16" xfId="0" applyFont="1" applyFill="1" applyBorder="1" applyAlignment="1">
      <alignment horizontal="center" vertical="center" wrapText="1"/>
    </xf>
    <xf numFmtId="0" fontId="199" fillId="0" borderId="6" xfId="0" applyFont="1" applyFill="1" applyBorder="1" applyAlignment="1">
      <alignment horizontal="center" vertical="center" wrapText="1"/>
    </xf>
    <xf numFmtId="0" fontId="201" fillId="0" borderId="6" xfId="0" applyFont="1" applyFill="1" applyBorder="1" applyAlignment="1">
      <alignment horizontal="center" vertical="center" wrapText="1"/>
    </xf>
    <xf numFmtId="0" fontId="201" fillId="0" borderId="17" xfId="0" applyFont="1" applyFill="1" applyBorder="1" applyAlignment="1">
      <alignment horizontal="center" vertical="center" wrapText="1"/>
    </xf>
    <xf numFmtId="2" fontId="199" fillId="0" borderId="6" xfId="0" applyNumberFormat="1" applyFont="1" applyFill="1" applyBorder="1" applyAlignment="1">
      <alignment horizontal="center" vertical="center" wrapText="1"/>
    </xf>
    <xf numFmtId="197" fontId="199" fillId="0" borderId="16" xfId="0" applyNumberFormat="1" applyFont="1" applyFill="1" applyBorder="1" applyAlignment="1">
      <alignment horizontal="center" vertical="center" wrapText="1"/>
    </xf>
    <xf numFmtId="197" fontId="199" fillId="0" borderId="6" xfId="0" applyNumberFormat="1" applyFont="1" applyFill="1" applyBorder="1" applyAlignment="1">
      <alignment horizontal="center" vertical="center" wrapText="1"/>
    </xf>
    <xf numFmtId="0" fontId="124" fillId="7" borderId="0" xfId="0" applyFont="1" applyFill="1" applyAlignment="1">
      <alignment horizontal="center"/>
    </xf>
    <xf numFmtId="0" fontId="136" fillId="7" borderId="15" xfId="1" applyNumberFormat="1" applyFont="1" applyFill="1" applyBorder="1" applyAlignment="1">
      <alignment horizontal="center" vertical="center" wrapText="1"/>
    </xf>
    <xf numFmtId="0" fontId="124" fillId="7" borderId="0" xfId="0" applyFont="1" applyFill="1" applyAlignment="1">
      <alignment horizontal="center" vertical="center"/>
    </xf>
    <xf numFmtId="191" fontId="136" fillId="7" borderId="1" xfId="1" applyNumberFormat="1" applyFont="1" applyFill="1" applyBorder="1" applyAlignment="1">
      <alignment horizontal="center" wrapText="1"/>
    </xf>
    <xf numFmtId="0" fontId="10" fillId="0" borderId="0" xfId="0" applyFont="1" applyAlignment="1">
      <alignment horizontal="center" vertical="center"/>
    </xf>
    <xf numFmtId="0" fontId="145" fillId="0" borderId="1" xfId="0" applyFont="1" applyBorder="1" applyAlignment="1">
      <alignment horizontal="center" vertical="center"/>
    </xf>
    <xf numFmtId="0" fontId="249" fillId="7" borderId="1" xfId="315" applyFont="1" applyFill="1" applyBorder="1" applyAlignment="1" applyProtection="1">
      <alignment horizontal="center" vertical="center"/>
    </xf>
    <xf numFmtId="0" fontId="280" fillId="16" borderId="68" xfId="0" applyNumberFormat="1" applyFont="1" applyFill="1" applyBorder="1" applyAlignment="1">
      <alignment horizontal="center" vertical="center"/>
    </xf>
    <xf numFmtId="0" fontId="280" fillId="7" borderId="68" xfId="0" applyNumberFormat="1" applyFont="1" applyFill="1" applyBorder="1" applyAlignment="1">
      <alignment horizontal="center" vertical="center"/>
    </xf>
    <xf numFmtId="0" fontId="249" fillId="7" borderId="68" xfId="0" applyNumberFormat="1" applyFont="1" applyFill="1" applyBorder="1" applyAlignment="1">
      <alignment horizontal="center" vertical="center"/>
    </xf>
    <xf numFmtId="0" fontId="249" fillId="16" borderId="68" xfId="0" applyNumberFormat="1" applyFont="1" applyFill="1" applyBorder="1" applyAlignment="1">
      <alignment horizontal="center" vertical="center"/>
    </xf>
    <xf numFmtId="0" fontId="249" fillId="7" borderId="1" xfId="275" applyNumberFormat="1" applyFont="1" applyFill="1" applyBorder="1" applyAlignment="1" applyProtection="1">
      <alignment horizontal="center" vertical="center"/>
    </xf>
    <xf numFmtId="0" fontId="249" fillId="12" borderId="1" xfId="275" applyFont="1" applyFill="1" applyBorder="1" applyAlignment="1" applyProtection="1">
      <alignment horizontal="center" vertical="center"/>
    </xf>
    <xf numFmtId="0" fontId="247" fillId="12" borderId="0" xfId="25" applyFont="1" applyFill="1" applyAlignment="1" applyProtection="1">
      <alignment horizontal="center"/>
    </xf>
    <xf numFmtId="0" fontId="13" fillId="7" borderId="1" xfId="275" applyFont="1" applyFill="1" applyBorder="1" applyAlignment="1">
      <alignment horizontal="center" vertical="center"/>
    </xf>
    <xf numFmtId="0" fontId="173" fillId="0" borderId="0" xfId="0" applyFont="1"/>
    <xf numFmtId="4" fontId="173" fillId="7" borderId="0" xfId="0" applyNumberFormat="1" applyFont="1" applyFill="1"/>
    <xf numFmtId="197" fontId="95" fillId="9" borderId="0" xfId="0" applyNumberFormat="1" applyFont="1" applyFill="1"/>
    <xf numFmtId="0" fontId="201" fillId="0" borderId="23" xfId="0" applyNumberFormat="1" applyFont="1" applyFill="1" applyBorder="1" applyAlignment="1">
      <alignment horizontal="center" vertical="center"/>
    </xf>
    <xf numFmtId="4" fontId="201" fillId="0" borderId="90" xfId="0" applyNumberFormat="1" applyFont="1" applyFill="1" applyBorder="1" applyAlignment="1">
      <alignment horizontal="center" vertical="center"/>
    </xf>
    <xf numFmtId="4" fontId="201" fillId="0" borderId="91" xfId="0" applyNumberFormat="1" applyFont="1" applyFill="1" applyBorder="1" applyAlignment="1">
      <alignment horizontal="center" vertical="center"/>
    </xf>
    <xf numFmtId="4" fontId="201" fillId="0" borderId="92" xfId="0" applyNumberFormat="1" applyFont="1" applyFill="1" applyBorder="1" applyAlignment="1">
      <alignment horizontal="center" vertical="center"/>
    </xf>
    <xf numFmtId="197" fontId="199" fillId="0" borderId="23" xfId="0" applyNumberFormat="1" applyFont="1" applyFill="1" applyBorder="1" applyAlignment="1">
      <alignment horizontal="center" vertical="center"/>
    </xf>
    <xf numFmtId="197" fontId="201" fillId="0" borderId="23" xfId="0" applyNumberFormat="1" applyFont="1" applyFill="1" applyBorder="1" applyAlignment="1">
      <alignment horizontal="center" vertical="center"/>
    </xf>
    <xf numFmtId="0" fontId="201" fillId="0" borderId="29" xfId="0" quotePrefix="1" applyNumberFormat="1" applyFont="1" applyFill="1" applyBorder="1" applyAlignment="1">
      <alignment horizontal="center" vertical="center" wrapText="1"/>
    </xf>
    <xf numFmtId="0" fontId="199" fillId="0" borderId="20" xfId="0" applyFont="1" applyFill="1" applyBorder="1" applyAlignment="1">
      <alignment horizontal="center" vertical="center" wrapText="1"/>
    </xf>
    <xf numFmtId="0" fontId="199" fillId="0" borderId="20" xfId="0" applyFont="1" applyFill="1" applyBorder="1" applyAlignment="1">
      <alignment horizontal="left" vertical="center" wrapText="1"/>
    </xf>
    <xf numFmtId="0" fontId="201" fillId="0" borderId="20" xfId="0" applyFont="1" applyFill="1" applyBorder="1" applyAlignment="1">
      <alignment horizontal="center" vertical="center" wrapText="1"/>
    </xf>
    <xf numFmtId="2" fontId="201" fillId="0" borderId="20" xfId="0" applyNumberFormat="1" applyFont="1" applyFill="1" applyBorder="1" applyAlignment="1">
      <alignment horizontal="center" vertical="center" wrapText="1"/>
    </xf>
    <xf numFmtId="197" fontId="199" fillId="0" borderId="20" xfId="0" applyNumberFormat="1" applyFont="1" applyFill="1" applyBorder="1" applyAlignment="1">
      <alignment horizontal="center" vertical="center" wrapText="1"/>
    </xf>
    <xf numFmtId="4" fontId="199" fillId="0" borderId="20" xfId="10" applyNumberFormat="1" applyFont="1" applyFill="1" applyBorder="1" applyAlignment="1">
      <alignment horizontal="center" vertical="center"/>
    </xf>
    <xf numFmtId="0" fontId="201" fillId="0" borderId="20" xfId="0" quotePrefix="1" applyNumberFormat="1" applyFont="1" applyFill="1" applyBorder="1" applyAlignment="1">
      <alignment horizontal="center" vertical="center" wrapText="1"/>
    </xf>
    <xf numFmtId="0" fontId="275" fillId="0" borderId="18" xfId="0" applyFont="1" applyFill="1" applyBorder="1" applyAlignment="1">
      <alignment horizontal="center" vertical="center" wrapText="1"/>
    </xf>
    <xf numFmtId="205" fontId="201" fillId="0" borderId="18" xfId="0" applyNumberFormat="1" applyFont="1" applyFill="1" applyBorder="1" applyAlignment="1">
      <alignment horizontal="center" vertical="center" wrapText="1"/>
    </xf>
    <xf numFmtId="4" fontId="201" fillId="0" borderId="18" xfId="0" applyNumberFormat="1" applyFont="1" applyFill="1" applyBorder="1" applyAlignment="1">
      <alignment horizontal="center" vertical="center" wrapText="1"/>
    </xf>
    <xf numFmtId="1" fontId="201" fillId="0" borderId="18" xfId="0" quotePrefix="1" applyNumberFormat="1" applyFont="1" applyFill="1" applyBorder="1" applyAlignment="1">
      <alignment horizontal="center" vertical="center"/>
    </xf>
    <xf numFmtId="4" fontId="201" fillId="0" borderId="18" xfId="0" quotePrefix="1" applyNumberFormat="1" applyFont="1" applyFill="1" applyBorder="1" applyAlignment="1">
      <alignment horizontal="center" vertical="center"/>
    </xf>
    <xf numFmtId="191" fontId="125" fillId="7" borderId="0" xfId="1" applyNumberFormat="1" applyFont="1" applyFill="1"/>
    <xf numFmtId="191" fontId="20" fillId="0" borderId="0" xfId="1" applyNumberFormat="1" applyFont="1" applyAlignment="1">
      <alignment horizontal="right" vertical="center"/>
    </xf>
    <xf numFmtId="191" fontId="22" fillId="7" borderId="1" xfId="1" applyNumberFormat="1" applyFont="1" applyFill="1" applyBorder="1" applyAlignment="1">
      <alignment horizontal="right" vertical="center"/>
    </xf>
    <xf numFmtId="0" fontId="20" fillId="7" borderId="1" xfId="0" applyFont="1" applyFill="1" applyBorder="1" applyAlignment="1">
      <alignment horizontal="right" vertical="center"/>
    </xf>
    <xf numFmtId="0" fontId="20" fillId="7" borderId="0" xfId="0" applyFont="1" applyFill="1" applyAlignment="1">
      <alignment horizontal="right" vertical="center"/>
    </xf>
    <xf numFmtId="3" fontId="20" fillId="7" borderId="0" xfId="0" applyNumberFormat="1" applyFont="1" applyFill="1" applyAlignment="1">
      <alignment horizontal="right" vertical="center"/>
    </xf>
    <xf numFmtId="0" fontId="10" fillId="9" borderId="60" xfId="0" applyFont="1" applyFill="1" applyBorder="1" applyAlignment="1">
      <alignment horizontal="center" vertical="center"/>
    </xf>
    <xf numFmtId="0" fontId="10" fillId="7" borderId="60" xfId="0" applyFont="1" applyFill="1" applyBorder="1" applyAlignment="1">
      <alignment horizontal="center" vertical="center"/>
    </xf>
    <xf numFmtId="0" fontId="10" fillId="17" borderId="60" xfId="0" applyFont="1" applyFill="1" applyBorder="1" applyAlignment="1">
      <alignment horizontal="center" vertical="center"/>
    </xf>
    <xf numFmtId="0" fontId="10" fillId="7" borderId="0" xfId="0" applyFont="1" applyFill="1"/>
    <xf numFmtId="0" fontId="15" fillId="7" borderId="0" xfId="0" applyFont="1" applyFill="1"/>
    <xf numFmtId="0" fontId="2" fillId="7" borderId="0" xfId="0" applyFont="1" applyFill="1"/>
    <xf numFmtId="191" fontId="15" fillId="7" borderId="0" xfId="3" applyNumberFormat="1" applyFont="1" applyFill="1"/>
    <xf numFmtId="43" fontId="17" fillId="7" borderId="0" xfId="0" applyNumberFormat="1" applyFont="1" applyFill="1"/>
    <xf numFmtId="0" fontId="12" fillId="7" borderId="0" xfId="0" applyFont="1" applyFill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/>
    </xf>
    <xf numFmtId="191" fontId="12" fillId="7" borderId="1" xfId="3" applyNumberFormat="1" applyFont="1" applyFill="1" applyBorder="1" applyAlignment="1">
      <alignment horizontal="center" vertical="center" wrapText="1"/>
    </xf>
    <xf numFmtId="0" fontId="12" fillId="7" borderId="0" xfId="0" applyFont="1" applyFill="1" applyAlignment="1">
      <alignment horizontal="center" vertical="center"/>
    </xf>
    <xf numFmtId="191" fontId="10" fillId="7" borderId="0" xfId="3" applyNumberFormat="1" applyFont="1" applyFill="1"/>
    <xf numFmtId="2" fontId="8" fillId="7" borderId="0" xfId="0" applyNumberFormat="1" applyFont="1" applyFill="1"/>
    <xf numFmtId="0" fontId="8" fillId="7" borderId="1" xfId="0" applyFont="1" applyFill="1" applyBorder="1" applyAlignment="1">
      <alignment horizontal="center" vertical="center" wrapText="1"/>
    </xf>
    <xf numFmtId="3" fontId="8" fillId="7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229" fontId="8" fillId="7" borderId="1" xfId="0" applyNumberFormat="1" applyFont="1" applyFill="1" applyBorder="1" applyAlignment="1">
      <alignment horizontal="center" vertical="center"/>
    </xf>
    <xf numFmtId="3" fontId="8" fillId="7" borderId="1" xfId="3" applyNumberFormat="1" applyFont="1" applyFill="1" applyBorder="1" applyAlignment="1">
      <alignment horizontal="center" vertical="center"/>
    </xf>
    <xf numFmtId="188" fontId="8" fillId="7" borderId="1" xfId="3" applyNumberFormat="1" applyFont="1" applyFill="1" applyBorder="1" applyAlignment="1">
      <alignment horizontal="right" vertical="center"/>
    </xf>
    <xf numFmtId="205" fontId="8" fillId="7" borderId="1" xfId="0" applyNumberFormat="1" applyFont="1" applyFill="1" applyBorder="1" applyAlignment="1">
      <alignment horizontal="center" vertical="center"/>
    </xf>
    <xf numFmtId="205" fontId="15" fillId="7" borderId="1" xfId="0" applyNumberFormat="1" applyFont="1" applyFill="1" applyBorder="1" applyAlignment="1">
      <alignment horizontal="left" vertical="center"/>
    </xf>
    <xf numFmtId="205" fontId="15" fillId="7" borderId="0" xfId="0" applyNumberFormat="1" applyFont="1" applyFill="1" applyAlignment="1">
      <alignment horizontal="left" vertical="center"/>
    </xf>
    <xf numFmtId="3" fontId="10" fillId="7" borderId="0" xfId="0" applyNumberFormat="1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229" fontId="12" fillId="7" borderId="1" xfId="0" applyNumberFormat="1" applyFont="1" applyFill="1" applyBorder="1" applyAlignment="1">
      <alignment horizontal="center" vertical="center"/>
    </xf>
    <xf numFmtId="188" fontId="12" fillId="7" borderId="1" xfId="0" applyNumberFormat="1" applyFont="1" applyFill="1" applyBorder="1" applyAlignment="1">
      <alignment horizontal="right" vertical="center"/>
    </xf>
    <xf numFmtId="2" fontId="12" fillId="7" borderId="0" xfId="0" applyNumberFormat="1" applyFont="1" applyFill="1" applyAlignment="1">
      <alignment horizontal="center" vertical="center"/>
    </xf>
    <xf numFmtId="199" fontId="2" fillId="7" borderId="0" xfId="0" applyNumberFormat="1" applyFont="1" applyFill="1" applyAlignment="1">
      <alignment horizontal="center" vertical="center"/>
    </xf>
    <xf numFmtId="3" fontId="2" fillId="7" borderId="0" xfId="0" applyNumberFormat="1" applyFont="1" applyFill="1" applyAlignment="1">
      <alignment horizontal="center" vertical="center"/>
    </xf>
    <xf numFmtId="0" fontId="13" fillId="7" borderId="0" xfId="0" applyFont="1" applyFill="1" applyAlignment="1">
      <alignment horizontal="center"/>
    </xf>
    <xf numFmtId="199" fontId="2" fillId="7" borderId="0" xfId="0" applyNumberFormat="1" applyFont="1" applyFill="1"/>
    <xf numFmtId="4" fontId="2" fillId="7" borderId="0" xfId="0" applyNumberFormat="1" applyFont="1" applyFill="1"/>
    <xf numFmtId="0" fontId="12" fillId="7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10" fillId="7" borderId="0" xfId="0" applyFont="1" applyFill="1" applyAlignment="1">
      <alignment shrinkToFit="1"/>
    </xf>
    <xf numFmtId="193" fontId="10" fillId="7" borderId="0" xfId="3" applyNumberFormat="1" applyFont="1" applyFill="1"/>
    <xf numFmtId="192" fontId="34" fillId="7" borderId="0" xfId="0" applyNumberFormat="1" applyFont="1" applyFill="1" applyAlignment="1">
      <alignment horizontal="center"/>
    </xf>
    <xf numFmtId="192" fontId="10" fillId="7" borderId="0" xfId="0" applyNumberFormat="1" applyFont="1" applyFill="1"/>
    <xf numFmtId="2" fontId="10" fillId="7" borderId="0" xfId="0" applyNumberFormat="1" applyFont="1" applyFill="1"/>
    <xf numFmtId="0" fontId="11" fillId="7" borderId="0" xfId="0" applyFont="1" applyFill="1"/>
    <xf numFmtId="0" fontId="11" fillId="7" borderId="0" xfId="0" applyFont="1" applyFill="1" applyAlignment="1">
      <alignment horizontal="center"/>
    </xf>
    <xf numFmtId="191" fontId="2" fillId="7" borderId="0" xfId="3" applyNumberFormat="1" applyFont="1" applyFill="1"/>
    <xf numFmtId="0" fontId="2" fillId="7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223" fillId="0" borderId="1" xfId="0" applyFont="1" applyBorder="1" applyAlignment="1">
      <alignment horizontal="center" vertical="center"/>
    </xf>
    <xf numFmtId="0" fontId="131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0" xfId="0" applyFont="1" applyFill="1" applyAlignment="1">
      <alignment horizontal="center" vertical="center" wrapText="1"/>
    </xf>
    <xf numFmtId="0" fontId="16" fillId="0" borderId="0" xfId="0" applyFont="1" applyFill="1" applyAlignment="1">
      <alignment horizontal="center" vertical="center"/>
    </xf>
    <xf numFmtId="203" fontId="20" fillId="0" borderId="0" xfId="8" applyNumberFormat="1" applyFont="1" applyFill="1" applyAlignment="1">
      <alignment horizontal="center"/>
    </xf>
    <xf numFmtId="203" fontId="20" fillId="0" borderId="0" xfId="8" quotePrefix="1" applyNumberFormat="1" applyFont="1" applyFill="1" applyAlignment="1">
      <alignment horizontal="center"/>
    </xf>
    <xf numFmtId="0" fontId="101" fillId="0" borderId="0" xfId="0" applyFont="1" applyFill="1" applyAlignment="1">
      <alignment horizontal="center"/>
    </xf>
    <xf numFmtId="0" fontId="20" fillId="0" borderId="0" xfId="0" applyFont="1" applyFill="1" applyAlignment="1">
      <alignment horizontal="center"/>
    </xf>
    <xf numFmtId="0" fontId="20" fillId="0" borderId="14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20" fillId="0" borderId="15" xfId="0" applyFont="1" applyFill="1" applyBorder="1" applyAlignment="1">
      <alignment horizontal="center" vertical="center" wrapText="1"/>
    </xf>
    <xf numFmtId="0" fontId="20" fillId="0" borderId="20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188" fontId="20" fillId="0" borderId="1" xfId="8" applyNumberFormat="1" applyFont="1" applyFill="1" applyBorder="1" applyAlignment="1">
      <alignment horizontal="center" vertical="center" wrapText="1"/>
    </xf>
    <xf numFmtId="0" fontId="103" fillId="0" borderId="0" xfId="0" applyFont="1" applyAlignment="1">
      <alignment horizontal="center"/>
    </xf>
    <xf numFmtId="0" fontId="273" fillId="0" borderId="1" xfId="0" applyFont="1" applyBorder="1" applyAlignment="1">
      <alignment horizontal="center"/>
    </xf>
    <xf numFmtId="0" fontId="103" fillId="0" borderId="1" xfId="0" applyFont="1" applyBorder="1" applyAlignment="1">
      <alignment horizontal="center"/>
    </xf>
    <xf numFmtId="0" fontId="274" fillId="0" borderId="24" xfId="0" applyFont="1" applyBorder="1" applyAlignment="1">
      <alignment horizontal="left" indent="9"/>
    </xf>
    <xf numFmtId="0" fontId="124" fillId="0" borderId="0" xfId="255" applyFont="1" applyAlignment="1">
      <alignment horizontal="left"/>
    </xf>
    <xf numFmtId="0" fontId="267" fillId="0" borderId="0" xfId="311" applyFont="1" applyFill="1" applyAlignment="1">
      <alignment horizontal="center"/>
    </xf>
    <xf numFmtId="1" fontId="34" fillId="0" borderId="0" xfId="0" applyNumberFormat="1" applyFont="1" applyFill="1" applyBorder="1" applyAlignment="1">
      <alignment horizontal="center" shrinkToFit="1"/>
    </xf>
    <xf numFmtId="1" fontId="11" fillId="0" borderId="0" xfId="0" applyNumberFormat="1" applyFont="1" applyFill="1" applyAlignment="1">
      <alignment horizontal="center" vertical="center"/>
    </xf>
    <xf numFmtId="1" fontId="134" fillId="0" borderId="0" xfId="0" applyNumberFormat="1" applyFont="1" applyFill="1" applyAlignment="1">
      <alignment horizontal="center" shrinkToFit="1"/>
    </xf>
    <xf numFmtId="1" fontId="111" fillId="0" borderId="27" xfId="0" applyNumberFormat="1" applyFont="1" applyFill="1" applyBorder="1" applyAlignment="1">
      <alignment horizontal="center" vertical="center"/>
    </xf>
    <xf numFmtId="1" fontId="111" fillId="0" borderId="21" xfId="0" applyNumberFormat="1" applyFont="1" applyFill="1" applyBorder="1" applyAlignment="1">
      <alignment horizontal="center" vertical="center"/>
    </xf>
    <xf numFmtId="1" fontId="111" fillId="0" borderId="31" xfId="0" applyNumberFormat="1" applyFont="1" applyFill="1" applyBorder="1" applyAlignment="1">
      <alignment horizontal="center" vertical="center"/>
    </xf>
    <xf numFmtId="1" fontId="111" fillId="0" borderId="1" xfId="0" applyNumberFormat="1" applyFont="1" applyFill="1" applyBorder="1" applyAlignment="1">
      <alignment horizontal="center" vertical="center" shrinkToFit="1"/>
    </xf>
    <xf numFmtId="191" fontId="111" fillId="0" borderId="1" xfId="3" applyNumberFormat="1" applyFont="1" applyFill="1" applyBorder="1" applyAlignment="1">
      <alignment horizontal="center" vertical="center" shrinkToFit="1"/>
    </xf>
    <xf numFmtId="1" fontId="134" fillId="0" borderId="27" xfId="0" applyNumberFormat="1" applyFont="1" applyFill="1" applyBorder="1" applyAlignment="1">
      <alignment horizontal="center" vertical="center"/>
    </xf>
    <xf numFmtId="1" fontId="134" fillId="0" borderId="21" xfId="0" applyNumberFormat="1" applyFont="1" applyFill="1" applyBorder="1" applyAlignment="1">
      <alignment horizontal="center" vertical="center"/>
    </xf>
    <xf numFmtId="1" fontId="134" fillId="0" borderId="31" xfId="0" applyNumberFormat="1" applyFont="1" applyFill="1" applyBorder="1" applyAlignment="1">
      <alignment horizontal="center" vertical="center"/>
    </xf>
    <xf numFmtId="1" fontId="134" fillId="0" borderId="1" xfId="0" applyNumberFormat="1" applyFont="1" applyFill="1" applyBorder="1" applyAlignment="1">
      <alignment horizontal="center" vertical="center" shrinkToFit="1"/>
    </xf>
    <xf numFmtId="191" fontId="134" fillId="0" borderId="1" xfId="3" applyNumberFormat="1" applyFont="1" applyFill="1" applyBorder="1" applyAlignment="1">
      <alignment horizontal="center" vertical="center" shrinkToFit="1"/>
    </xf>
    <xf numFmtId="1" fontId="11" fillId="0" borderId="15" xfId="28" applyNumberFormat="1" applyFont="1" applyFill="1" applyBorder="1" applyAlignment="1">
      <alignment horizontal="center" vertical="center" wrapText="1"/>
    </xf>
    <xf numFmtId="1" fontId="11" fillId="0" borderId="20" xfId="28" applyNumberFormat="1" applyFont="1" applyFill="1" applyBorder="1" applyAlignment="1">
      <alignment horizontal="center" vertical="center" wrapText="1"/>
    </xf>
    <xf numFmtId="1" fontId="11" fillId="0" borderId="22" xfId="28" applyNumberFormat="1" applyFont="1" applyFill="1" applyBorder="1" applyAlignment="1">
      <alignment horizontal="center" vertical="center" wrapText="1"/>
    </xf>
    <xf numFmtId="1" fontId="11" fillId="0" borderId="27" xfId="3" applyNumberFormat="1" applyFont="1" applyFill="1" applyBorder="1" applyAlignment="1">
      <alignment horizontal="center" vertical="center"/>
    </xf>
    <xf numFmtId="1" fontId="11" fillId="0" borderId="21" xfId="3" applyNumberFormat="1" applyFont="1" applyFill="1" applyBorder="1" applyAlignment="1">
      <alignment horizontal="center" vertical="center"/>
    </xf>
    <xf numFmtId="1" fontId="11" fillId="0" borderId="31" xfId="3" applyNumberFormat="1" applyFont="1" applyFill="1" applyBorder="1" applyAlignment="1">
      <alignment horizontal="center" vertical="center"/>
    </xf>
    <xf numFmtId="1" fontId="11" fillId="0" borderId="15" xfId="0" applyNumberFormat="1" applyFont="1" applyFill="1" applyBorder="1" applyAlignment="1">
      <alignment horizontal="center" vertical="center" wrapText="1"/>
    </xf>
    <xf numFmtId="1" fontId="11" fillId="0" borderId="20" xfId="0" applyNumberFormat="1" applyFont="1" applyFill="1" applyBorder="1" applyAlignment="1">
      <alignment horizontal="center" vertical="center" wrapText="1"/>
    </xf>
    <xf numFmtId="1" fontId="11" fillId="0" borderId="27" xfId="275" applyNumberFormat="1" applyFont="1" applyFill="1" applyBorder="1" applyAlignment="1">
      <alignment horizontal="center" vertical="center"/>
    </xf>
    <xf numFmtId="1" fontId="11" fillId="0" borderId="21" xfId="275" applyNumberFormat="1" applyFont="1" applyFill="1" applyBorder="1" applyAlignment="1">
      <alignment horizontal="center" vertical="center"/>
    </xf>
    <xf numFmtId="1" fontId="11" fillId="0" borderId="31" xfId="275" applyNumberFormat="1" applyFont="1" applyFill="1" applyBorder="1" applyAlignment="1">
      <alignment horizontal="center" vertical="center"/>
    </xf>
    <xf numFmtId="1" fontId="11" fillId="0" borderId="15" xfId="3" applyNumberFormat="1" applyFont="1" applyFill="1" applyBorder="1" applyAlignment="1">
      <alignment horizontal="center" vertical="center"/>
    </xf>
    <xf numFmtId="1" fontId="11" fillId="0" borderId="20" xfId="3" applyNumberFormat="1" applyFont="1" applyFill="1" applyBorder="1" applyAlignment="1">
      <alignment horizontal="center" vertical="center"/>
    </xf>
    <xf numFmtId="1" fontId="11" fillId="0" borderId="15" xfId="3" applyNumberFormat="1" applyFont="1" applyFill="1" applyBorder="1" applyAlignment="1">
      <alignment horizontal="center" vertical="center" wrapText="1"/>
    </xf>
    <xf numFmtId="1" fontId="11" fillId="0" borderId="20" xfId="3" applyNumberFormat="1" applyFont="1" applyFill="1" applyBorder="1" applyAlignment="1">
      <alignment horizontal="center" vertical="center" wrapText="1"/>
    </xf>
    <xf numFmtId="1" fontId="134" fillId="0" borderId="0" xfId="0" applyNumberFormat="1" applyFont="1" applyFill="1" applyAlignment="1">
      <alignment horizontal="center"/>
    </xf>
    <xf numFmtId="1" fontId="134" fillId="0" borderId="0" xfId="0" applyNumberFormat="1" applyFont="1" applyFill="1" applyAlignment="1">
      <alignment horizontal="center" vertical="center"/>
    </xf>
    <xf numFmtId="1" fontId="111" fillId="0" borderId="0" xfId="0" applyNumberFormat="1" applyFont="1" applyFill="1" applyAlignment="1">
      <alignment horizontal="center" vertical="center"/>
    </xf>
    <xf numFmtId="0" fontId="16" fillId="0" borderId="0" xfId="254" applyFont="1" applyAlignment="1">
      <alignment horizontal="center"/>
    </xf>
    <xf numFmtId="0" fontId="16" fillId="0" borderId="0" xfId="254" applyFont="1" applyAlignment="1">
      <alignment horizontal="left"/>
    </xf>
    <xf numFmtId="0" fontId="11" fillId="0" borderId="0" xfId="254" applyFont="1" applyAlignment="1">
      <alignment horizontal="center"/>
    </xf>
    <xf numFmtId="0" fontId="12" fillId="0" borderId="27" xfId="254" applyFont="1" applyBorder="1" applyAlignment="1">
      <alignment horizontal="center" vertical="center" shrinkToFit="1"/>
    </xf>
    <xf numFmtId="0" fontId="12" fillId="0" borderId="21" xfId="254" applyFont="1" applyBorder="1" applyAlignment="1">
      <alignment horizontal="center" vertical="center" shrinkToFit="1"/>
    </xf>
    <xf numFmtId="192" fontId="147" fillId="0" borderId="24" xfId="11" applyNumberFormat="1" applyFont="1" applyFill="1" applyBorder="1" applyAlignment="1">
      <alignment horizontal="center" vertical="center" shrinkToFit="1"/>
    </xf>
    <xf numFmtId="0" fontId="39" fillId="0" borderId="0" xfId="254" applyFont="1" applyAlignment="1">
      <alignment horizontal="center"/>
    </xf>
    <xf numFmtId="3" fontId="39" fillId="0" borderId="0" xfId="254" applyNumberFormat="1" applyFont="1" applyAlignment="1">
      <alignment horizontal="center"/>
    </xf>
    <xf numFmtId="0" fontId="20" fillId="0" borderId="0" xfId="254" applyFont="1" applyAlignment="1">
      <alignment horizontal="center"/>
    </xf>
    <xf numFmtId="0" fontId="13" fillId="0" borderId="0" xfId="254" applyFont="1" applyAlignment="1">
      <alignment horizontal="center"/>
    </xf>
    <xf numFmtId="0" fontId="25" fillId="0" borderId="0" xfId="254" applyFont="1" applyAlignment="1">
      <alignment horizontal="center" wrapText="1"/>
    </xf>
    <xf numFmtId="0" fontId="25" fillId="0" borderId="0" xfId="254" applyFont="1" applyAlignment="1">
      <alignment horizontal="center"/>
    </xf>
    <xf numFmtId="0" fontId="11" fillId="0" borderId="0" xfId="254" applyFont="1" applyAlignment="1">
      <alignment horizontal="center" vertical="center"/>
    </xf>
    <xf numFmtId="3" fontId="11" fillId="0" borderId="15" xfId="11" applyNumberFormat="1" applyFont="1" applyFill="1" applyBorder="1" applyAlignment="1">
      <alignment horizontal="center" vertical="center" wrapText="1"/>
    </xf>
    <xf numFmtId="3" fontId="11" fillId="0" borderId="22" xfId="11" applyNumberFormat="1" applyFont="1" applyFill="1" applyBorder="1" applyAlignment="1">
      <alignment horizontal="center" vertical="center" wrapText="1"/>
    </xf>
    <xf numFmtId="3" fontId="11" fillId="0" borderId="20" xfId="11" applyNumberFormat="1" applyFont="1" applyFill="1" applyBorder="1" applyAlignment="1">
      <alignment horizontal="center" vertical="center" wrapText="1"/>
    </xf>
    <xf numFmtId="192" fontId="11" fillId="0" borderId="15" xfId="11" applyNumberFormat="1" applyFont="1" applyFill="1" applyBorder="1" applyAlignment="1">
      <alignment horizontal="center" vertical="center" wrapText="1"/>
    </xf>
    <xf numFmtId="192" fontId="11" fillId="0" borderId="22" xfId="11" applyNumberFormat="1" applyFont="1" applyFill="1" applyBorder="1" applyAlignment="1">
      <alignment horizontal="center" vertical="center" wrapText="1"/>
    </xf>
    <xf numFmtId="192" fontId="11" fillId="0" borderId="20" xfId="11" applyNumberFormat="1" applyFont="1" applyFill="1" applyBorder="1" applyAlignment="1">
      <alignment horizontal="center" vertical="center" wrapText="1"/>
    </xf>
    <xf numFmtId="192" fontId="11" fillId="0" borderId="15" xfId="254" applyNumberFormat="1" applyFont="1" applyBorder="1" applyAlignment="1">
      <alignment horizontal="center" vertical="center" wrapText="1"/>
    </xf>
    <xf numFmtId="192" fontId="11" fillId="0" borderId="22" xfId="254" applyNumberFormat="1" applyFont="1" applyBorder="1" applyAlignment="1">
      <alignment horizontal="center" vertical="center" wrapText="1"/>
    </xf>
    <xf numFmtId="192" fontId="11" fillId="0" borderId="20" xfId="254" applyNumberFormat="1" applyFont="1" applyBorder="1" applyAlignment="1">
      <alignment horizontal="center" vertical="center" wrapText="1"/>
    </xf>
    <xf numFmtId="0" fontId="11" fillId="0" borderId="1" xfId="254" applyFont="1" applyBorder="1" applyAlignment="1">
      <alignment horizontal="center" vertical="center" wrapText="1"/>
    </xf>
    <xf numFmtId="0" fontId="13" fillId="0" borderId="1" xfId="254" applyFont="1" applyBorder="1" applyAlignment="1">
      <alignment horizontal="center" vertical="center" wrapText="1"/>
    </xf>
    <xf numFmtId="0" fontId="11" fillId="0" borderId="1" xfId="254" applyFont="1" applyBorder="1" applyAlignment="1">
      <alignment horizontal="center" vertical="center" shrinkToFit="1"/>
    </xf>
    <xf numFmtId="0" fontId="11" fillId="0" borderId="15" xfId="254" applyFont="1" applyBorder="1" applyAlignment="1">
      <alignment horizontal="center" vertical="center" wrapText="1"/>
    </xf>
    <xf numFmtId="0" fontId="11" fillId="0" borderId="22" xfId="254" applyFont="1" applyBorder="1" applyAlignment="1">
      <alignment horizontal="center" vertical="center" wrapText="1"/>
    </xf>
    <xf numFmtId="0" fontId="13" fillId="0" borderId="20" xfId="254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192" fontId="13" fillId="0" borderId="0" xfId="0" applyNumberFormat="1" applyFont="1" applyAlignment="1">
      <alignment horizontal="center"/>
    </xf>
    <xf numFmtId="192" fontId="13" fillId="0" borderId="0" xfId="11" applyNumberFormat="1" applyFont="1" applyFill="1" applyAlignment="1">
      <alignment horizontal="center"/>
    </xf>
    <xf numFmtId="189" fontId="13" fillId="0" borderId="0" xfId="0" applyNumberFormat="1" applyFont="1" applyAlignment="1">
      <alignment horizontal="center" vertical="center"/>
    </xf>
    <xf numFmtId="188" fontId="162" fillId="0" borderId="0" xfId="255" applyNumberFormat="1" applyFont="1" applyAlignment="1">
      <alignment horizontal="center"/>
    </xf>
    <xf numFmtId="0" fontId="162" fillId="0" borderId="0" xfId="255" applyFont="1" applyAlignment="1">
      <alignment horizontal="center"/>
    </xf>
    <xf numFmtId="192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91" fontId="13" fillId="0" borderId="0" xfId="0" applyNumberFormat="1" applyFont="1" applyAlignment="1">
      <alignment horizontal="center"/>
    </xf>
    <xf numFmtId="0" fontId="11" fillId="0" borderId="27" xfId="0" quotePrefix="1" applyFont="1" applyBorder="1" applyAlignment="1">
      <alignment horizontal="left" vertical="center" shrinkToFit="1"/>
    </xf>
    <xf numFmtId="0" fontId="11" fillId="0" borderId="21" xfId="0" quotePrefix="1" applyFont="1" applyBorder="1" applyAlignment="1">
      <alignment horizontal="left" vertical="center" shrinkToFit="1"/>
    </xf>
    <xf numFmtId="0" fontId="11" fillId="0" borderId="31" xfId="0" quotePrefix="1" applyFont="1" applyBorder="1" applyAlignment="1">
      <alignment horizontal="left" vertical="center" shrinkToFit="1"/>
    </xf>
    <xf numFmtId="0" fontId="11" fillId="0" borderId="21" xfId="254" applyFont="1" applyBorder="1" applyAlignment="1">
      <alignment horizontal="left" vertical="center" shrinkToFit="1"/>
    </xf>
    <xf numFmtId="0" fontId="11" fillId="0" borderId="27" xfId="0" applyFont="1" applyBorder="1" applyAlignment="1">
      <alignment horizontal="center" vertical="center" shrinkToFit="1"/>
    </xf>
    <xf numFmtId="0" fontId="11" fillId="0" borderId="21" xfId="0" applyFont="1" applyBorder="1" applyAlignment="1">
      <alignment horizontal="center" vertical="center" shrinkToFit="1"/>
    </xf>
    <xf numFmtId="0" fontId="131" fillId="0" borderId="24" xfId="0" applyFont="1" applyBorder="1" applyAlignment="1">
      <alignment horizontal="center" vertical="center"/>
    </xf>
    <xf numFmtId="222" fontId="13" fillId="0" borderId="0" xfId="0" applyNumberFormat="1" applyFont="1" applyAlignment="1">
      <alignment horizontal="center"/>
    </xf>
    <xf numFmtId="0" fontId="11" fillId="0" borderId="27" xfId="0" applyFont="1" applyBorder="1" applyAlignment="1">
      <alignment horizontal="left" vertical="center" shrinkToFit="1"/>
    </xf>
    <xf numFmtId="0" fontId="11" fillId="0" borderId="21" xfId="0" applyFont="1" applyBorder="1" applyAlignment="1">
      <alignment horizontal="left" vertical="center" shrinkToFit="1"/>
    </xf>
    <xf numFmtId="0" fontId="11" fillId="0" borderId="31" xfId="0" applyFont="1" applyBorder="1" applyAlignment="1">
      <alignment horizontal="left" vertical="center" shrinkToFit="1"/>
    </xf>
    <xf numFmtId="192" fontId="23" fillId="0" borderId="0" xfId="0" applyNumberFormat="1" applyFont="1" applyAlignment="1">
      <alignment horizontal="center" vertical="center"/>
    </xf>
    <xf numFmtId="192" fontId="11" fillId="0" borderId="1" xfId="11" applyNumberFormat="1" applyFont="1" applyFill="1" applyBorder="1" applyAlignment="1">
      <alignment horizontal="center" vertical="center" wrapText="1"/>
    </xf>
    <xf numFmtId="192" fontId="11" fillId="0" borderId="15" xfId="0" applyNumberFormat="1" applyFont="1" applyBorder="1" applyAlignment="1">
      <alignment horizontal="center" vertical="center" wrapText="1"/>
    </xf>
    <xf numFmtId="192" fontId="11" fillId="0" borderId="22" xfId="0" applyNumberFormat="1" applyFont="1" applyBorder="1" applyAlignment="1">
      <alignment horizontal="center" vertical="center" wrapText="1"/>
    </xf>
    <xf numFmtId="192" fontId="11" fillId="0" borderId="20" xfId="0" applyNumberFormat="1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192" fontId="11" fillId="0" borderId="27" xfId="11" applyNumberFormat="1" applyFont="1" applyFill="1" applyBorder="1" applyAlignment="1">
      <alignment horizontal="center" vertical="center"/>
    </xf>
    <xf numFmtId="192" fontId="11" fillId="0" borderId="21" xfId="11" applyNumberFormat="1" applyFont="1" applyFill="1" applyBorder="1" applyAlignment="1">
      <alignment horizontal="center" vertical="center"/>
    </xf>
    <xf numFmtId="192" fontId="11" fillId="0" borderId="31" xfId="11" applyNumberFormat="1" applyFont="1" applyFill="1" applyBorder="1" applyAlignment="1">
      <alignment horizontal="center" vertical="center"/>
    </xf>
    <xf numFmtId="192" fontId="13" fillId="0" borderId="1" xfId="11" applyNumberFormat="1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3" fontId="8" fillId="0" borderId="0" xfId="0" applyNumberFormat="1" applyFont="1" applyAlignment="1">
      <alignment horizontal="center" vertical="center" shrinkToFit="1"/>
    </xf>
    <xf numFmtId="0" fontId="8" fillId="0" borderId="0" xfId="0" applyFont="1" applyAlignment="1">
      <alignment horizontal="right" vertical="center" shrinkToFit="1"/>
    </xf>
    <xf numFmtId="198" fontId="8" fillId="0" borderId="0" xfId="11" applyNumberFormat="1" applyFont="1" applyFill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shrinkToFit="1"/>
    </xf>
    <xf numFmtId="0" fontId="11" fillId="0" borderId="43" xfId="0" applyFont="1" applyBorder="1" applyAlignment="1">
      <alignment horizontal="center" vertical="center" shrinkToFit="1"/>
    </xf>
    <xf numFmtId="0" fontId="11" fillId="0" borderId="29" xfId="0" applyFont="1" applyBorder="1" applyAlignment="1">
      <alignment horizontal="center" vertical="center" shrinkToFit="1"/>
    </xf>
    <xf numFmtId="0" fontId="11" fillId="0" borderId="55" xfId="0" applyFont="1" applyBorder="1" applyAlignment="1">
      <alignment horizontal="center" vertical="center" shrinkToFit="1"/>
    </xf>
    <xf numFmtId="0" fontId="11" fillId="0" borderId="28" xfId="0" applyFont="1" applyBorder="1" applyAlignment="1">
      <alignment horizontal="center" vertical="center" shrinkToFit="1"/>
    </xf>
    <xf numFmtId="0" fontId="11" fillId="0" borderId="54" xfId="0" applyFont="1" applyBorder="1" applyAlignment="1">
      <alignment horizontal="center" vertical="center" shrinkToFit="1"/>
    </xf>
    <xf numFmtId="0" fontId="25" fillId="0" borderId="0" xfId="0" applyFont="1" applyAlignment="1">
      <alignment horizontal="center"/>
    </xf>
    <xf numFmtId="0" fontId="124" fillId="7" borderId="0" xfId="0" applyFont="1" applyFill="1" applyAlignment="1">
      <alignment horizontal="center"/>
    </xf>
    <xf numFmtId="0" fontId="125" fillId="7" borderId="0" xfId="0" applyFont="1" applyFill="1" applyAlignment="1">
      <alignment horizontal="center"/>
    </xf>
    <xf numFmtId="0" fontId="23" fillId="0" borderId="0" xfId="0" applyFont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91" fontId="20" fillId="0" borderId="27" xfId="1" applyNumberFormat="1" applyFont="1" applyBorder="1" applyAlignment="1">
      <alignment horizontal="center"/>
    </xf>
    <xf numFmtId="191" fontId="20" fillId="0" borderId="21" xfId="1" applyNumberFormat="1" applyFont="1" applyBorder="1" applyAlignment="1">
      <alignment horizontal="center"/>
    </xf>
    <xf numFmtId="191" fontId="20" fillId="0" borderId="31" xfId="1" applyNumberFormat="1" applyFont="1" applyBorder="1" applyAlignment="1">
      <alignment horizontal="center"/>
    </xf>
    <xf numFmtId="0" fontId="212" fillId="0" borderId="0" xfId="0" applyFont="1" applyAlignment="1">
      <alignment horizontal="center" vertical="center"/>
    </xf>
    <xf numFmtId="0" fontId="20" fillId="0" borderId="15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0" borderId="31" xfId="0" applyFont="1" applyBorder="1" applyAlignment="1">
      <alignment horizontal="center"/>
    </xf>
    <xf numFmtId="3" fontId="276" fillId="0" borderId="27" xfId="0" applyNumberFormat="1" applyFont="1" applyBorder="1" applyAlignment="1">
      <alignment horizontal="center"/>
    </xf>
    <xf numFmtId="3" fontId="276" fillId="0" borderId="31" xfId="0" applyNumberFormat="1" applyFont="1" applyBorder="1" applyAlignment="1">
      <alignment horizontal="center"/>
    </xf>
    <xf numFmtId="0" fontId="277" fillId="0" borderId="0" xfId="0" applyFont="1" applyAlignment="1">
      <alignment horizontal="center"/>
    </xf>
    <xf numFmtId="0" fontId="276" fillId="0" borderId="0" xfId="0" applyFont="1" applyAlignment="1">
      <alignment horizontal="center"/>
    </xf>
    <xf numFmtId="0" fontId="276" fillId="0" borderId="27" xfId="0" applyFont="1" applyBorder="1" applyAlignment="1">
      <alignment horizontal="center"/>
    </xf>
    <xf numFmtId="0" fontId="276" fillId="0" borderId="31" xfId="0" applyFont="1" applyBorder="1" applyAlignment="1">
      <alignment horizontal="center"/>
    </xf>
    <xf numFmtId="0" fontId="275" fillId="0" borderId="0" xfId="0" applyFont="1" applyAlignment="1">
      <alignment horizontal="center"/>
    </xf>
    <xf numFmtId="0" fontId="275" fillId="0" borderId="27" xfId="0" applyFont="1" applyBorder="1" applyAlignment="1">
      <alignment horizontal="center"/>
    </xf>
    <xf numFmtId="0" fontId="275" fillId="0" borderId="21" xfId="0" applyFont="1" applyBorder="1" applyAlignment="1">
      <alignment horizontal="center"/>
    </xf>
    <xf numFmtId="0" fontId="275" fillId="0" borderId="31" xfId="0" applyFont="1" applyBorder="1" applyAlignment="1">
      <alignment horizontal="center"/>
    </xf>
    <xf numFmtId="3" fontId="275" fillId="0" borderId="27" xfId="0" applyNumberFormat="1" applyFont="1" applyBorder="1" applyAlignment="1">
      <alignment horizontal="center"/>
    </xf>
    <xf numFmtId="3" fontId="275" fillId="0" borderId="31" xfId="0" applyNumberFormat="1" applyFont="1" applyBorder="1" applyAlignment="1">
      <alignment horizontal="center"/>
    </xf>
    <xf numFmtId="0" fontId="276" fillId="0" borderId="1" xfId="0" applyFont="1" applyBorder="1" applyAlignment="1">
      <alignment horizontal="center"/>
    </xf>
    <xf numFmtId="0" fontId="275" fillId="0" borderId="0" xfId="28" applyFont="1" applyAlignment="1">
      <alignment horizontal="center"/>
    </xf>
    <xf numFmtId="0" fontId="276" fillId="0" borderId="0" xfId="28" applyFont="1" applyAlignment="1">
      <alignment horizontal="center"/>
    </xf>
    <xf numFmtId="192" fontId="114" fillId="7" borderId="15" xfId="1" applyNumberFormat="1" applyFont="1" applyFill="1" applyBorder="1" applyAlignment="1">
      <alignment horizontal="center" vertical="center" wrapText="1"/>
    </xf>
    <xf numFmtId="192" fontId="114" fillId="7" borderId="22" xfId="1" applyNumberFormat="1" applyFont="1" applyFill="1" applyBorder="1" applyAlignment="1">
      <alignment horizontal="center" vertical="center" wrapText="1"/>
    </xf>
    <xf numFmtId="192" fontId="114" fillId="7" borderId="20" xfId="1" applyNumberFormat="1" applyFont="1" applyFill="1" applyBorder="1" applyAlignment="1">
      <alignment horizontal="center" vertical="center" wrapText="1"/>
    </xf>
    <xf numFmtId="0" fontId="210" fillId="7" borderId="15" xfId="275" applyFont="1" applyFill="1" applyBorder="1" applyAlignment="1">
      <alignment horizontal="center" vertical="center" shrinkToFit="1"/>
    </xf>
    <xf numFmtId="0" fontId="210" fillId="7" borderId="20" xfId="275" applyFont="1" applyFill="1" applyBorder="1" applyAlignment="1">
      <alignment horizontal="center" vertical="center" shrinkToFit="1"/>
    </xf>
    <xf numFmtId="192" fontId="210" fillId="7" borderId="15" xfId="1" applyNumberFormat="1" applyFont="1" applyFill="1" applyBorder="1" applyAlignment="1">
      <alignment horizontal="center" vertical="center" wrapText="1"/>
    </xf>
    <xf numFmtId="192" fontId="210" fillId="7" borderId="22" xfId="1" applyNumberFormat="1" applyFont="1" applyFill="1" applyBorder="1" applyAlignment="1">
      <alignment horizontal="center" vertical="center" wrapText="1"/>
    </xf>
    <xf numFmtId="192" fontId="210" fillId="7" borderId="20" xfId="1" applyNumberFormat="1" applyFont="1" applyFill="1" applyBorder="1" applyAlignment="1">
      <alignment horizontal="center" vertical="center" wrapText="1"/>
    </xf>
    <xf numFmtId="0" fontId="245" fillId="7" borderId="0" xfId="275" applyFont="1" applyFill="1" applyAlignment="1">
      <alignment horizontal="center" vertical="center"/>
    </xf>
    <xf numFmtId="0" fontId="134" fillId="7" borderId="0" xfId="275" applyFont="1" applyFill="1" applyAlignment="1">
      <alignment horizontal="center" vertical="center"/>
    </xf>
    <xf numFmtId="0" fontId="134" fillId="7" borderId="27" xfId="275" applyFont="1" applyFill="1" applyBorder="1" applyAlignment="1">
      <alignment horizontal="center" vertical="center" shrinkToFit="1"/>
    </xf>
    <xf numFmtId="0" fontId="134" fillId="7" borderId="21" xfId="275" applyFont="1" applyFill="1" applyBorder="1" applyAlignment="1">
      <alignment horizontal="center" vertical="center" shrinkToFit="1"/>
    </xf>
    <xf numFmtId="0" fontId="134" fillId="7" borderId="31" xfId="275" applyFont="1" applyFill="1" applyBorder="1" applyAlignment="1">
      <alignment horizontal="center" vertical="center" shrinkToFit="1"/>
    </xf>
    <xf numFmtId="0" fontId="114" fillId="7" borderId="15" xfId="275" applyFont="1" applyFill="1" applyBorder="1" applyAlignment="1">
      <alignment horizontal="center" vertical="center" shrinkToFit="1"/>
    </xf>
    <xf numFmtId="0" fontId="114" fillId="7" borderId="20" xfId="275" applyFont="1" applyFill="1" applyBorder="1" applyAlignment="1">
      <alignment horizontal="center" vertical="center" shrinkToFit="1"/>
    </xf>
    <xf numFmtId="0" fontId="157" fillId="7" borderId="0" xfId="275" applyFont="1" applyFill="1" applyAlignment="1">
      <alignment horizontal="center" vertical="center"/>
    </xf>
    <xf numFmtId="0" fontId="210" fillId="7" borderId="27" xfId="275" applyFont="1" applyFill="1" applyBorder="1" applyAlignment="1">
      <alignment horizontal="center" vertical="center"/>
    </xf>
    <xf numFmtId="0" fontId="210" fillId="7" borderId="31" xfId="275" applyFont="1" applyFill="1" applyBorder="1" applyAlignment="1">
      <alignment horizontal="center" vertical="center"/>
    </xf>
    <xf numFmtId="0" fontId="210" fillId="7" borderId="1" xfId="275" applyFont="1" applyFill="1" applyBorder="1" applyAlignment="1">
      <alignment horizontal="center" vertical="center"/>
    </xf>
    <xf numFmtId="1" fontId="157" fillId="7" borderId="24" xfId="13" applyNumberFormat="1" applyFont="1" applyFill="1" applyBorder="1" applyAlignment="1">
      <alignment horizontal="center" vertical="center" wrapText="1"/>
    </xf>
    <xf numFmtId="0" fontId="210" fillId="7" borderId="0" xfId="275" applyFont="1" applyFill="1" applyAlignment="1">
      <alignment horizontal="center" vertical="center"/>
    </xf>
    <xf numFmtId="43" fontId="210" fillId="7" borderId="15" xfId="13" applyFont="1" applyFill="1" applyBorder="1" applyAlignment="1">
      <alignment horizontal="center" vertical="center" wrapText="1"/>
    </xf>
    <xf numFmtId="43" fontId="210" fillId="7" borderId="22" xfId="13" applyFont="1" applyFill="1" applyBorder="1" applyAlignment="1">
      <alignment horizontal="center" vertical="center" wrapText="1"/>
    </xf>
    <xf numFmtId="43" fontId="210" fillId="7" borderId="20" xfId="13" applyFont="1" applyFill="1" applyBorder="1" applyAlignment="1">
      <alignment horizontal="center" vertical="center" wrapText="1"/>
    </xf>
    <xf numFmtId="0" fontId="114" fillId="7" borderId="15" xfId="28" applyFont="1" applyFill="1" applyBorder="1" applyAlignment="1">
      <alignment horizontal="center" vertical="center" wrapText="1"/>
    </xf>
    <xf numFmtId="0" fontId="114" fillId="7" borderId="22" xfId="28" applyFont="1" applyFill="1" applyBorder="1" applyAlignment="1">
      <alignment horizontal="center" vertical="center" wrapText="1"/>
    </xf>
    <xf numFmtId="0" fontId="114" fillId="7" borderId="20" xfId="28" applyFont="1" applyFill="1" applyBorder="1" applyAlignment="1">
      <alignment horizontal="center" vertical="center" wrapText="1"/>
    </xf>
    <xf numFmtId="0" fontId="210" fillId="7" borderId="15" xfId="28" applyFont="1" applyFill="1" applyBorder="1" applyAlignment="1">
      <alignment horizontal="center" vertical="center" wrapText="1"/>
    </xf>
    <xf numFmtId="0" fontId="210" fillId="7" borderId="22" xfId="28" applyFont="1" applyFill="1" applyBorder="1" applyAlignment="1">
      <alignment horizontal="center" vertical="center" wrapText="1"/>
    </xf>
    <xf numFmtId="0" fontId="210" fillId="7" borderId="20" xfId="28" applyFont="1" applyFill="1" applyBorder="1" applyAlignment="1">
      <alignment horizontal="center" vertical="center" wrapText="1"/>
    </xf>
    <xf numFmtId="193" fontId="210" fillId="7" borderId="15" xfId="1" applyNumberFormat="1" applyFont="1" applyFill="1" applyBorder="1" applyAlignment="1">
      <alignment horizontal="center" vertical="center" wrapText="1"/>
    </xf>
    <xf numFmtId="193" fontId="210" fillId="7" borderId="22" xfId="1" applyNumberFormat="1" applyFont="1" applyFill="1" applyBorder="1" applyAlignment="1">
      <alignment horizontal="center" vertical="center" wrapText="1"/>
    </xf>
    <xf numFmtId="193" fontId="210" fillId="7" borderId="20" xfId="1" applyNumberFormat="1" applyFont="1" applyFill="1" applyBorder="1" applyAlignment="1">
      <alignment horizontal="center" vertical="center" wrapText="1"/>
    </xf>
    <xf numFmtId="0" fontId="210" fillId="7" borderId="0" xfId="0" applyFont="1" applyFill="1" applyAlignment="1">
      <alignment horizontal="center" vertical="center"/>
    </xf>
    <xf numFmtId="0" fontId="114" fillId="7" borderId="0" xfId="0" applyFont="1" applyFill="1" applyAlignment="1">
      <alignment horizontal="center" vertical="center"/>
    </xf>
    <xf numFmtId="0" fontId="210" fillId="7" borderId="15" xfId="0" applyFont="1" applyFill="1" applyBorder="1" applyAlignment="1">
      <alignment horizontal="center" vertical="center" wrapText="1"/>
    </xf>
    <xf numFmtId="0" fontId="210" fillId="7" borderId="20" xfId="0" applyFont="1" applyFill="1" applyBorder="1" applyAlignment="1">
      <alignment horizontal="center" vertical="center"/>
    </xf>
    <xf numFmtId="0" fontId="114" fillId="7" borderId="14" xfId="275" applyFont="1" applyFill="1" applyBorder="1" applyAlignment="1">
      <alignment horizontal="center" vertical="center"/>
    </xf>
    <xf numFmtId="43" fontId="210" fillId="7" borderId="20" xfId="13" applyFont="1" applyFill="1" applyBorder="1" applyAlignment="1">
      <alignment horizontal="center" vertical="center"/>
    </xf>
    <xf numFmtId="1" fontId="134" fillId="0" borderId="27" xfId="0" applyNumberFormat="1" applyFont="1" applyFill="1" applyBorder="1" applyAlignment="1">
      <alignment horizontal="center" vertical="center" shrinkToFit="1"/>
    </xf>
    <xf numFmtId="1" fontId="134" fillId="0" borderId="21" xfId="0" applyNumberFormat="1" applyFont="1" applyFill="1" applyBorder="1" applyAlignment="1">
      <alignment horizontal="center" vertical="center" shrinkToFit="1"/>
    </xf>
    <xf numFmtId="1" fontId="134" fillId="0" borderId="31" xfId="0" applyNumberFormat="1" applyFont="1" applyFill="1" applyBorder="1" applyAlignment="1">
      <alignment horizontal="center" vertical="center" shrinkToFit="1"/>
    </xf>
    <xf numFmtId="1" fontId="11" fillId="0" borderId="1" xfId="3" applyNumberFormat="1" applyFont="1" applyFill="1" applyBorder="1" applyAlignment="1">
      <alignment horizontal="center" vertical="center"/>
    </xf>
    <xf numFmtId="1" fontId="11" fillId="0" borderId="1" xfId="3" applyNumberFormat="1" applyFont="1" applyFill="1" applyBorder="1" applyAlignment="1">
      <alignment horizontal="center" vertical="center" wrapText="1"/>
    </xf>
    <xf numFmtId="1" fontId="11" fillId="0" borderId="1" xfId="28" applyNumberFormat="1" applyFont="1" applyFill="1" applyBorder="1" applyAlignment="1">
      <alignment horizontal="center" wrapText="1"/>
    </xf>
    <xf numFmtId="1" fontId="11" fillId="0" borderId="1" xfId="28" applyNumberFormat="1" applyFont="1" applyFill="1" applyBorder="1" applyAlignment="1">
      <alignment horizontal="center"/>
    </xf>
    <xf numFmtId="1" fontId="11" fillId="0" borderId="1" xfId="28" applyNumberFormat="1" applyFont="1" applyFill="1" applyBorder="1" applyAlignment="1">
      <alignment horizontal="center" vertical="center" wrapText="1"/>
    </xf>
    <xf numFmtId="1" fontId="11" fillId="0" borderId="1" xfId="275" applyNumberFormat="1" applyFont="1" applyFill="1" applyBorder="1" applyAlignment="1">
      <alignment horizontal="center" vertical="center"/>
    </xf>
    <xf numFmtId="1" fontId="11" fillId="0" borderId="1" xfId="0" applyNumberFormat="1" applyFont="1" applyFill="1" applyBorder="1" applyAlignment="1">
      <alignment horizontal="center" vertical="center"/>
    </xf>
    <xf numFmtId="1" fontId="11" fillId="0" borderId="1" xfId="0" applyNumberFormat="1" applyFont="1" applyFill="1" applyBorder="1" applyAlignment="1">
      <alignment horizontal="center" vertical="center" wrapText="1"/>
    </xf>
    <xf numFmtId="0" fontId="92" fillId="0" borderId="15" xfId="0" applyFont="1" applyBorder="1" applyAlignment="1">
      <alignment horizontal="center" vertical="center"/>
    </xf>
    <xf numFmtId="0" fontId="92" fillId="0" borderId="22" xfId="0" applyFont="1" applyBorder="1" applyAlignment="1">
      <alignment horizontal="center" vertical="center"/>
    </xf>
    <xf numFmtId="4" fontId="92" fillId="0" borderId="0" xfId="0" applyNumberFormat="1" applyFont="1" applyAlignment="1">
      <alignment horizontal="center"/>
    </xf>
    <xf numFmtId="0" fontId="93" fillId="0" borderId="1" xfId="0" applyFont="1" applyBorder="1" applyAlignment="1">
      <alignment horizontal="center" vertical="center" wrapText="1"/>
    </xf>
    <xf numFmtId="0" fontId="107" fillId="0" borderId="0" xfId="0" applyFont="1" applyAlignment="1">
      <alignment horizontal="center"/>
    </xf>
    <xf numFmtId="4" fontId="93" fillId="0" borderId="0" xfId="0" applyNumberFormat="1" applyFont="1" applyAlignment="1">
      <alignment horizontal="center"/>
    </xf>
    <xf numFmtId="0" fontId="93" fillId="0" borderId="0" xfId="0" applyFont="1" applyAlignment="1">
      <alignment horizontal="center"/>
    </xf>
    <xf numFmtId="0" fontId="95" fillId="0" borderId="28" xfId="0" applyFont="1" applyBorder="1" applyAlignment="1">
      <alignment horizontal="center" vertical="center" wrapText="1"/>
    </xf>
    <xf numFmtId="0" fontId="95" fillId="0" borderId="54" xfId="0" applyFont="1" applyBorder="1" applyAlignment="1">
      <alignment horizontal="center" vertical="center" wrapText="1"/>
    </xf>
    <xf numFmtId="0" fontId="77" fillId="3" borderId="1" xfId="0" applyFont="1" applyFill="1" applyBorder="1" applyAlignment="1">
      <alignment horizontal="center" vertical="center" shrinkToFit="1"/>
    </xf>
    <xf numFmtId="0" fontId="77" fillId="7" borderId="1" xfId="0" applyFont="1" applyFill="1" applyBorder="1" applyAlignment="1">
      <alignment horizontal="center" vertical="center" shrinkToFit="1"/>
    </xf>
    <xf numFmtId="2" fontId="93" fillId="0" borderId="0" xfId="0" applyNumberFormat="1" applyFont="1" applyAlignment="1">
      <alignment horizontal="center"/>
    </xf>
    <xf numFmtId="0" fontId="93" fillId="0" borderId="15" xfId="0" applyFont="1" applyBorder="1" applyAlignment="1">
      <alignment horizontal="center" vertical="center" wrapText="1"/>
    </xf>
    <xf numFmtId="0" fontId="93" fillId="0" borderId="22" xfId="0" applyFont="1" applyBorder="1" applyAlignment="1">
      <alignment horizontal="center" vertical="center" wrapText="1"/>
    </xf>
    <xf numFmtId="0" fontId="136" fillId="7" borderId="53" xfId="0" applyFont="1" applyFill="1" applyBorder="1" applyAlignment="1">
      <alignment horizontal="center" vertical="center" wrapText="1"/>
    </xf>
    <xf numFmtId="0" fontId="136" fillId="7" borderId="43" xfId="0" applyFont="1" applyFill="1" applyBorder="1" applyAlignment="1">
      <alignment horizontal="center" vertical="center" wrapText="1"/>
    </xf>
    <xf numFmtId="0" fontId="136" fillId="7" borderId="29" xfId="0" applyFont="1" applyFill="1" applyBorder="1" applyAlignment="1">
      <alignment horizontal="center" vertical="center" wrapText="1"/>
    </xf>
    <xf numFmtId="0" fontId="136" fillId="7" borderId="55" xfId="0" applyFont="1" applyFill="1" applyBorder="1" applyAlignment="1">
      <alignment horizontal="center" vertical="center" wrapText="1"/>
    </xf>
    <xf numFmtId="0" fontId="136" fillId="7" borderId="28" xfId="0" applyFont="1" applyFill="1" applyBorder="1" applyAlignment="1">
      <alignment horizontal="center" vertical="center" wrapText="1"/>
    </xf>
    <xf numFmtId="0" fontId="136" fillId="7" borderId="54" xfId="0" applyFont="1" applyFill="1" applyBorder="1" applyAlignment="1">
      <alignment horizontal="center" vertical="center" wrapText="1"/>
    </xf>
    <xf numFmtId="43" fontId="178" fillId="7" borderId="14" xfId="1" applyFont="1" applyFill="1" applyBorder="1" applyAlignment="1">
      <alignment horizontal="center"/>
    </xf>
    <xf numFmtId="188" fontId="77" fillId="0" borderId="1" xfId="28" applyNumberFormat="1" applyFont="1" applyFill="1" applyBorder="1" applyAlignment="1">
      <alignment horizontal="center" vertical="center"/>
    </xf>
    <xf numFmtId="0" fontId="136" fillId="7" borderId="1" xfId="0" applyFont="1" applyFill="1" applyBorder="1" applyAlignment="1">
      <alignment horizontal="center" vertical="center" wrapText="1"/>
    </xf>
    <xf numFmtId="192" fontId="136" fillId="7" borderId="27" xfId="1" applyNumberFormat="1" applyFont="1" applyFill="1" applyBorder="1" applyAlignment="1">
      <alignment horizontal="center" vertical="center"/>
    </xf>
    <xf numFmtId="192" fontId="136" fillId="7" borderId="21" xfId="1" applyNumberFormat="1" applyFont="1" applyFill="1" applyBorder="1" applyAlignment="1">
      <alignment horizontal="center" vertical="center"/>
    </xf>
    <xf numFmtId="192" fontId="136" fillId="7" borderId="31" xfId="1" applyNumberFormat="1" applyFont="1" applyFill="1" applyBorder="1" applyAlignment="1">
      <alignment horizontal="center" vertical="center"/>
    </xf>
    <xf numFmtId="0" fontId="136" fillId="7" borderId="15" xfId="1" applyNumberFormat="1" applyFont="1" applyFill="1" applyBorder="1" applyAlignment="1">
      <alignment horizontal="center" vertical="center" wrapText="1"/>
    </xf>
    <xf numFmtId="0" fontId="136" fillId="7" borderId="20" xfId="1" applyNumberFormat="1" applyFont="1" applyFill="1" applyBorder="1" applyAlignment="1">
      <alignment horizontal="center" vertical="center" wrapText="1"/>
    </xf>
    <xf numFmtId="0" fontId="136" fillId="7" borderId="27" xfId="1" applyNumberFormat="1" applyFont="1" applyFill="1" applyBorder="1" applyAlignment="1">
      <alignment horizontal="center" vertical="center" wrapText="1"/>
    </xf>
    <xf numFmtId="0" fontId="136" fillId="7" borderId="21" xfId="1" applyNumberFormat="1" applyFont="1" applyFill="1" applyBorder="1" applyAlignment="1">
      <alignment horizontal="center" vertical="center" wrapText="1"/>
    </xf>
    <xf numFmtId="0" fontId="136" fillId="7" borderId="15" xfId="0" applyFont="1" applyFill="1" applyBorder="1" applyAlignment="1">
      <alignment horizontal="center" vertical="center" wrapText="1"/>
    </xf>
    <xf numFmtId="0" fontId="136" fillId="7" borderId="22" xfId="0" applyFont="1" applyFill="1" applyBorder="1" applyAlignment="1">
      <alignment horizontal="center" vertical="center" wrapText="1"/>
    </xf>
    <xf numFmtId="0" fontId="136" fillId="7" borderId="20" xfId="0" applyFont="1" applyFill="1" applyBorder="1" applyAlignment="1">
      <alignment horizontal="center" vertical="center" wrapText="1"/>
    </xf>
    <xf numFmtId="192" fontId="136" fillId="7" borderId="1" xfId="1" applyNumberFormat="1" applyFont="1" applyFill="1" applyBorder="1" applyAlignment="1">
      <alignment horizontal="center" vertical="center" wrapText="1"/>
    </xf>
    <xf numFmtId="192" fontId="223" fillId="7" borderId="1" xfId="1" applyNumberFormat="1" applyFont="1" applyFill="1" applyBorder="1" applyAlignment="1">
      <alignment horizontal="center" vertical="center" wrapText="1"/>
    </xf>
    <xf numFmtId="0" fontId="136" fillId="7" borderId="15" xfId="0" applyFont="1" applyFill="1" applyBorder="1" applyAlignment="1">
      <alignment horizontal="center" vertical="center" shrinkToFit="1"/>
    </xf>
    <xf numFmtId="0" fontId="136" fillId="7" borderId="22" xfId="0" applyFont="1" applyFill="1" applyBorder="1" applyAlignment="1">
      <alignment horizontal="center" vertical="center" shrinkToFit="1"/>
    </xf>
    <xf numFmtId="0" fontId="136" fillId="7" borderId="20" xfId="0" applyFont="1" applyFill="1" applyBorder="1" applyAlignment="1">
      <alignment horizontal="center" vertical="center" shrinkToFit="1"/>
    </xf>
    <xf numFmtId="192" fontId="125" fillId="7" borderId="0" xfId="1" applyNumberFormat="1" applyFont="1" applyFill="1" applyAlignment="1">
      <alignment horizontal="center"/>
    </xf>
    <xf numFmtId="3" fontId="125" fillId="7" borderId="0" xfId="0" applyNumberFormat="1" applyFont="1" applyFill="1" applyAlignment="1">
      <alignment horizontal="center"/>
    </xf>
    <xf numFmtId="0" fontId="136" fillId="7" borderId="0" xfId="0" applyFont="1" applyFill="1" applyAlignment="1">
      <alignment horizontal="center" vertical="center"/>
    </xf>
    <xf numFmtId="0" fontId="124" fillId="7" borderId="0" xfId="0" applyFont="1" applyFill="1" applyAlignment="1">
      <alignment horizontal="center" vertical="center"/>
    </xf>
    <xf numFmtId="1" fontId="136" fillId="7" borderId="27" xfId="0" quotePrefix="1" applyNumberFormat="1" applyFont="1" applyFill="1" applyBorder="1" applyAlignment="1">
      <alignment horizontal="center" vertical="center" wrapText="1"/>
    </xf>
    <xf numFmtId="1" fontId="136" fillId="7" borderId="31" xfId="0" quotePrefix="1" applyNumberFormat="1" applyFont="1" applyFill="1" applyBorder="1" applyAlignment="1">
      <alignment horizontal="center" vertical="center" wrapText="1"/>
    </xf>
    <xf numFmtId="224" fontId="177" fillId="7" borderId="0" xfId="1" applyNumberFormat="1" applyFont="1" applyFill="1" applyAlignment="1">
      <alignment horizontal="center"/>
    </xf>
    <xf numFmtId="0" fontId="136" fillId="7" borderId="1" xfId="0" applyFont="1" applyFill="1" applyBorder="1" applyAlignment="1">
      <alignment horizontal="center" vertical="center" shrinkToFit="1"/>
    </xf>
    <xf numFmtId="1" fontId="136" fillId="7" borderId="1" xfId="0" applyNumberFormat="1" applyFont="1" applyFill="1" applyBorder="1" applyAlignment="1">
      <alignment horizontal="center" wrapText="1"/>
    </xf>
    <xf numFmtId="1" fontId="136" fillId="7" borderId="1" xfId="0" applyNumberFormat="1" applyFont="1" applyFill="1" applyBorder="1" applyAlignment="1">
      <alignment horizontal="center" vertical="center" wrapText="1"/>
    </xf>
    <xf numFmtId="191" fontId="136" fillId="7" borderId="1" xfId="1" applyNumberFormat="1" applyFont="1" applyFill="1" applyBorder="1" applyAlignment="1">
      <alignment horizontal="center" wrapText="1"/>
    </xf>
    <xf numFmtId="0" fontId="212" fillId="7" borderId="1" xfId="0" applyFont="1" applyFill="1" applyBorder="1" applyAlignment="1">
      <alignment horizontal="center" vertical="center" shrinkToFit="1"/>
    </xf>
    <xf numFmtId="0" fontId="218" fillId="7" borderId="0" xfId="0" applyFont="1" applyFill="1" applyAlignment="1">
      <alignment horizontal="center" vertical="center"/>
    </xf>
    <xf numFmtId="199" fontId="36" fillId="0" borderId="27" xfId="0" applyNumberFormat="1" applyFont="1" applyFill="1" applyBorder="1" applyAlignment="1">
      <alignment horizontal="center" vertical="center"/>
    </xf>
    <xf numFmtId="199" fontId="36" fillId="0" borderId="21" xfId="0" applyNumberFormat="1" applyFont="1" applyFill="1" applyBorder="1" applyAlignment="1">
      <alignment horizontal="center" vertical="center"/>
    </xf>
    <xf numFmtId="199" fontId="36" fillId="0" borderId="31" xfId="0" applyNumberFormat="1" applyFont="1" applyFill="1" applyBorder="1" applyAlignment="1">
      <alignment horizontal="center" vertical="center"/>
    </xf>
    <xf numFmtId="199" fontId="11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/>
    </xf>
    <xf numFmtId="199" fontId="11" fillId="0" borderId="27" xfId="0" applyNumberFormat="1" applyFont="1" applyFill="1" applyBorder="1" applyAlignment="1">
      <alignment horizontal="center" vertical="center"/>
    </xf>
    <xf numFmtId="199" fontId="11" fillId="0" borderId="21" xfId="0" applyNumberFormat="1" applyFont="1" applyFill="1" applyBorder="1" applyAlignment="1">
      <alignment horizontal="center" vertical="center"/>
    </xf>
    <xf numFmtId="199" fontId="36" fillId="0" borderId="43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99" fontId="11" fillId="0" borderId="31" xfId="0" applyNumberFormat="1" applyFont="1" applyFill="1" applyBorder="1" applyAlignment="1">
      <alignment horizontal="center" vertical="center"/>
    </xf>
    <xf numFmtId="199" fontId="36" fillId="0" borderId="0" xfId="0" applyNumberFormat="1" applyFont="1" applyFill="1" applyBorder="1" applyAlignment="1">
      <alignment horizontal="center" vertical="center"/>
    </xf>
    <xf numFmtId="191" fontId="266" fillId="0" borderId="0" xfId="1" applyNumberFormat="1" applyFont="1" applyAlignment="1">
      <alignment horizontal="center"/>
    </xf>
    <xf numFmtId="0" fontId="219" fillId="7" borderId="0" xfId="0" applyFont="1" applyFill="1" applyAlignment="1">
      <alignment horizontal="center" vertical="center"/>
    </xf>
    <xf numFmtId="0" fontId="77" fillId="0" borderId="14" xfId="0" applyFont="1" applyBorder="1" applyAlignment="1">
      <alignment horizontal="center"/>
    </xf>
    <xf numFmtId="0" fontId="124" fillId="7" borderId="1" xfId="0" applyFont="1" applyFill="1" applyBorder="1" applyAlignment="1">
      <alignment horizontal="center" vertical="center" wrapText="1"/>
    </xf>
    <xf numFmtId="0" fontId="125" fillId="7" borderId="1" xfId="0" applyFont="1" applyFill="1" applyBorder="1" applyAlignment="1">
      <alignment horizontal="center" vertical="center" wrapText="1"/>
    </xf>
    <xf numFmtId="0" fontId="124" fillId="7" borderId="1" xfId="0" applyFont="1" applyFill="1" applyBorder="1" applyAlignment="1">
      <alignment horizontal="center" vertical="center" shrinkToFit="1"/>
    </xf>
    <xf numFmtId="192" fontId="129" fillId="7" borderId="1" xfId="1" applyNumberFormat="1" applyFont="1" applyFill="1" applyBorder="1" applyAlignment="1">
      <alignment horizontal="center" vertical="center" wrapText="1"/>
    </xf>
    <xf numFmtId="192" fontId="124" fillId="7" borderId="1" xfId="1" applyNumberFormat="1" applyFont="1" applyFill="1" applyBorder="1" applyAlignment="1">
      <alignment horizontal="center" vertical="center" wrapText="1"/>
    </xf>
    <xf numFmtId="188" fontId="20" fillId="0" borderId="1" xfId="28" applyNumberFormat="1" applyFont="1" applyFill="1" applyBorder="1" applyAlignment="1">
      <alignment horizontal="center" vertical="center"/>
    </xf>
    <xf numFmtId="0" fontId="124" fillId="7" borderId="1" xfId="1" applyNumberFormat="1" applyFont="1" applyFill="1" applyBorder="1" applyAlignment="1">
      <alignment horizontal="center" vertical="center" wrapText="1"/>
    </xf>
    <xf numFmtId="192" fontId="124" fillId="7" borderId="1" xfId="1" applyNumberFormat="1" applyFont="1" applyFill="1" applyBorder="1" applyAlignment="1">
      <alignment horizontal="center" vertical="center"/>
    </xf>
    <xf numFmtId="192" fontId="136" fillId="7" borderId="1" xfId="1" applyNumberFormat="1" applyFont="1" applyFill="1" applyBorder="1" applyAlignment="1">
      <alignment horizontal="center" vertical="center"/>
    </xf>
    <xf numFmtId="0" fontId="136" fillId="7" borderId="1" xfId="1" applyNumberFormat="1" applyFont="1" applyFill="1" applyBorder="1" applyAlignment="1">
      <alignment horizontal="center" vertical="center" wrapText="1"/>
    </xf>
    <xf numFmtId="0" fontId="20" fillId="0" borderId="27" xfId="0" applyFont="1" applyFill="1" applyBorder="1" applyAlignment="1">
      <alignment horizontal="center" vertical="center"/>
    </xf>
    <xf numFmtId="0" fontId="20" fillId="0" borderId="21" xfId="0" applyFont="1" applyFill="1" applyBorder="1" applyAlignment="1">
      <alignment horizontal="center" vertical="center"/>
    </xf>
    <xf numFmtId="0" fontId="20" fillId="0" borderId="31" xfId="0" applyFont="1" applyFill="1" applyBorder="1" applyAlignment="1">
      <alignment horizontal="center" vertical="center"/>
    </xf>
    <xf numFmtId="0" fontId="24" fillId="0" borderId="27" xfId="0" applyFont="1" applyFill="1" applyBorder="1" applyAlignment="1">
      <alignment horizontal="left" vertical="center" wrapText="1"/>
    </xf>
    <xf numFmtId="0" fontId="24" fillId="0" borderId="21" xfId="0" applyFont="1" applyFill="1" applyBorder="1" applyAlignment="1">
      <alignment horizontal="left" vertical="center" wrapText="1"/>
    </xf>
    <xf numFmtId="0" fontId="24" fillId="0" borderId="31" xfId="0" applyFont="1" applyFill="1" applyBorder="1" applyAlignment="1">
      <alignment horizontal="left" vertical="center" wrapText="1"/>
    </xf>
    <xf numFmtId="0" fontId="24" fillId="0" borderId="27" xfId="0" applyFont="1" applyFill="1" applyBorder="1" applyAlignment="1">
      <alignment horizontal="left" vertical="center"/>
    </xf>
    <xf numFmtId="0" fontId="24" fillId="0" borderId="21" xfId="0" applyFont="1" applyFill="1" applyBorder="1" applyAlignment="1">
      <alignment horizontal="left" vertical="center"/>
    </xf>
    <xf numFmtId="0" fontId="24" fillId="0" borderId="31" xfId="0" applyFont="1" applyFill="1" applyBorder="1" applyAlignment="1">
      <alignment horizontal="left" vertical="center"/>
    </xf>
    <xf numFmtId="202" fontId="10" fillId="0" borderId="0" xfId="0" applyNumberFormat="1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20" fillId="0" borderId="0" xfId="0" applyFont="1" applyFill="1" applyAlignment="1">
      <alignment horizontal="left" indent="11"/>
    </xf>
    <xf numFmtId="4" fontId="10" fillId="0" borderId="0" xfId="0" applyNumberFormat="1" applyFont="1" applyFill="1" applyAlignment="1">
      <alignment horizontal="center"/>
    </xf>
    <xf numFmtId="3" fontId="10" fillId="0" borderId="0" xfId="0" applyNumberFormat="1" applyFont="1" applyFill="1" applyAlignment="1">
      <alignment horizontal="center"/>
    </xf>
    <xf numFmtId="218" fontId="185" fillId="0" borderId="0" xfId="0" applyNumberFormat="1" applyFont="1" applyFill="1" applyAlignment="1">
      <alignment horizontal="center"/>
    </xf>
    <xf numFmtId="0" fontId="185" fillId="0" borderId="0" xfId="0" applyFont="1" applyFill="1" applyAlignment="1">
      <alignment horizontal="center"/>
    </xf>
    <xf numFmtId="0" fontId="131" fillId="0" borderId="1" xfId="0" applyFont="1" applyFill="1" applyBorder="1" applyAlignment="1">
      <alignment horizontal="center" vertical="center"/>
    </xf>
    <xf numFmtId="0" fontId="23" fillId="0" borderId="24" xfId="0" applyFont="1" applyFill="1" applyBorder="1" applyAlignment="1">
      <alignment horizontal="center"/>
    </xf>
    <xf numFmtId="0" fontId="25" fillId="0" borderId="0" xfId="0" applyFont="1" applyFill="1" applyAlignment="1">
      <alignment horizontal="center"/>
    </xf>
    <xf numFmtId="188" fontId="20" fillId="0" borderId="0" xfId="8" applyNumberFormat="1" applyFont="1" applyFill="1" applyAlignment="1">
      <alignment horizontal="center"/>
    </xf>
    <xf numFmtId="188" fontId="20" fillId="0" borderId="0" xfId="8" quotePrefix="1" applyNumberFormat="1" applyFont="1" applyFill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20" fillId="0" borderId="53" xfId="0" applyFont="1" applyFill="1" applyBorder="1" applyAlignment="1">
      <alignment horizontal="center" vertical="center"/>
    </xf>
    <xf numFmtId="0" fontId="20" fillId="0" borderId="43" xfId="0" applyFont="1" applyFill="1" applyBorder="1" applyAlignment="1">
      <alignment horizontal="center" vertical="center"/>
    </xf>
    <xf numFmtId="0" fontId="20" fillId="0" borderId="28" xfId="0" applyFont="1" applyFill="1" applyBorder="1" applyAlignment="1">
      <alignment horizontal="center" vertical="center"/>
    </xf>
    <xf numFmtId="0" fontId="20" fillId="0" borderId="54" xfId="0" applyFont="1" applyFill="1" applyBorder="1" applyAlignment="1">
      <alignment horizontal="center" vertical="center"/>
    </xf>
    <xf numFmtId="0" fontId="124" fillId="7" borderId="27" xfId="0" applyFont="1" applyFill="1" applyBorder="1" applyAlignment="1">
      <alignment horizontal="center" vertical="center" shrinkToFit="1"/>
    </xf>
    <xf numFmtId="0" fontId="124" fillId="7" borderId="21" xfId="0" applyFont="1" applyFill="1" applyBorder="1" applyAlignment="1">
      <alignment horizontal="center" vertical="center" shrinkToFit="1"/>
    </xf>
    <xf numFmtId="0" fontId="124" fillId="7" borderId="31" xfId="0" applyFont="1" applyFill="1" applyBorder="1" applyAlignment="1">
      <alignment horizontal="center" vertical="center" shrinkToFit="1"/>
    </xf>
    <xf numFmtId="0" fontId="212" fillId="7" borderId="27" xfId="0" applyFont="1" applyFill="1" applyBorder="1" applyAlignment="1">
      <alignment horizontal="center" vertical="center" shrinkToFit="1"/>
    </xf>
    <xf numFmtId="0" fontId="212" fillId="7" borderId="21" xfId="0" applyFont="1" applyFill="1" applyBorder="1" applyAlignment="1">
      <alignment horizontal="center" vertical="center" shrinkToFit="1"/>
    </xf>
    <xf numFmtId="0" fontId="212" fillId="7" borderId="31" xfId="0" applyFont="1" applyFill="1" applyBorder="1" applyAlignment="1">
      <alignment horizontal="center" vertical="center" shrinkToFit="1"/>
    </xf>
    <xf numFmtId="0" fontId="124" fillId="7" borderId="27" xfId="1" applyNumberFormat="1" applyFont="1" applyFill="1" applyBorder="1" applyAlignment="1">
      <alignment horizontal="center" vertical="center" wrapText="1"/>
    </xf>
    <xf numFmtId="0" fontId="124" fillId="7" borderId="21" xfId="1" applyNumberFormat="1" applyFont="1" applyFill="1" applyBorder="1" applyAlignment="1">
      <alignment horizontal="center" vertical="center" wrapText="1"/>
    </xf>
    <xf numFmtId="0" fontId="124" fillId="7" borderId="31" xfId="1" applyNumberFormat="1" applyFont="1" applyFill="1" applyBorder="1" applyAlignment="1">
      <alignment horizontal="center" vertical="center" wrapText="1"/>
    </xf>
    <xf numFmtId="192" fontId="124" fillId="7" borderId="27" xfId="1" applyNumberFormat="1" applyFont="1" applyFill="1" applyBorder="1" applyAlignment="1">
      <alignment horizontal="center" vertical="center"/>
    </xf>
    <xf numFmtId="192" fontId="124" fillId="7" borderId="21" xfId="1" applyNumberFormat="1" applyFont="1" applyFill="1" applyBorder="1" applyAlignment="1">
      <alignment horizontal="center" vertical="center"/>
    </xf>
    <xf numFmtId="192" fontId="124" fillId="7" borderId="31" xfId="1" applyNumberFormat="1" applyFont="1" applyFill="1" applyBorder="1" applyAlignment="1">
      <alignment horizontal="center" vertical="center"/>
    </xf>
    <xf numFmtId="0" fontId="77" fillId="0" borderId="0" xfId="0" applyFont="1" applyAlignment="1">
      <alignment horizontal="center" vertical="center"/>
    </xf>
    <xf numFmtId="3" fontId="22" fillId="7" borderId="0" xfId="0" applyNumberFormat="1" applyFont="1" applyFill="1" applyAlignment="1">
      <alignment horizontal="center"/>
    </xf>
    <xf numFmtId="0" fontId="22" fillId="7" borderId="0" xfId="0" applyFont="1" applyFill="1" applyAlignment="1">
      <alignment horizontal="center"/>
    </xf>
    <xf numFmtId="0" fontId="20" fillId="7" borderId="0" xfId="0" applyFont="1" applyFill="1" applyAlignment="1">
      <alignment horizontal="center"/>
    </xf>
    <xf numFmtId="192" fontId="23" fillId="7" borderId="24" xfId="0" applyNumberFormat="1" applyFont="1" applyFill="1" applyBorder="1" applyAlignment="1">
      <alignment horizontal="center" vertical="center"/>
    </xf>
    <xf numFmtId="224" fontId="150" fillId="7" borderId="0" xfId="1" applyNumberFormat="1" applyFont="1" applyFill="1" applyAlignment="1">
      <alignment horizontal="center"/>
    </xf>
    <xf numFmtId="43" fontId="101" fillId="7" borderId="14" xfId="1" applyFont="1" applyFill="1" applyBorder="1" applyAlignment="1">
      <alignment horizontal="left"/>
    </xf>
    <xf numFmtId="0" fontId="20" fillId="7" borderId="15" xfId="0" applyFont="1" applyFill="1" applyBorder="1" applyAlignment="1">
      <alignment horizontal="center" vertical="center" wrapText="1"/>
    </xf>
    <xf numFmtId="0" fontId="20" fillId="7" borderId="20" xfId="0" applyFont="1" applyFill="1" applyBorder="1" applyAlignment="1">
      <alignment horizontal="center" vertical="center" wrapText="1"/>
    </xf>
    <xf numFmtId="0" fontId="20" fillId="7" borderId="15" xfId="0" applyFont="1" applyFill="1" applyBorder="1" applyAlignment="1">
      <alignment horizontal="center" vertical="center" shrinkToFit="1"/>
    </xf>
    <xf numFmtId="0" fontId="20" fillId="7" borderId="20" xfId="0" applyFont="1" applyFill="1" applyBorder="1" applyAlignment="1">
      <alignment horizontal="center" vertical="center" shrinkToFit="1"/>
    </xf>
    <xf numFmtId="0" fontId="20" fillId="7" borderId="1" xfId="0" applyFont="1" applyFill="1" applyBorder="1" applyAlignment="1">
      <alignment horizontal="center" vertical="center" shrinkToFit="1"/>
    </xf>
    <xf numFmtId="0" fontId="20" fillId="7" borderId="1" xfId="0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 wrapText="1"/>
    </xf>
    <xf numFmtId="192" fontId="20" fillId="7" borderId="1" xfId="1" applyNumberFormat="1" applyFont="1" applyFill="1" applyBorder="1" applyAlignment="1">
      <alignment horizontal="center" vertical="center" wrapText="1"/>
    </xf>
    <xf numFmtId="0" fontId="20" fillId="7" borderId="1" xfId="1" applyNumberFormat="1" applyFont="1" applyFill="1" applyBorder="1" applyAlignment="1">
      <alignment horizontal="center" vertical="center" wrapText="1"/>
    </xf>
    <xf numFmtId="0" fontId="16" fillId="7" borderId="0" xfId="0" applyFont="1" applyFill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5" fillId="0" borderId="0" xfId="0" applyFont="1" applyAlignment="1">
      <alignment horizontal="center"/>
    </xf>
    <xf numFmtId="0" fontId="22" fillId="0" borderId="0" xfId="0" quotePrefix="1" applyFont="1" applyAlignment="1">
      <alignment horizontal="center"/>
    </xf>
    <xf numFmtId="3" fontId="20" fillId="0" borderId="0" xfId="0" applyNumberFormat="1" applyFont="1" applyAlignment="1">
      <alignment horizontal="center"/>
    </xf>
    <xf numFmtId="0" fontId="2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0" xfId="0" applyFont="1" applyAlignment="1">
      <alignment horizontal="left" vertical="center" indent="2"/>
    </xf>
    <xf numFmtId="0" fontId="23" fillId="0" borderId="0" xfId="0" applyFont="1" applyAlignment="1">
      <alignment horizontal="left"/>
    </xf>
    <xf numFmtId="0" fontId="212" fillId="0" borderId="1" xfId="0" applyFont="1" applyBorder="1" applyAlignment="1">
      <alignment horizontal="center" vertical="center"/>
    </xf>
    <xf numFmtId="218" fontId="22" fillId="0" borderId="0" xfId="0" applyNumberFormat="1" applyFont="1" applyFill="1" applyAlignment="1">
      <alignment horizontal="center"/>
    </xf>
    <xf numFmtId="0" fontId="28" fillId="0" borderId="27" xfId="0" applyFont="1" applyFill="1" applyBorder="1" applyAlignment="1">
      <alignment horizontal="left" vertical="center" wrapText="1"/>
    </xf>
    <xf numFmtId="0" fontId="28" fillId="0" borderId="21" xfId="0" applyFont="1" applyFill="1" applyBorder="1" applyAlignment="1">
      <alignment horizontal="left" vertical="center" wrapText="1"/>
    </xf>
    <xf numFmtId="0" fontId="28" fillId="0" borderId="31" xfId="0" applyFont="1" applyFill="1" applyBorder="1" applyAlignment="1">
      <alignment horizontal="left" vertical="center" wrapText="1"/>
    </xf>
    <xf numFmtId="0" fontId="28" fillId="0" borderId="27" xfId="0" applyFont="1" applyFill="1" applyBorder="1" applyAlignment="1">
      <alignment horizontal="left" vertical="center"/>
    </xf>
    <xf numFmtId="0" fontId="28" fillId="0" borderId="21" xfId="0" applyFont="1" applyFill="1" applyBorder="1" applyAlignment="1">
      <alignment horizontal="left" vertical="center"/>
    </xf>
    <xf numFmtId="0" fontId="28" fillId="0" borderId="31" xfId="0" applyFont="1" applyFill="1" applyBorder="1" applyAlignment="1">
      <alignment horizontal="left" vertical="center"/>
    </xf>
    <xf numFmtId="0" fontId="20" fillId="0" borderId="0" xfId="0" applyFont="1" applyFill="1" applyAlignment="1">
      <alignment horizontal="left" indent="7"/>
    </xf>
    <xf numFmtId="0" fontId="20" fillId="0" borderId="0" xfId="0" applyFont="1" applyFill="1" applyAlignment="1">
      <alignment horizontal="left" indent="8"/>
    </xf>
    <xf numFmtId="0" fontId="268" fillId="0" borderId="27" xfId="0" applyFont="1" applyFill="1" applyBorder="1" applyAlignment="1">
      <alignment horizontal="center" vertical="center"/>
    </xf>
    <xf numFmtId="0" fontId="268" fillId="0" borderId="21" xfId="0" applyFont="1" applyFill="1" applyBorder="1" applyAlignment="1">
      <alignment horizontal="center" vertical="center"/>
    </xf>
    <xf numFmtId="0" fontId="268" fillId="0" borderId="31" xfId="0" applyFont="1" applyFill="1" applyBorder="1" applyAlignment="1">
      <alignment horizontal="center" vertical="center"/>
    </xf>
    <xf numFmtId="0" fontId="11" fillId="0" borderId="27" xfId="0" applyFont="1" applyFill="1" applyBorder="1" applyAlignment="1">
      <alignment horizontal="center" vertical="center"/>
    </xf>
    <xf numFmtId="0" fontId="11" fillId="0" borderId="21" xfId="0" applyFont="1" applyFill="1" applyBorder="1" applyAlignment="1">
      <alignment horizontal="center" vertical="center"/>
    </xf>
    <xf numFmtId="0" fontId="11" fillId="0" borderId="31" xfId="0" applyFont="1" applyFill="1" applyBorder="1" applyAlignment="1">
      <alignment horizontal="center" vertical="center"/>
    </xf>
    <xf numFmtId="0" fontId="11" fillId="0" borderId="53" xfId="0" applyFont="1" applyFill="1" applyBorder="1" applyAlignment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center" vertical="center"/>
    </xf>
    <xf numFmtId="0" fontId="11" fillId="0" borderId="54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1" fillId="0" borderId="15" xfId="0" applyFont="1" applyFill="1" applyBorder="1" applyAlignment="1">
      <alignment horizontal="center" vertical="center" wrapText="1"/>
    </xf>
    <xf numFmtId="0" fontId="11" fillId="0" borderId="20" xfId="0" applyFont="1" applyFill="1" applyBorder="1" applyAlignment="1">
      <alignment horizontal="center" vertical="center" wrapText="1"/>
    </xf>
    <xf numFmtId="0" fontId="66" fillId="0" borderId="0" xfId="0" applyFont="1" applyAlignment="1">
      <alignment horizontal="center"/>
    </xf>
    <xf numFmtId="0" fontId="66" fillId="0" borderId="0" xfId="26" applyFont="1" applyAlignment="1">
      <alignment horizontal="center"/>
    </xf>
    <xf numFmtId="0" fontId="259" fillId="0" borderId="0" xfId="26" applyFont="1" applyAlignment="1">
      <alignment horizontal="center"/>
    </xf>
    <xf numFmtId="0" fontId="51" fillId="0" borderId="0" xfId="0" applyFont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/>
    </xf>
    <xf numFmtId="0" fontId="65" fillId="0" borderId="0" xfId="26" applyFont="1" applyAlignment="1">
      <alignment horizontal="center"/>
    </xf>
    <xf numFmtId="0" fontId="260" fillId="0" borderId="1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77" fillId="0" borderId="0" xfId="0" applyFont="1" applyBorder="1" applyAlignment="1">
      <alignment horizontal="center"/>
    </xf>
    <xf numFmtId="0" fontId="138" fillId="0" borderId="1" xfId="0" applyFont="1" applyBorder="1" applyAlignment="1">
      <alignment horizontal="center"/>
    </xf>
    <xf numFmtId="0" fontId="5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51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51" fillId="0" borderId="0" xfId="0" quotePrefix="1" applyFont="1" applyAlignment="1">
      <alignment horizontal="center" vertical="top"/>
    </xf>
    <xf numFmtId="0" fontId="92" fillId="0" borderId="0" xfId="0" applyFont="1" applyAlignment="1">
      <alignment horizontal="center"/>
    </xf>
    <xf numFmtId="0" fontId="93" fillId="0" borderId="1" xfId="0" applyFont="1" applyBorder="1" applyAlignment="1">
      <alignment horizontal="center" vertical="center"/>
    </xf>
    <xf numFmtId="0" fontId="131" fillId="0" borderId="24" xfId="0" applyFont="1" applyBorder="1" applyAlignment="1">
      <alignment horizontal="center"/>
    </xf>
    <xf numFmtId="192" fontId="23" fillId="0" borderId="0" xfId="0" applyNumberFormat="1" applyFont="1" applyAlignment="1">
      <alignment horizontal="right"/>
    </xf>
    <xf numFmtId="0" fontId="124" fillId="0" borderId="0" xfId="0" applyFont="1" applyAlignment="1">
      <alignment horizontal="center"/>
    </xf>
    <xf numFmtId="191" fontId="124" fillId="0" borderId="1" xfId="1" applyNumberFormat="1" applyFont="1" applyFill="1" applyBorder="1" applyAlignment="1">
      <alignment horizontal="center" vertical="center" wrapText="1"/>
    </xf>
    <xf numFmtId="191" fontId="124" fillId="0" borderId="1" xfId="1" applyNumberFormat="1" applyFont="1" applyFill="1" applyBorder="1" applyAlignment="1">
      <alignment horizontal="center" vertical="center"/>
    </xf>
    <xf numFmtId="0" fontId="124" fillId="0" borderId="1" xfId="0" applyFont="1" applyBorder="1" applyAlignment="1">
      <alignment horizontal="center" vertical="center" wrapText="1"/>
    </xf>
    <xf numFmtId="0" fontId="124" fillId="0" borderId="1" xfId="0" applyFont="1" applyBorder="1" applyAlignment="1">
      <alignment horizontal="center" vertical="center"/>
    </xf>
    <xf numFmtId="0" fontId="130" fillId="0" borderId="0" xfId="0" applyFont="1" applyAlignment="1">
      <alignment horizontal="center"/>
    </xf>
    <xf numFmtId="0" fontId="124" fillId="0" borderId="0" xfId="0" quotePrefix="1" applyFont="1" applyAlignment="1">
      <alignment horizontal="center"/>
    </xf>
    <xf numFmtId="0" fontId="132" fillId="0" borderId="0" xfId="0" applyFont="1" applyAlignment="1">
      <alignment horizontal="center" vertical="center"/>
    </xf>
    <xf numFmtId="0" fontId="125" fillId="0" borderId="0" xfId="0" applyFont="1" applyAlignment="1">
      <alignment horizontal="center" vertical="center"/>
    </xf>
    <xf numFmtId="0" fontId="125" fillId="0" borderId="0" xfId="0" applyFont="1" applyAlignment="1">
      <alignment horizontal="center"/>
    </xf>
    <xf numFmtId="0" fontId="124" fillId="0" borderId="1" xfId="0" applyFont="1" applyBorder="1" applyAlignment="1">
      <alignment horizontal="left" vertical="center"/>
    </xf>
    <xf numFmtId="191" fontId="124" fillId="0" borderId="15" xfId="1" applyNumberFormat="1" applyFont="1" applyFill="1" applyBorder="1" applyAlignment="1">
      <alignment horizontal="center" vertical="center" wrapText="1"/>
    </xf>
    <xf numFmtId="191" fontId="124" fillId="0" borderId="22" xfId="1" applyNumberFormat="1" applyFont="1" applyFill="1" applyBorder="1" applyAlignment="1">
      <alignment horizontal="center" vertical="center" wrapText="1"/>
    </xf>
    <xf numFmtId="191" fontId="124" fillId="0" borderId="20" xfId="1" applyNumberFormat="1" applyFont="1" applyFill="1" applyBorder="1" applyAlignment="1">
      <alignment horizontal="center" vertical="center" wrapText="1"/>
    </xf>
    <xf numFmtId="0" fontId="124" fillId="0" borderId="53" xfId="0" applyFont="1" applyBorder="1" applyAlignment="1">
      <alignment horizontal="center" vertical="center" wrapText="1"/>
    </xf>
    <xf numFmtId="0" fontId="124" fillId="0" borderId="28" xfId="0" applyFont="1" applyBorder="1" applyAlignment="1">
      <alignment horizontal="center" vertical="center" wrapText="1"/>
    </xf>
    <xf numFmtId="0" fontId="133" fillId="0" borderId="0" xfId="0" applyFont="1" applyAlignment="1">
      <alignment horizontal="center" vertical="center"/>
    </xf>
    <xf numFmtId="0" fontId="124" fillId="0" borderId="15" xfId="0" applyFont="1" applyBorder="1" applyAlignment="1">
      <alignment horizontal="center" vertical="center" wrapText="1"/>
    </xf>
    <xf numFmtId="0" fontId="124" fillId="0" borderId="22" xfId="0" applyFont="1" applyBorder="1" applyAlignment="1">
      <alignment horizontal="center" vertical="center" wrapText="1"/>
    </xf>
    <xf numFmtId="0" fontId="124" fillId="0" borderId="20" xfId="0" applyFont="1" applyBorder="1" applyAlignment="1">
      <alignment horizontal="center" vertical="center" wrapText="1"/>
    </xf>
    <xf numFmtId="0" fontId="124" fillId="0" borderId="27" xfId="0" applyFont="1" applyBorder="1" applyAlignment="1">
      <alignment horizontal="center" vertical="center" shrinkToFit="1"/>
    </xf>
    <xf numFmtId="0" fontId="124" fillId="0" borderId="21" xfId="0" applyFont="1" applyBorder="1" applyAlignment="1">
      <alignment horizontal="center" vertical="center" shrinkToFit="1"/>
    </xf>
    <xf numFmtId="0" fontId="124" fillId="0" borderId="31" xfId="0" applyFont="1" applyBorder="1" applyAlignment="1">
      <alignment horizontal="center" vertical="center" shrinkToFit="1"/>
    </xf>
    <xf numFmtId="191" fontId="124" fillId="0" borderId="20" xfId="1" applyNumberFormat="1" applyFont="1" applyFill="1" applyBorder="1" applyAlignment="1">
      <alignment horizontal="center" vertical="center"/>
    </xf>
    <xf numFmtId="0" fontId="124" fillId="0" borderId="27" xfId="0" applyFont="1" applyBorder="1" applyAlignment="1">
      <alignment horizontal="center" vertical="center" wrapText="1"/>
    </xf>
    <xf numFmtId="0" fontId="124" fillId="0" borderId="21" xfId="0" applyFont="1" applyBorder="1" applyAlignment="1">
      <alignment horizontal="center" vertical="center" wrapText="1"/>
    </xf>
    <xf numFmtId="0" fontId="124" fillId="0" borderId="31" xfId="0" applyFont="1" applyBorder="1" applyAlignment="1">
      <alignment horizontal="center" vertical="center" wrapText="1"/>
    </xf>
    <xf numFmtId="0" fontId="124" fillId="0" borderId="27" xfId="0" applyFont="1" applyBorder="1" applyAlignment="1">
      <alignment horizontal="left" vertical="center"/>
    </xf>
    <xf numFmtId="0" fontId="124" fillId="0" borderId="31" xfId="0" applyFont="1" applyBorder="1" applyAlignment="1">
      <alignment horizontal="left" vertical="center"/>
    </xf>
    <xf numFmtId="0" fontId="77" fillId="0" borderId="21" xfId="255" applyFont="1" applyBorder="1" applyAlignment="1">
      <alignment horizontal="left" vertical="center"/>
    </xf>
    <xf numFmtId="0" fontId="77" fillId="0" borderId="31" xfId="255" applyFont="1" applyBorder="1" applyAlignment="1">
      <alignment horizontal="left" vertical="center"/>
    </xf>
    <xf numFmtId="191" fontId="124" fillId="0" borderId="27" xfId="1" applyNumberFormat="1" applyFont="1" applyFill="1" applyBorder="1" applyAlignment="1">
      <alignment horizontal="center" vertical="center" wrapText="1"/>
    </xf>
    <xf numFmtId="191" fontId="124" fillId="0" borderId="21" xfId="1" applyNumberFormat="1" applyFont="1" applyFill="1" applyBorder="1" applyAlignment="1">
      <alignment horizontal="center" vertical="center" wrapText="1"/>
    </xf>
    <xf numFmtId="191" fontId="124" fillId="0" borderId="31" xfId="1" applyNumberFormat="1" applyFont="1" applyFill="1" applyBorder="1" applyAlignment="1">
      <alignment horizontal="center" vertical="center" wrapText="1"/>
    </xf>
    <xf numFmtId="0" fontId="124" fillId="0" borderId="27" xfId="0" applyFont="1" applyBorder="1" applyAlignment="1">
      <alignment horizontal="center" vertical="center"/>
    </xf>
    <xf numFmtId="0" fontId="124" fillId="0" borderId="21" xfId="0" applyFont="1" applyBorder="1" applyAlignment="1">
      <alignment horizontal="center" vertical="center"/>
    </xf>
    <xf numFmtId="0" fontId="124" fillId="0" borderId="31" xfId="0" applyFont="1" applyBorder="1" applyAlignment="1">
      <alignment horizontal="center" vertical="center"/>
    </xf>
    <xf numFmtId="0" fontId="124" fillId="0" borderId="20" xfId="0" applyFont="1" applyBorder="1" applyAlignment="1">
      <alignment horizontal="center" vertical="center"/>
    </xf>
    <xf numFmtId="191" fontId="124" fillId="0" borderId="1" xfId="1" applyNumberFormat="1" applyFont="1" applyFill="1" applyBorder="1" applyAlignment="1">
      <alignment horizontal="center" wrapText="1"/>
    </xf>
    <xf numFmtId="0" fontId="124" fillId="0" borderId="43" xfId="0" applyFont="1" applyBorder="1" applyAlignment="1">
      <alignment horizontal="center" vertical="center" wrapText="1"/>
    </xf>
    <xf numFmtId="0" fontId="124" fillId="0" borderId="54" xfId="0" applyFont="1" applyBorder="1" applyAlignment="1">
      <alignment horizontal="center" vertical="center" wrapText="1"/>
    </xf>
    <xf numFmtId="0" fontId="124" fillId="0" borderId="53" xfId="0" applyFont="1" applyBorder="1" applyAlignment="1">
      <alignment horizontal="center" wrapText="1"/>
    </xf>
    <xf numFmtId="0" fontId="124" fillId="0" borderId="24" xfId="0" applyFont="1" applyBorder="1" applyAlignment="1">
      <alignment horizontal="center" wrapText="1"/>
    </xf>
    <xf numFmtId="0" fontId="124" fillId="0" borderId="43" xfId="0" applyFont="1" applyBorder="1" applyAlignment="1">
      <alignment horizontal="center" wrapText="1"/>
    </xf>
    <xf numFmtId="0" fontId="124" fillId="0" borderId="28" xfId="0" applyFont="1" applyBorder="1" applyAlignment="1">
      <alignment horizontal="center" wrapText="1"/>
    </xf>
    <xf numFmtId="0" fontId="124" fillId="0" borderId="14" xfId="0" applyFont="1" applyBorder="1" applyAlignment="1">
      <alignment horizontal="center" wrapText="1"/>
    </xf>
    <xf numFmtId="0" fontId="124" fillId="0" borderId="54" xfId="0" applyFont="1" applyBorder="1" applyAlignment="1">
      <alignment horizontal="center" wrapText="1"/>
    </xf>
    <xf numFmtId="0" fontId="130" fillId="0" borderId="0" xfId="0" applyFont="1" applyAlignment="1">
      <alignment horizontal="center" vertical="center"/>
    </xf>
    <xf numFmtId="0" fontId="34" fillId="0" borderId="24" xfId="0" applyFont="1" applyBorder="1" applyAlignment="1">
      <alignment horizontal="right"/>
    </xf>
    <xf numFmtId="0" fontId="58" fillId="0" borderId="0" xfId="0" applyFont="1" applyAlignment="1">
      <alignment horizontal="center"/>
    </xf>
    <xf numFmtId="0" fontId="13" fillId="7" borderId="0" xfId="275" applyFont="1" applyFill="1" applyAlignment="1">
      <alignment horizontal="center"/>
    </xf>
    <xf numFmtId="0" fontId="134" fillId="0" borderId="0" xfId="0" applyFont="1" applyAlignment="1">
      <alignment horizontal="center"/>
    </xf>
    <xf numFmtId="0" fontId="58" fillId="7" borderId="0" xfId="275" applyFont="1" applyFill="1" applyAlignment="1">
      <alignment horizontal="center"/>
    </xf>
    <xf numFmtId="0" fontId="16" fillId="0" borderId="0" xfId="0" applyFont="1" applyAlignment="1">
      <alignment horizontal="center" wrapText="1"/>
    </xf>
    <xf numFmtId="0" fontId="11" fillId="0" borderId="27" xfId="0" applyFont="1" applyBorder="1" applyAlignment="1">
      <alignment horizontal="center"/>
    </xf>
    <xf numFmtId="0" fontId="11" fillId="0" borderId="31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145" fillId="0" borderId="1" xfId="0" applyFont="1" applyBorder="1" applyAlignment="1">
      <alignment horizontal="center" vertical="center" wrapText="1"/>
    </xf>
    <xf numFmtId="0" fontId="145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7" xfId="0" applyFont="1" applyBorder="1" applyAlignment="1">
      <alignment horizontal="left" vertical="center" wrapText="1"/>
    </xf>
    <xf numFmtId="0" fontId="2" fillId="0" borderId="67" xfId="0" applyFont="1" applyBorder="1" applyAlignment="1">
      <alignment horizontal="left" vertical="center"/>
    </xf>
    <xf numFmtId="0" fontId="145" fillId="0" borderId="15" xfId="0" applyFont="1" applyBorder="1" applyAlignment="1">
      <alignment horizontal="center" vertical="center" wrapText="1"/>
    </xf>
    <xf numFmtId="0" fontId="145" fillId="0" borderId="20" xfId="0" applyFont="1" applyBorder="1" applyAlignment="1">
      <alignment horizontal="center" vertical="center" wrapText="1"/>
    </xf>
    <xf numFmtId="0" fontId="34" fillId="0" borderId="0" xfId="0" applyFont="1" applyAlignment="1">
      <alignment horizontal="right" vertical="center"/>
    </xf>
    <xf numFmtId="0" fontId="14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1" fillId="0" borderId="0" xfId="0" applyFont="1" applyAlignment="1">
      <alignment horizontal="center" vertical="center"/>
    </xf>
    <xf numFmtId="0" fontId="77" fillId="0" borderId="0" xfId="0" applyFont="1" applyFill="1" applyAlignment="1">
      <alignment horizontal="center"/>
    </xf>
    <xf numFmtId="203" fontId="77" fillId="0" borderId="0" xfId="8" applyNumberFormat="1" applyFont="1" applyFill="1" applyAlignment="1">
      <alignment horizontal="center"/>
    </xf>
    <xf numFmtId="0" fontId="77" fillId="0" borderId="0" xfId="0" quotePrefix="1" applyFont="1" applyFill="1" applyAlignment="1">
      <alignment horizontal="center" vertical="center"/>
    </xf>
    <xf numFmtId="0" fontId="2" fillId="7" borderId="0" xfId="0" applyFont="1" applyFill="1" applyAlignment="1">
      <alignment horizontal="center"/>
    </xf>
    <xf numFmtId="0" fontId="12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/>
    </xf>
    <xf numFmtId="192" fontId="34" fillId="7" borderId="0" xfId="0" applyNumberFormat="1" applyFont="1" applyFill="1" applyAlignment="1">
      <alignment horizontal="center"/>
    </xf>
    <xf numFmtId="0" fontId="11" fillId="7" borderId="0" xfId="0" applyFont="1" applyFill="1" applyAlignment="1">
      <alignment horizontal="center"/>
    </xf>
    <xf numFmtId="0" fontId="268" fillId="7" borderId="1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 vertical="center" wrapText="1"/>
    </xf>
    <xf numFmtId="0" fontId="12" fillId="7" borderId="20" xfId="0" applyFont="1" applyFill="1" applyBorder="1" applyAlignment="1">
      <alignment horizontal="center" vertical="center" wrapText="1"/>
    </xf>
    <xf numFmtId="0" fontId="36" fillId="7" borderId="1" xfId="0" applyFont="1" applyFill="1" applyBorder="1" applyAlignment="1">
      <alignment horizontal="center" vertical="center" wrapText="1"/>
    </xf>
    <xf numFmtId="0" fontId="8" fillId="7" borderId="27" xfId="0" applyFont="1" applyFill="1" applyBorder="1" applyAlignment="1">
      <alignment horizontal="left" vertical="center"/>
    </xf>
    <xf numFmtId="0" fontId="8" fillId="7" borderId="31" xfId="0" applyFont="1" applyFill="1" applyBorder="1" applyAlignment="1">
      <alignment horizontal="left" vertical="center"/>
    </xf>
    <xf numFmtId="0" fontId="21" fillId="7" borderId="0" xfId="0" applyFont="1" applyFill="1" applyAlignment="1">
      <alignment horizontal="left"/>
    </xf>
    <xf numFmtId="0" fontId="12" fillId="7" borderId="53" xfId="0" applyFont="1" applyFill="1" applyBorder="1" applyAlignment="1">
      <alignment horizontal="center" vertical="center"/>
    </xf>
    <xf numFmtId="0" fontId="12" fillId="7" borderId="43" xfId="0" applyFont="1" applyFill="1" applyBorder="1" applyAlignment="1">
      <alignment horizontal="center" vertical="center"/>
    </xf>
    <xf numFmtId="0" fontId="12" fillId="7" borderId="28" xfId="0" applyFont="1" applyFill="1" applyBorder="1" applyAlignment="1">
      <alignment horizontal="center" vertical="center"/>
    </xf>
    <xf numFmtId="0" fontId="12" fillId="7" borderId="54" xfId="0" applyFont="1" applyFill="1" applyBorder="1" applyAlignment="1">
      <alignment horizontal="center" vertical="center"/>
    </xf>
    <xf numFmtId="0" fontId="2" fillId="7" borderId="0" xfId="0" quotePrefix="1" applyFont="1" applyFill="1" applyAlignment="1">
      <alignment horizontal="center"/>
    </xf>
    <xf numFmtId="0" fontId="16" fillId="7" borderId="0" xfId="0" applyFont="1" applyFill="1" applyAlignment="1">
      <alignment horizontal="center"/>
    </xf>
    <xf numFmtId="0" fontId="147" fillId="0" borderId="0" xfId="0" applyFont="1" applyAlignment="1">
      <alignment horizontal="center" vertical="center"/>
    </xf>
    <xf numFmtId="0" fontId="77" fillId="3" borderId="0" xfId="255" applyFont="1" applyFill="1" applyAlignment="1">
      <alignment horizontal="center"/>
    </xf>
    <xf numFmtId="0" fontId="72" fillId="0" borderId="0" xfId="255" applyFont="1" applyAlignment="1">
      <alignment horizontal="center"/>
    </xf>
    <xf numFmtId="0" fontId="77" fillId="0" borderId="27" xfId="0" applyFont="1" applyBorder="1" applyAlignment="1">
      <alignment horizontal="center"/>
    </xf>
    <xf numFmtId="0" fontId="77" fillId="0" borderId="31" xfId="0" applyFont="1" applyBorder="1" applyAlignment="1">
      <alignment horizontal="center"/>
    </xf>
    <xf numFmtId="0" fontId="165" fillId="0" borderId="24" xfId="0" applyFont="1" applyBorder="1" applyAlignment="1">
      <alignment horizontal="center"/>
    </xf>
    <xf numFmtId="0" fontId="169" fillId="0" borderId="0" xfId="255" applyFont="1" applyAlignment="1">
      <alignment horizontal="center"/>
    </xf>
    <xf numFmtId="0" fontId="168" fillId="3" borderId="0" xfId="255" applyFont="1" applyFill="1" applyAlignment="1">
      <alignment horizontal="center" vertical="center" wrapText="1" shrinkToFit="1"/>
    </xf>
    <xf numFmtId="203" fontId="77" fillId="3" borderId="0" xfId="8" applyNumberFormat="1" applyFont="1" applyFill="1" applyAlignment="1">
      <alignment horizontal="center"/>
    </xf>
    <xf numFmtId="0" fontId="101" fillId="3" borderId="0" xfId="255" applyFont="1" applyFill="1" applyAlignment="1">
      <alignment horizontal="center"/>
    </xf>
    <xf numFmtId="0" fontId="167" fillId="3" borderId="0" xfId="255" applyFont="1" applyFill="1" applyAlignment="1">
      <alignment horizontal="center"/>
    </xf>
    <xf numFmtId="0" fontId="51" fillId="0" borderId="0" xfId="0" quotePrefix="1" applyFont="1" applyAlignment="1">
      <alignment horizontal="center"/>
    </xf>
    <xf numFmtId="0" fontId="143" fillId="0" borderId="0" xfId="0" applyFont="1" applyAlignment="1">
      <alignment horizontal="center" vertical="center"/>
    </xf>
    <xf numFmtId="0" fontId="93" fillId="0" borderId="0" xfId="0" applyFont="1" applyAlignment="1">
      <alignment horizontal="center" vertical="center"/>
    </xf>
    <xf numFmtId="218" fontId="93" fillId="0" borderId="14" xfId="1" applyNumberFormat="1" applyFont="1" applyFill="1" applyBorder="1" applyAlignment="1">
      <alignment horizontal="center" vertical="center"/>
    </xf>
    <xf numFmtId="0" fontId="139" fillId="0" borderId="0" xfId="0" applyFont="1" applyAlignment="1">
      <alignment horizontal="center" vertical="center"/>
    </xf>
    <xf numFmtId="0" fontId="94" fillId="0" borderId="0" xfId="0" applyFont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0" fontId="51" fillId="0" borderId="1" xfId="0" applyFont="1" applyBorder="1" applyAlignment="1">
      <alignment horizontal="center" vertical="center" wrapText="1"/>
    </xf>
    <xf numFmtId="0" fontId="51" fillId="0" borderId="27" xfId="0" applyFont="1" applyBorder="1" applyAlignment="1">
      <alignment horizontal="center" vertical="center" wrapText="1"/>
    </xf>
    <xf numFmtId="0" fontId="51" fillId="0" borderId="31" xfId="0" applyFont="1" applyBorder="1" applyAlignment="1">
      <alignment horizontal="center" vertical="center" wrapText="1"/>
    </xf>
    <xf numFmtId="218" fontId="51" fillId="0" borderId="1" xfId="1" applyNumberFormat="1" applyFont="1" applyFill="1" applyBorder="1" applyAlignment="1">
      <alignment horizontal="center" vertical="center"/>
    </xf>
    <xf numFmtId="43" fontId="51" fillId="0" borderId="1" xfId="1" applyFont="1" applyFill="1" applyBorder="1" applyAlignment="1">
      <alignment horizontal="center" vertical="center"/>
    </xf>
    <xf numFmtId="191" fontId="51" fillId="0" borderId="53" xfId="3" applyNumberFormat="1" applyFont="1" applyFill="1" applyBorder="1" applyAlignment="1">
      <alignment horizontal="center" vertical="center" wrapText="1"/>
    </xf>
    <xf numFmtId="191" fontId="51" fillId="0" borderId="29" xfId="3" applyNumberFormat="1" applyFont="1" applyFill="1" applyBorder="1" applyAlignment="1">
      <alignment horizontal="center" vertical="center" wrapText="1"/>
    </xf>
    <xf numFmtId="191" fontId="51" fillId="0" borderId="28" xfId="3" applyNumberFormat="1" applyFont="1" applyFill="1" applyBorder="1" applyAlignment="1">
      <alignment horizontal="center" vertical="center" wrapText="1"/>
    </xf>
    <xf numFmtId="191" fontId="51" fillId="0" borderId="1" xfId="3" applyNumberFormat="1" applyFont="1" applyFill="1" applyBorder="1" applyAlignment="1">
      <alignment horizontal="center" vertical="center" wrapText="1"/>
    </xf>
    <xf numFmtId="191" fontId="51" fillId="0" borderId="1" xfId="3" applyNumberFormat="1" applyFont="1" applyFill="1" applyBorder="1" applyAlignment="1">
      <alignment horizontal="center" vertical="center"/>
    </xf>
    <xf numFmtId="0" fontId="16" fillId="0" borderId="15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51" fillId="0" borderId="15" xfId="0" applyFont="1" applyBorder="1" applyAlignment="1">
      <alignment horizontal="center" vertical="center" wrapText="1"/>
    </xf>
    <xf numFmtId="0" fontId="51" fillId="0" borderId="20" xfId="0" applyFont="1" applyBorder="1" applyAlignment="1">
      <alignment horizontal="center" vertical="center" wrapText="1"/>
    </xf>
    <xf numFmtId="218" fontId="51" fillId="0" borderId="1" xfId="1" applyNumberFormat="1" applyFont="1" applyFill="1" applyBorder="1" applyAlignment="1">
      <alignment horizontal="center" vertical="center" wrapText="1"/>
    </xf>
    <xf numFmtId="43" fontId="51" fillId="0" borderId="1" xfId="1" applyFont="1" applyFill="1" applyBorder="1" applyAlignment="1">
      <alignment horizontal="center" vertical="center" wrapText="1"/>
    </xf>
    <xf numFmtId="0" fontId="210" fillId="0" borderId="0" xfId="255" applyFont="1" applyAlignment="1">
      <alignment horizontal="center"/>
    </xf>
    <xf numFmtId="0" fontId="114" fillId="0" borderId="1" xfId="255" applyFont="1" applyBorder="1" applyAlignment="1">
      <alignment horizontal="center" vertical="center"/>
    </xf>
    <xf numFmtId="0" fontId="114" fillId="0" borderId="15" xfId="255" applyFont="1" applyBorder="1" applyAlignment="1">
      <alignment horizontal="center" vertical="center" wrapText="1"/>
    </xf>
    <xf numFmtId="0" fontId="114" fillId="0" borderId="20" xfId="255" applyFont="1" applyBorder="1" applyAlignment="1">
      <alignment horizontal="center" vertical="center" wrapText="1"/>
    </xf>
    <xf numFmtId="0" fontId="114" fillId="0" borderId="1" xfId="255" applyFont="1" applyBorder="1" applyAlignment="1">
      <alignment horizontal="center"/>
    </xf>
    <xf numFmtId="0" fontId="114" fillId="0" borderId="1" xfId="255" applyFont="1" applyBorder="1" applyAlignment="1">
      <alignment horizontal="center" vertical="center" wrapText="1"/>
    </xf>
    <xf numFmtId="0" fontId="114" fillId="0" borderId="27" xfId="255" applyFont="1" applyBorder="1" applyAlignment="1">
      <alignment horizontal="center" wrapText="1"/>
    </xf>
    <xf numFmtId="0" fontId="114" fillId="0" borderId="31" xfId="255" applyFont="1" applyBorder="1" applyAlignment="1">
      <alignment horizontal="center" wrapText="1"/>
    </xf>
    <xf numFmtId="0" fontId="210" fillId="0" borderId="0" xfId="255" applyFont="1" applyAlignment="1">
      <alignment horizontal="center" vertical="center" wrapText="1"/>
    </xf>
    <xf numFmtId="0" fontId="114" fillId="0" borderId="0" xfId="255" applyFont="1" applyBorder="1" applyAlignment="1">
      <alignment horizontal="left" wrapText="1"/>
    </xf>
    <xf numFmtId="225" fontId="114" fillId="0" borderId="0" xfId="1" applyNumberFormat="1" applyFont="1" applyBorder="1" applyAlignment="1">
      <alignment horizontal="center"/>
    </xf>
    <xf numFmtId="0" fontId="210" fillId="0" borderId="0" xfId="255" applyFont="1" applyAlignment="1">
      <alignment horizontal="left" wrapText="1"/>
    </xf>
    <xf numFmtId="225" fontId="210" fillId="0" borderId="0" xfId="1" applyNumberFormat="1" applyFont="1" applyBorder="1" applyAlignment="1">
      <alignment horizontal="center"/>
    </xf>
    <xf numFmtId="0" fontId="114" fillId="0" borderId="24" xfId="255" applyFont="1" applyBorder="1" applyAlignment="1">
      <alignment horizontal="left" wrapText="1"/>
    </xf>
    <xf numFmtId="225" fontId="114" fillId="0" borderId="24" xfId="1" applyNumberFormat="1" applyFont="1" applyBorder="1" applyAlignment="1">
      <alignment horizontal="center"/>
    </xf>
    <xf numFmtId="0" fontId="211" fillId="0" borderId="0" xfId="255" applyFont="1" applyAlignment="1">
      <alignment horizontal="center"/>
    </xf>
    <xf numFmtId="0" fontId="98" fillId="7" borderId="0" xfId="255" applyFont="1" applyFill="1" applyAlignment="1">
      <alignment horizontal="center"/>
    </xf>
    <xf numFmtId="0" fontId="65" fillId="7" borderId="27" xfId="255" applyFont="1" applyFill="1" applyBorder="1" applyAlignment="1">
      <alignment horizontal="center" vertical="center"/>
    </xf>
    <xf numFmtId="0" fontId="65" fillId="7" borderId="31" xfId="255" applyFont="1" applyFill="1" applyBorder="1" applyAlignment="1">
      <alignment horizontal="center" vertical="center"/>
    </xf>
    <xf numFmtId="0" fontId="65" fillId="7" borderId="1" xfId="255" applyFont="1" applyFill="1" applyBorder="1" applyAlignment="1">
      <alignment horizontal="center" vertical="center"/>
    </xf>
    <xf numFmtId="0" fontId="66" fillId="7" borderId="0" xfId="255" applyFont="1" applyFill="1" applyAlignment="1">
      <alignment horizontal="center" vertical="center"/>
    </xf>
    <xf numFmtId="0" fontId="11" fillId="7" borderId="0" xfId="255" applyFont="1" applyFill="1" applyAlignment="1">
      <alignment horizontal="center"/>
    </xf>
    <xf numFmtId="0" fontId="13" fillId="7" borderId="0" xfId="255" applyFont="1" applyFill="1" applyAlignment="1">
      <alignment horizontal="center"/>
    </xf>
    <xf numFmtId="0" fontId="16" fillId="7" borderId="0" xfId="255" applyFont="1" applyFill="1" applyAlignment="1">
      <alignment horizontal="center" vertical="center"/>
    </xf>
    <xf numFmtId="0" fontId="11" fillId="7" borderId="1" xfId="255" applyFont="1" applyFill="1" applyBorder="1" applyAlignment="1">
      <alignment horizontal="center" vertical="center" shrinkToFit="1"/>
    </xf>
    <xf numFmtId="0" fontId="11" fillId="0" borderId="0" xfId="275" applyFont="1" applyAlignment="1">
      <alignment horizontal="center" vertical="center" shrinkToFit="1"/>
    </xf>
    <xf numFmtId="0" fontId="66" fillId="7" borderId="1" xfId="255" applyFont="1" applyFill="1" applyBorder="1" applyAlignment="1">
      <alignment horizontal="center" vertical="center"/>
    </xf>
    <xf numFmtId="0" fontId="35" fillId="0" borderId="39" xfId="0" applyFont="1" applyBorder="1" applyAlignment="1">
      <alignment horizontal="center" vertical="center" wrapText="1"/>
    </xf>
    <xf numFmtId="0" fontId="35" fillId="0" borderId="8" xfId="0" applyFont="1" applyBorder="1" applyAlignment="1">
      <alignment horizontal="center" vertical="center" wrapText="1"/>
    </xf>
    <xf numFmtId="0" fontId="35" fillId="0" borderId="8" xfId="0" applyFont="1" applyBorder="1" applyAlignment="1">
      <alignment horizontal="center" vertical="center"/>
    </xf>
    <xf numFmtId="0" fontId="35" fillId="0" borderId="39" xfId="0" applyFont="1" applyBorder="1" applyAlignment="1">
      <alignment horizontal="center" vertical="center"/>
    </xf>
    <xf numFmtId="0" fontId="35" fillId="0" borderId="58" xfId="0" applyFont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192" fontId="3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5" fillId="0" borderId="57" xfId="0" applyFont="1" applyBorder="1" applyAlignment="1">
      <alignment horizontal="center" vertical="center"/>
    </xf>
    <xf numFmtId="0" fontId="35" fillId="0" borderId="40" xfId="0" applyFont="1" applyBorder="1" applyAlignment="1">
      <alignment horizontal="center" vertical="center"/>
    </xf>
    <xf numFmtId="0" fontId="35" fillId="0" borderId="56" xfId="0" applyFont="1" applyBorder="1" applyAlignment="1">
      <alignment horizontal="center" vertical="center"/>
    </xf>
    <xf numFmtId="0" fontId="35" fillId="0" borderId="37" xfId="0" applyFont="1" applyBorder="1" applyAlignment="1">
      <alignment horizontal="center" vertical="center"/>
    </xf>
    <xf numFmtId="0" fontId="56" fillId="0" borderId="0" xfId="0" applyFont="1" applyAlignment="1">
      <alignment horizontal="center"/>
    </xf>
    <xf numFmtId="0" fontId="2" fillId="0" borderId="24" xfId="0" applyFont="1" applyBorder="1" applyAlignment="1">
      <alignment horizontal="center" vertical="center" shrinkToFit="1"/>
    </xf>
    <xf numFmtId="192" fontId="78" fillId="0" borderId="0" xfId="0" applyNumberFormat="1" applyFont="1" applyAlignment="1">
      <alignment horizontal="center" vertical="center"/>
    </xf>
    <xf numFmtId="0" fontId="12" fillId="0" borderId="59" xfId="0" applyFont="1" applyBorder="1" applyAlignment="1">
      <alignment horizontal="center" vertical="center" shrinkToFit="1"/>
    </xf>
    <xf numFmtId="0" fontId="12" fillId="0" borderId="48" xfId="0" applyFont="1" applyBorder="1" applyAlignment="1">
      <alignment horizontal="center" vertical="center" shrinkToFit="1"/>
    </xf>
    <xf numFmtId="0" fontId="12" fillId="0" borderId="56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shrinkToFit="1"/>
    </xf>
    <xf numFmtId="0" fontId="12" fillId="0" borderId="8" xfId="0" applyFont="1" applyBorder="1" applyAlignment="1">
      <alignment horizontal="center" vertical="center" shrinkToFit="1"/>
    </xf>
    <xf numFmtId="0" fontId="12" fillId="0" borderId="39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192" fontId="12" fillId="0" borderId="39" xfId="1" applyNumberFormat="1" applyFont="1" applyFill="1" applyBorder="1" applyAlignment="1">
      <alignment horizontal="center"/>
    </xf>
    <xf numFmtId="192" fontId="12" fillId="0" borderId="39" xfId="1" applyNumberFormat="1" applyFont="1" applyFill="1" applyBorder="1" applyAlignment="1">
      <alignment horizontal="center" vertical="center" wrapText="1"/>
    </xf>
    <xf numFmtId="192" fontId="12" fillId="0" borderId="8" xfId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92" fontId="12" fillId="0" borderId="58" xfId="0" applyNumberFormat="1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/>
    </xf>
    <xf numFmtId="0" fontId="12" fillId="0" borderId="8" xfId="1" applyNumberFormat="1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shrinkToFit="1"/>
    </xf>
    <xf numFmtId="0" fontId="12" fillId="0" borderId="21" xfId="0" applyFont="1" applyBorder="1" applyAlignment="1">
      <alignment horizontal="center" vertical="center" shrinkToFit="1"/>
    </xf>
    <xf numFmtId="0" fontId="12" fillId="0" borderId="31" xfId="0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 shrinkToFit="1"/>
    </xf>
    <xf numFmtId="0" fontId="12" fillId="0" borderId="43" xfId="0" applyFont="1" applyBorder="1" applyAlignment="1">
      <alignment horizontal="center" vertical="center" shrinkToFit="1"/>
    </xf>
    <xf numFmtId="0" fontId="12" fillId="0" borderId="28" xfId="0" applyFont="1" applyBorder="1" applyAlignment="1">
      <alignment horizontal="center" vertical="center" shrinkToFit="1"/>
    </xf>
    <xf numFmtId="0" fontId="12" fillId="0" borderId="54" xfId="0" applyFont="1" applyBorder="1" applyAlignment="1">
      <alignment horizontal="center" vertical="center" shrinkToFit="1"/>
    </xf>
    <xf numFmtId="192" fontId="12" fillId="0" borderId="27" xfId="1" applyNumberFormat="1" applyFont="1" applyFill="1" applyBorder="1" applyAlignment="1">
      <alignment horizontal="center"/>
    </xf>
    <xf numFmtId="192" fontId="12" fillId="0" borderId="21" xfId="1" applyNumberFormat="1" applyFont="1" applyFill="1" applyBorder="1" applyAlignment="1">
      <alignment horizontal="center"/>
    </xf>
    <xf numFmtId="192" fontId="12" fillId="0" borderId="31" xfId="1" applyNumberFormat="1" applyFont="1" applyFill="1" applyBorder="1" applyAlignment="1">
      <alignment horizontal="center"/>
    </xf>
    <xf numFmtId="192" fontId="12" fillId="0" borderId="1" xfId="1" applyNumberFormat="1" applyFont="1" applyFill="1" applyBorder="1" applyAlignment="1">
      <alignment horizontal="center" vertical="center" wrapText="1"/>
    </xf>
    <xf numFmtId="192" fontId="12" fillId="0" borderId="15" xfId="1" applyNumberFormat="1" applyFont="1" applyFill="1" applyBorder="1" applyAlignment="1">
      <alignment horizontal="center" vertical="center" wrapText="1"/>
    </xf>
    <xf numFmtId="192" fontId="12" fillId="0" borderId="22" xfId="1" applyNumberFormat="1" applyFont="1" applyFill="1" applyBorder="1" applyAlignment="1">
      <alignment horizontal="center" vertical="center" wrapText="1"/>
    </xf>
    <xf numFmtId="192" fontId="12" fillId="0" borderId="20" xfId="1" applyNumberFormat="1" applyFont="1" applyFill="1" applyBorder="1" applyAlignment="1">
      <alignment horizontal="center" vertical="center" wrapText="1"/>
    </xf>
    <xf numFmtId="192" fontId="12" fillId="0" borderId="1" xfId="0" applyNumberFormat="1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192" fontId="12" fillId="0" borderId="21" xfId="1" applyNumberFormat="1" applyFont="1" applyFill="1" applyBorder="1" applyAlignment="1">
      <alignment horizontal="center" vertical="center" wrapText="1"/>
    </xf>
    <xf numFmtId="192" fontId="12" fillId="0" borderId="31" xfId="1" applyNumberFormat="1" applyFont="1" applyFill="1" applyBorder="1" applyAlignment="1">
      <alignment horizontal="center" vertical="center" wrapText="1"/>
    </xf>
    <xf numFmtId="0" fontId="12" fillId="0" borderId="27" xfId="1" applyNumberFormat="1" applyFont="1" applyBorder="1" applyAlignment="1">
      <alignment horizontal="center" vertical="center" wrapText="1"/>
    </xf>
    <xf numFmtId="0" fontId="12" fillId="0" borderId="21" xfId="1" applyNumberFormat="1" applyFont="1" applyBorder="1" applyAlignment="1">
      <alignment horizontal="center" vertical="center" wrapText="1"/>
    </xf>
    <xf numFmtId="0" fontId="12" fillId="0" borderId="31" xfId="1" applyNumberFormat="1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79" fillId="0" borderId="0" xfId="0" applyFont="1" applyAlignment="1">
      <alignment horizontal="center"/>
    </xf>
    <xf numFmtId="0" fontId="47" fillId="0" borderId="24" xfId="0" applyFont="1" applyBorder="1" applyAlignment="1">
      <alignment horizontal="center"/>
    </xf>
    <xf numFmtId="0" fontId="4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92" fontId="34" fillId="0" borderId="0" xfId="0" applyNumberFormat="1" applyFont="1" applyAlignment="1">
      <alignment horizontal="center"/>
    </xf>
    <xf numFmtId="0" fontId="11" fillId="0" borderId="24" xfId="0" applyFont="1" applyBorder="1" applyAlignment="1">
      <alignment horizontal="center" vertical="center" shrinkToFit="1"/>
    </xf>
    <xf numFmtId="4" fontId="4" fillId="0" borderId="0" xfId="0" applyNumberFormat="1" applyFont="1" applyAlignment="1">
      <alignment horizontal="center"/>
    </xf>
    <xf numFmtId="2" fontId="35" fillId="0" borderId="24" xfId="0" applyNumberFormat="1" applyFont="1" applyBorder="1" applyAlignment="1">
      <alignment horizontal="center"/>
    </xf>
    <xf numFmtId="0" fontId="35" fillId="0" borderId="27" xfId="0" applyFont="1" applyBorder="1" applyAlignment="1">
      <alignment horizontal="center" vertical="center" wrapText="1"/>
    </xf>
    <xf numFmtId="0" fontId="35" fillId="0" borderId="21" xfId="0" applyFont="1" applyBorder="1" applyAlignment="1">
      <alignment horizontal="center" vertical="center" wrapText="1"/>
    </xf>
    <xf numFmtId="0" fontId="35" fillId="0" borderId="31" xfId="0" applyFont="1" applyBorder="1" applyAlignment="1">
      <alignment horizontal="center" vertical="center" wrapText="1"/>
    </xf>
    <xf numFmtId="0" fontId="60" fillId="0" borderId="0" xfId="0" applyFont="1" applyAlignment="1">
      <alignment horizontal="center"/>
    </xf>
    <xf numFmtId="4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0" fontId="35" fillId="0" borderId="15" xfId="0" applyFont="1" applyBorder="1" applyAlignment="1">
      <alignment horizontal="center" vertical="center" wrapText="1"/>
    </xf>
    <xf numFmtId="0" fontId="35" fillId="0" borderId="20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35" fillId="7" borderId="0" xfId="0" applyFont="1" applyFill="1" applyAlignment="1">
      <alignment horizontal="center"/>
    </xf>
    <xf numFmtId="192" fontId="32" fillId="0" borderId="24" xfId="0" applyNumberFormat="1" applyFont="1" applyBorder="1" applyAlignment="1">
      <alignment horizontal="center"/>
    </xf>
    <xf numFmtId="0" fontId="114" fillId="0" borderId="0" xfId="0" applyFont="1" applyAlignment="1">
      <alignment horizontal="center"/>
    </xf>
    <xf numFmtId="0" fontId="11" fillId="0" borderId="16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3" fontId="11" fillId="0" borderId="15" xfId="0" applyNumberFormat="1" applyFont="1" applyBorder="1" applyAlignment="1">
      <alignment horizontal="center" vertical="center" wrapText="1"/>
    </xf>
    <xf numFmtId="3" fontId="11" fillId="0" borderId="20" xfId="0" applyNumberFormat="1" applyFont="1" applyBorder="1" applyAlignment="1">
      <alignment horizontal="center" vertical="center" wrapText="1"/>
    </xf>
    <xf numFmtId="3" fontId="11" fillId="0" borderId="22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2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1" fillId="0" borderId="27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28" fillId="0" borderId="24" xfId="0" applyFont="1" applyBorder="1" applyAlignment="1">
      <alignment horizontal="center"/>
    </xf>
    <xf numFmtId="0" fontId="3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15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66" fillId="7" borderId="27" xfId="255" applyFont="1" applyFill="1" applyBorder="1" applyAlignment="1">
      <alignment horizontal="center" vertical="center"/>
    </xf>
    <xf numFmtId="0" fontId="66" fillId="7" borderId="21" xfId="255" applyFont="1" applyFill="1" applyBorder="1" applyAlignment="1">
      <alignment horizontal="center" vertical="center"/>
    </xf>
    <xf numFmtId="0" fontId="66" fillId="7" borderId="31" xfId="255" applyFont="1" applyFill="1" applyBorder="1" applyAlignment="1">
      <alignment horizontal="center" vertical="center"/>
    </xf>
    <xf numFmtId="0" fontId="8" fillId="7" borderId="0" xfId="255" applyFont="1" applyFill="1" applyAlignment="1">
      <alignment horizontal="center"/>
    </xf>
    <xf numFmtId="0" fontId="2" fillId="7" borderId="0" xfId="255" applyFont="1" applyFill="1" applyAlignment="1">
      <alignment horizontal="center"/>
    </xf>
    <xf numFmtId="0" fontId="31" fillId="7" borderId="0" xfId="255" applyFont="1" applyFill="1" applyAlignment="1">
      <alignment horizontal="center" vertical="center"/>
    </xf>
    <xf numFmtId="0" fontId="64" fillId="7" borderId="0" xfId="255" applyFont="1" applyFill="1" applyAlignment="1">
      <alignment horizontal="center"/>
    </xf>
    <xf numFmtId="0" fontId="55" fillId="7" borderId="0" xfId="255" applyFont="1" applyFill="1" applyAlignment="1">
      <alignment horizontal="center"/>
    </xf>
    <xf numFmtId="0" fontId="35" fillId="7" borderId="0" xfId="255" applyFont="1" applyFill="1" applyAlignment="1">
      <alignment horizontal="center"/>
    </xf>
    <xf numFmtId="0" fontId="12" fillId="7" borderId="25" xfId="255" applyFont="1" applyFill="1" applyBorder="1" applyAlignment="1">
      <alignment horizontal="center" vertical="center" shrinkToFit="1"/>
    </xf>
    <xf numFmtId="1" fontId="12" fillId="7" borderId="25" xfId="255" applyNumberFormat="1" applyFont="1" applyFill="1" applyBorder="1" applyAlignment="1">
      <alignment horizontal="center"/>
    </xf>
    <xf numFmtId="0" fontId="4" fillId="7" borderId="26" xfId="255" applyFont="1" applyFill="1" applyBorder="1" applyAlignment="1">
      <alignment horizontal="center" vertical="center"/>
    </xf>
    <xf numFmtId="1" fontId="11" fillId="7" borderId="55" xfId="255" applyNumberFormat="1" applyFont="1" applyFill="1" applyBorder="1" applyAlignment="1">
      <alignment horizontal="center"/>
    </xf>
    <xf numFmtId="1" fontId="11" fillId="7" borderId="29" xfId="255" applyNumberFormat="1" applyFont="1" applyFill="1" applyBorder="1" applyAlignment="1">
      <alignment horizontal="center"/>
    </xf>
    <xf numFmtId="0" fontId="4" fillId="7" borderId="25" xfId="255" applyFont="1" applyFill="1" applyBorder="1" applyAlignment="1">
      <alignment horizontal="center" vertical="center"/>
    </xf>
    <xf numFmtId="3" fontId="63" fillId="7" borderId="25" xfId="255" applyNumberFormat="1" applyFont="1" applyFill="1" applyBorder="1" applyAlignment="1">
      <alignment horizontal="center"/>
    </xf>
    <xf numFmtId="0" fontId="63" fillId="7" borderId="45" xfId="255" applyFont="1" applyFill="1" applyBorder="1" applyAlignment="1">
      <alignment horizontal="center" vertical="center" wrapText="1"/>
    </xf>
    <xf numFmtId="0" fontId="63" fillId="7" borderId="44" xfId="255" applyFont="1" applyFill="1" applyBorder="1" applyAlignment="1">
      <alignment horizontal="center" vertical="center" wrapText="1"/>
    </xf>
    <xf numFmtId="0" fontId="63" fillId="7" borderId="46" xfId="255" applyFont="1" applyFill="1" applyBorder="1" applyAlignment="1">
      <alignment horizontal="center" vertical="center" wrapText="1"/>
    </xf>
    <xf numFmtId="3" fontId="63" fillId="7" borderId="26" xfId="255" applyNumberFormat="1" applyFont="1" applyFill="1" applyBorder="1" applyAlignment="1">
      <alignment horizontal="center"/>
    </xf>
    <xf numFmtId="0" fontId="4" fillId="7" borderId="30" xfId="255" applyFont="1" applyFill="1" applyBorder="1" applyAlignment="1">
      <alignment horizontal="center" vertical="center"/>
    </xf>
    <xf numFmtId="3" fontId="63" fillId="7" borderId="30" xfId="255" applyNumberFormat="1" applyFont="1" applyFill="1" applyBorder="1" applyAlignment="1">
      <alignment horizontal="center"/>
    </xf>
    <xf numFmtId="0" fontId="12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5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2" fillId="0" borderId="27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192" fontId="12" fillId="0" borderId="15" xfId="0" applyNumberFormat="1" applyFont="1" applyBorder="1" applyAlignment="1">
      <alignment horizontal="center" vertical="center" wrapText="1"/>
    </xf>
    <xf numFmtId="192" fontId="12" fillId="0" borderId="20" xfId="0" applyNumberFormat="1" applyFont="1" applyBorder="1" applyAlignment="1">
      <alignment horizontal="center" vertical="center" wrapText="1"/>
    </xf>
    <xf numFmtId="191" fontId="177" fillId="7" borderId="0" xfId="1" applyNumberFormat="1" applyFont="1" applyFill="1" applyAlignment="1">
      <alignment horizontal="center"/>
    </xf>
    <xf numFmtId="3" fontId="22" fillId="0" borderId="0" xfId="0" applyNumberFormat="1" applyFont="1" applyAlignment="1">
      <alignment horizontal="center"/>
    </xf>
    <xf numFmtId="0" fontId="20" fillId="0" borderId="1" xfId="0" applyFont="1" applyBorder="1" applyAlignment="1">
      <alignment horizontal="left" vertical="center"/>
    </xf>
    <xf numFmtId="0" fontId="16" fillId="0" borderId="6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212" fillId="0" borderId="0" xfId="0" applyFont="1" applyAlignment="1">
      <alignment horizontal="center"/>
    </xf>
    <xf numFmtId="191" fontId="22" fillId="0" borderId="0" xfId="1" applyNumberFormat="1" applyFont="1" applyFill="1" applyAlignment="1">
      <alignment horizontal="center"/>
    </xf>
    <xf numFmtId="0" fontId="56" fillId="0" borderId="0" xfId="0" applyFont="1" applyFill="1" applyAlignment="1">
      <alignment horizontal="center"/>
    </xf>
    <xf numFmtId="0" fontId="39" fillId="0" borderId="1" xfId="0" applyFont="1" applyFill="1" applyBorder="1" applyAlignment="1">
      <alignment horizontal="center" vertical="center" wrapText="1"/>
    </xf>
    <xf numFmtId="0" fontId="147" fillId="0" borderId="24" xfId="0" applyFont="1" applyFill="1" applyBorder="1" applyAlignment="1">
      <alignment horizontal="center" vertical="center" shrinkToFit="1"/>
    </xf>
    <xf numFmtId="0" fontId="77" fillId="0" borderId="27" xfId="0" applyFont="1" applyFill="1" applyBorder="1" applyAlignment="1">
      <alignment horizontal="center" vertical="center" shrinkToFit="1"/>
    </xf>
    <xf numFmtId="0" fontId="77" fillId="0" borderId="21" xfId="0" applyFont="1" applyFill="1" applyBorder="1" applyAlignment="1">
      <alignment horizontal="center" vertical="center" shrinkToFit="1"/>
    </xf>
    <xf numFmtId="0" fontId="77" fillId="0" borderId="31" xfId="0" applyFont="1" applyFill="1" applyBorder="1" applyAlignment="1">
      <alignment horizontal="center" vertical="center" shrinkToFit="1"/>
    </xf>
    <xf numFmtId="0" fontId="184" fillId="0" borderId="0" xfId="0" applyFont="1" applyFill="1" applyAlignment="1">
      <alignment horizontal="center"/>
    </xf>
    <xf numFmtId="0" fontId="39" fillId="0" borderId="1" xfId="0" applyFont="1" applyFill="1" applyBorder="1" applyAlignment="1">
      <alignment horizontal="center" vertical="center"/>
    </xf>
    <xf numFmtId="0" fontId="39" fillId="0" borderId="1" xfId="0" applyFont="1" applyFill="1" applyBorder="1" applyAlignment="1">
      <alignment horizontal="center"/>
    </xf>
    <xf numFmtId="0" fontId="185" fillId="0" borderId="14" xfId="0" applyFont="1" applyFill="1" applyBorder="1" applyAlignment="1">
      <alignment horizontal="center"/>
    </xf>
    <xf numFmtId="0" fontId="77" fillId="0" borderId="0" xfId="0" quotePrefix="1" applyFont="1" applyFill="1" applyAlignment="1">
      <alignment horizontal="center"/>
    </xf>
    <xf numFmtId="0" fontId="101" fillId="0" borderId="0" xfId="0" applyFont="1" applyFill="1" applyAlignment="1">
      <alignment horizontal="left"/>
    </xf>
    <xf numFmtId="3" fontId="95" fillId="0" borderId="61" xfId="0" applyNumberFormat="1" applyFont="1" applyBorder="1" applyAlignment="1">
      <alignment horizontal="center" vertical="center"/>
    </xf>
    <xf numFmtId="0" fontId="95" fillId="0" borderId="63" xfId="0" applyFont="1" applyBorder="1" applyAlignment="1">
      <alignment horizontal="center" vertical="center"/>
    </xf>
    <xf numFmtId="0" fontId="95" fillId="0" borderId="66" xfId="0" applyFont="1" applyBorder="1" applyAlignment="1">
      <alignment horizontal="center" vertical="center"/>
    </xf>
    <xf numFmtId="0" fontId="93" fillId="0" borderId="20" xfId="0" applyFont="1" applyBorder="1" applyAlignment="1">
      <alignment horizontal="center" vertical="center" wrapText="1"/>
    </xf>
    <xf numFmtId="0" fontId="93" fillId="0" borderId="53" xfId="0" applyFont="1" applyBorder="1" applyAlignment="1">
      <alignment horizontal="center" vertical="center"/>
    </xf>
    <xf numFmtId="0" fontId="93" fillId="0" borderId="43" xfId="0" applyFont="1" applyBorder="1" applyAlignment="1">
      <alignment horizontal="center" vertical="center"/>
    </xf>
    <xf numFmtId="0" fontId="93" fillId="0" borderId="28" xfId="0" applyFont="1" applyBorder="1" applyAlignment="1">
      <alignment horizontal="center" vertical="center"/>
    </xf>
    <xf numFmtId="0" fontId="93" fillId="0" borderId="54" xfId="0" applyFont="1" applyBorder="1" applyAlignment="1">
      <alignment horizontal="center" vertical="center"/>
    </xf>
    <xf numFmtId="0" fontId="93" fillId="0" borderId="15" xfId="0" applyFont="1" applyBorder="1" applyAlignment="1">
      <alignment horizontal="center" vertical="center"/>
    </xf>
    <xf numFmtId="0" fontId="93" fillId="0" borderId="20" xfId="0" applyFont="1" applyBorder="1" applyAlignment="1">
      <alignment horizontal="center" vertical="center"/>
    </xf>
    <xf numFmtId="0" fontId="93" fillId="0" borderId="24" xfId="0" applyFont="1" applyBorder="1" applyAlignment="1">
      <alignment horizontal="center" vertical="center"/>
    </xf>
    <xf numFmtId="0" fontId="93" fillId="0" borderId="14" xfId="0" applyFont="1" applyBorder="1" applyAlignment="1">
      <alignment horizontal="center" vertical="center"/>
    </xf>
    <xf numFmtId="3" fontId="93" fillId="0" borderId="27" xfId="0" applyNumberFormat="1" applyFont="1" applyBorder="1" applyAlignment="1">
      <alignment horizontal="center" vertical="center"/>
    </xf>
    <xf numFmtId="3" fontId="93" fillId="0" borderId="21" xfId="0" applyNumberFormat="1" applyFont="1" applyBorder="1" applyAlignment="1">
      <alignment horizontal="center" vertical="center"/>
    </xf>
    <xf numFmtId="3" fontId="93" fillId="0" borderId="31" xfId="0" applyNumberFormat="1" applyFont="1" applyBorder="1" applyAlignment="1">
      <alignment horizontal="center" vertical="center"/>
    </xf>
    <xf numFmtId="0" fontId="131" fillId="0" borderId="1" xfId="0" applyFont="1" applyBorder="1" applyAlignment="1">
      <alignment horizontal="center"/>
    </xf>
    <xf numFmtId="0" fontId="13" fillId="0" borderId="0" xfId="256" applyFont="1" applyAlignment="1">
      <alignment horizontal="center"/>
    </xf>
    <xf numFmtId="0" fontId="11" fillId="0" borderId="0" xfId="256" applyFont="1" applyAlignment="1">
      <alignment horizontal="center"/>
    </xf>
    <xf numFmtId="0" fontId="64" fillId="0" borderId="0" xfId="256" applyFont="1" applyAlignment="1">
      <alignment horizontal="center"/>
    </xf>
    <xf numFmtId="0" fontId="55" fillId="0" borderId="0" xfId="256" applyFont="1" applyAlignment="1">
      <alignment horizontal="center"/>
    </xf>
    <xf numFmtId="0" fontId="35" fillId="0" borderId="0" xfId="256" applyFont="1" applyAlignment="1">
      <alignment horizontal="center"/>
    </xf>
    <xf numFmtId="0" fontId="67" fillId="0" borderId="0" xfId="256" applyFont="1" applyAlignment="1">
      <alignment horizontal="center"/>
    </xf>
    <xf numFmtId="0" fontId="31" fillId="0" borderId="0" xfId="256" applyFont="1" applyAlignment="1">
      <alignment horizontal="center" vertical="center"/>
    </xf>
    <xf numFmtId="0" fontId="31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2" fillId="0" borderId="27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1" fillId="0" borderId="15" xfId="0" applyNumberFormat="1" applyFont="1" applyBorder="1" applyAlignment="1">
      <alignment horizontal="center" vertical="center" wrapText="1"/>
    </xf>
    <xf numFmtId="4" fontId="11" fillId="0" borderId="20" xfId="0" applyNumberFormat="1" applyFont="1" applyBorder="1" applyAlignment="1">
      <alignment horizontal="center" vertical="center" wrapText="1"/>
    </xf>
    <xf numFmtId="0" fontId="13" fillId="0" borderId="0" xfId="274" applyFont="1" applyAlignment="1">
      <alignment horizontal="center"/>
    </xf>
    <xf numFmtId="0" fontId="11" fillId="0" borderId="0" xfId="274" applyFont="1" applyAlignment="1">
      <alignment horizontal="center"/>
    </xf>
    <xf numFmtId="0" fontId="12" fillId="0" borderId="1" xfId="274" applyFont="1" applyBorder="1" applyAlignment="1">
      <alignment horizontal="center" vertical="center" wrapText="1"/>
    </xf>
    <xf numFmtId="0" fontId="12" fillId="0" borderId="15" xfId="274" applyFont="1" applyBorder="1" applyAlignment="1">
      <alignment horizontal="center" vertical="center" wrapText="1"/>
    </xf>
    <xf numFmtId="0" fontId="12" fillId="0" borderId="22" xfId="274" applyFont="1" applyBorder="1" applyAlignment="1">
      <alignment horizontal="center" vertical="center" wrapText="1"/>
    </xf>
    <xf numFmtId="0" fontId="12" fillId="0" borderId="20" xfId="274" applyFont="1" applyBorder="1" applyAlignment="1">
      <alignment horizontal="center" vertical="center" wrapText="1"/>
    </xf>
    <xf numFmtId="0" fontId="16" fillId="0" borderId="0" xfId="274" applyFont="1" applyAlignment="1">
      <alignment horizontal="center"/>
    </xf>
    <xf numFmtId="0" fontId="8" fillId="0" borderId="0" xfId="274" applyFont="1" applyAlignment="1">
      <alignment horizontal="center"/>
    </xf>
    <xf numFmtId="0" fontId="38" fillId="0" borderId="1" xfId="274" applyFont="1" applyBorder="1" applyAlignment="1">
      <alignment horizontal="center" vertical="center" wrapText="1"/>
    </xf>
    <xf numFmtId="0" fontId="12" fillId="0" borderId="27" xfId="274" applyFont="1" applyBorder="1" applyAlignment="1">
      <alignment horizontal="center"/>
    </xf>
    <xf numFmtId="0" fontId="12" fillId="0" borderId="21" xfId="274" applyFont="1" applyBorder="1" applyAlignment="1">
      <alignment horizontal="center"/>
    </xf>
    <xf numFmtId="0" fontId="12" fillId="0" borderId="31" xfId="274" applyFont="1" applyBorder="1" applyAlignment="1">
      <alignment horizontal="center"/>
    </xf>
    <xf numFmtId="0" fontId="12" fillId="0" borderId="1" xfId="274" applyFont="1" applyBorder="1" applyAlignment="1">
      <alignment horizontal="center" vertical="center"/>
    </xf>
    <xf numFmtId="0" fontId="8" fillId="0" borderId="16" xfId="274" quotePrefix="1" applyFont="1" applyBorder="1" applyAlignment="1">
      <alignment horizontal="center" vertical="center" wrapText="1"/>
    </xf>
    <xf numFmtId="0" fontId="8" fillId="0" borderId="6" xfId="274" quotePrefix="1" applyFont="1" applyBorder="1" applyAlignment="1">
      <alignment horizontal="center" vertical="center" wrapText="1"/>
    </xf>
    <xf numFmtId="0" fontId="8" fillId="0" borderId="17" xfId="274" quotePrefix="1" applyFont="1" applyBorder="1" applyAlignment="1">
      <alignment horizontal="center" vertical="center" wrapText="1"/>
    </xf>
    <xf numFmtId="0" fontId="8" fillId="0" borderId="15" xfId="274" quotePrefix="1" applyFont="1" applyBorder="1" applyAlignment="1">
      <alignment horizontal="center" vertical="center" wrapText="1"/>
    </xf>
    <xf numFmtId="0" fontId="8" fillId="0" borderId="22" xfId="274" quotePrefix="1" applyFont="1" applyBorder="1" applyAlignment="1">
      <alignment horizontal="center" vertical="center" wrapText="1"/>
    </xf>
    <xf numFmtId="0" fontId="8" fillId="0" borderId="20" xfId="274" quotePrefix="1" applyFont="1" applyBorder="1" applyAlignment="1">
      <alignment horizontal="center" vertical="center" wrapText="1"/>
    </xf>
    <xf numFmtId="0" fontId="8" fillId="0" borderId="15" xfId="274" applyFont="1" applyBorder="1" applyAlignment="1">
      <alignment horizontal="center" vertical="center"/>
    </xf>
    <xf numFmtId="0" fontId="8" fillId="0" borderId="22" xfId="274" applyFont="1" applyBorder="1" applyAlignment="1">
      <alignment horizontal="center" vertical="center"/>
    </xf>
    <xf numFmtId="0" fontId="8" fillId="0" borderId="20" xfId="274" applyFont="1" applyBorder="1" applyAlignment="1">
      <alignment horizontal="center" vertical="center"/>
    </xf>
    <xf numFmtId="0" fontId="2" fillId="0" borderId="1" xfId="274" applyFont="1" applyBorder="1" applyAlignment="1">
      <alignment horizontal="center"/>
    </xf>
    <xf numFmtId="0" fontId="8" fillId="0" borderId="27" xfId="274" applyFont="1" applyBorder="1" applyAlignment="1">
      <alignment horizontal="center" vertical="center"/>
    </xf>
    <xf numFmtId="0" fontId="8" fillId="0" borderId="21" xfId="274" applyFont="1" applyBorder="1" applyAlignment="1">
      <alignment horizontal="center" vertical="center"/>
    </xf>
    <xf numFmtId="0" fontId="8" fillId="0" borderId="31" xfId="274" applyFont="1" applyBorder="1" applyAlignment="1">
      <alignment horizontal="center" vertical="center"/>
    </xf>
    <xf numFmtId="0" fontId="20" fillId="0" borderId="0" xfId="274" applyFont="1" applyAlignment="1">
      <alignment horizontal="center"/>
    </xf>
    <xf numFmtId="0" fontId="24" fillId="0" borderId="0" xfId="274" applyFont="1" applyAlignment="1">
      <alignment horizontal="center"/>
    </xf>
    <xf numFmtId="0" fontId="8" fillId="0" borderId="0" xfId="274" applyFont="1" applyAlignment="1">
      <alignment horizontal="center" vertical="center"/>
    </xf>
    <xf numFmtId="0" fontId="23" fillId="0" borderId="0" xfId="274" applyFont="1" applyAlignment="1">
      <alignment horizontal="center"/>
    </xf>
    <xf numFmtId="0" fontId="32" fillId="0" borderId="0" xfId="0" applyFont="1" applyAlignment="1">
      <alignment horizontal="center"/>
    </xf>
    <xf numFmtId="0" fontId="162" fillId="0" borderId="0" xfId="311" applyFont="1" applyFill="1" applyAlignment="1">
      <alignment horizontal="center"/>
    </xf>
    <xf numFmtId="0" fontId="13" fillId="0" borderId="0" xfId="0" applyFont="1" applyFill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267" fillId="0" borderId="0" xfId="311" applyFont="1" applyFill="1" applyAlignment="1">
      <alignment horizontal="left" indent="17"/>
    </xf>
    <xf numFmtId="3" fontId="16" fillId="0" borderId="0" xfId="0" applyNumberFormat="1" applyFont="1" applyFill="1" applyAlignment="1">
      <alignment horizontal="center"/>
    </xf>
    <xf numFmtId="0" fontId="25" fillId="0" borderId="0" xfId="0" applyNumberFormat="1" applyFont="1" applyFill="1" applyAlignment="1">
      <alignment horizontal="center"/>
    </xf>
    <xf numFmtId="0" fontId="11" fillId="0" borderId="0" xfId="0" applyFont="1" applyFill="1" applyAlignment="1">
      <alignment horizontal="center"/>
    </xf>
    <xf numFmtId="0" fontId="11" fillId="0" borderId="0" xfId="0" quotePrefix="1" applyFont="1" applyFill="1" applyAlignment="1">
      <alignment horizontal="center"/>
    </xf>
    <xf numFmtId="0" fontId="13" fillId="0" borderId="0" xfId="0" applyNumberFormat="1" applyFont="1" applyFill="1" applyAlignment="1">
      <alignment horizontal="center"/>
    </xf>
    <xf numFmtId="0" fontId="11" fillId="0" borderId="0" xfId="0" applyNumberFormat="1" applyFont="1" applyFill="1" applyAlignment="1">
      <alignment horizontal="center"/>
    </xf>
    <xf numFmtId="0" fontId="28" fillId="0" borderId="0" xfId="0" applyFont="1" applyFill="1" applyAlignment="1">
      <alignment horizontal="center" vertical="center"/>
    </xf>
    <xf numFmtId="0" fontId="88" fillId="0" borderId="0" xfId="0" applyFont="1" applyFill="1" applyBorder="1" applyAlignment="1">
      <alignment horizontal="center" vertical="center"/>
    </xf>
    <xf numFmtId="197" fontId="180" fillId="0" borderId="23" xfId="10" applyNumberFormat="1" applyFont="1" applyFill="1" applyBorder="1" applyAlignment="1">
      <alignment horizontal="center" vertical="center"/>
    </xf>
    <xf numFmtId="197" fontId="180" fillId="0" borderId="18" xfId="10" applyNumberFormat="1" applyFont="1" applyFill="1" applyBorder="1" applyAlignment="1">
      <alignment horizontal="center" vertical="center"/>
    </xf>
    <xf numFmtId="4" fontId="180" fillId="0" borderId="6" xfId="0" applyNumberFormat="1" applyFont="1" applyFill="1" applyBorder="1" applyAlignment="1">
      <alignment horizontal="center" vertical="center"/>
    </xf>
    <xf numFmtId="0" fontId="199" fillId="0" borderId="17" xfId="0" applyFont="1" applyFill="1" applyBorder="1" applyAlignment="1">
      <alignment horizontal="center" vertical="center" wrapText="1"/>
    </xf>
    <xf numFmtId="0" fontId="183" fillId="3" borderId="24" xfId="0" applyFont="1" applyFill="1" applyBorder="1" applyAlignment="1">
      <alignment horizontal="center" vertical="center"/>
    </xf>
    <xf numFmtId="0" fontId="179" fillId="0" borderId="0" xfId="0" applyFont="1" applyFill="1" applyBorder="1" applyAlignment="1">
      <alignment horizontal="center" vertical="center"/>
    </xf>
    <xf numFmtId="0" fontId="179" fillId="0" borderId="0" xfId="0" applyFont="1" applyFill="1" applyAlignment="1">
      <alignment horizontal="center" vertical="center"/>
    </xf>
    <xf numFmtId="3" fontId="201" fillId="0" borderId="23" xfId="0" applyNumberFormat="1" applyFont="1" applyFill="1" applyBorder="1" applyAlignment="1">
      <alignment horizontal="center" vertical="center" wrapText="1"/>
    </xf>
    <xf numFmtId="3" fontId="201" fillId="0" borderId="18" xfId="0" applyNumberFormat="1" applyFont="1" applyFill="1" applyBorder="1" applyAlignment="1">
      <alignment horizontal="center" vertical="center" wrapText="1"/>
    </xf>
    <xf numFmtId="0" fontId="201" fillId="0" borderId="23" xfId="0" applyFont="1" applyFill="1" applyBorder="1" applyAlignment="1">
      <alignment horizontal="left" vertical="center" wrapText="1"/>
    </xf>
    <xf numFmtId="0" fontId="201" fillId="0" borderId="18" xfId="0" applyFont="1" applyFill="1" applyBorder="1" applyAlignment="1">
      <alignment horizontal="left" vertical="center" wrapText="1"/>
    </xf>
    <xf numFmtId="0" fontId="202" fillId="0" borderId="23" xfId="0" applyNumberFormat="1" applyFont="1" applyFill="1" applyBorder="1" applyAlignment="1">
      <alignment horizontal="center" vertical="center"/>
    </xf>
    <xf numFmtId="0" fontId="202" fillId="0" borderId="18" xfId="0" applyNumberFormat="1" applyFont="1" applyFill="1" applyBorder="1" applyAlignment="1">
      <alignment horizontal="center" vertical="center"/>
    </xf>
    <xf numFmtId="2" fontId="180" fillId="0" borderId="23" xfId="0" applyNumberFormat="1" applyFont="1" applyFill="1" applyBorder="1" applyAlignment="1">
      <alignment horizontal="center" vertical="center"/>
    </xf>
    <xf numFmtId="2" fontId="180" fillId="0" borderId="18" xfId="0" applyNumberFormat="1" applyFont="1" applyFill="1" applyBorder="1" applyAlignment="1">
      <alignment horizontal="center" vertical="center"/>
    </xf>
    <xf numFmtId="197" fontId="179" fillId="0" borderId="23" xfId="0" quotePrefix="1" applyNumberFormat="1" applyFont="1" applyFill="1" applyBorder="1" applyAlignment="1">
      <alignment horizontal="center" vertical="center"/>
    </xf>
    <xf numFmtId="197" fontId="179" fillId="0" borderId="18" xfId="0" quotePrefix="1" applyNumberFormat="1" applyFont="1" applyFill="1" applyBorder="1" applyAlignment="1">
      <alignment horizontal="center" vertical="center"/>
    </xf>
    <xf numFmtId="3" fontId="180" fillId="0" borderId="23" xfId="0" quotePrefix="1" applyNumberFormat="1" applyFont="1" applyFill="1" applyBorder="1" applyAlignment="1">
      <alignment horizontal="center" vertical="center"/>
    </xf>
    <xf numFmtId="3" fontId="180" fillId="0" borderId="18" xfId="0" quotePrefix="1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28" fillId="0" borderId="0" xfId="0" applyFont="1" applyFill="1" applyBorder="1" applyAlignment="1">
      <alignment horizontal="center" vertical="center"/>
    </xf>
    <xf numFmtId="197" fontId="180" fillId="0" borderId="22" xfId="10" applyNumberFormat="1" applyFont="1" applyFill="1" applyBorder="1" applyAlignment="1">
      <alignment horizontal="center" vertical="center"/>
    </xf>
    <xf numFmtId="3" fontId="201" fillId="0" borderId="22" xfId="0" applyNumberFormat="1" applyFont="1" applyFill="1" applyBorder="1" applyAlignment="1">
      <alignment horizontal="center" vertical="center" wrapText="1"/>
    </xf>
    <xf numFmtId="0" fontId="201" fillId="0" borderId="22" xfId="0" applyFont="1" applyFill="1" applyBorder="1" applyAlignment="1">
      <alignment horizontal="left" vertical="center" wrapText="1"/>
    </xf>
    <xf numFmtId="0" fontId="202" fillId="0" borderId="22" xfId="0" applyNumberFormat="1" applyFont="1" applyFill="1" applyBorder="1" applyAlignment="1">
      <alignment horizontal="center" vertical="center"/>
    </xf>
    <xf numFmtId="2" fontId="180" fillId="0" borderId="22" xfId="0" applyNumberFormat="1" applyFont="1" applyFill="1" applyBorder="1" applyAlignment="1">
      <alignment horizontal="center" vertical="center"/>
    </xf>
    <xf numFmtId="197" fontId="179" fillId="0" borderId="22" xfId="0" quotePrefix="1" applyNumberFormat="1" applyFont="1" applyFill="1" applyBorder="1" applyAlignment="1">
      <alignment horizontal="center" vertical="center"/>
    </xf>
    <xf numFmtId="3" fontId="180" fillId="0" borderId="22" xfId="0" quotePrefix="1" applyNumberFormat="1" applyFont="1" applyFill="1" applyBorder="1" applyAlignment="1">
      <alignment horizontal="center" vertical="center"/>
    </xf>
    <xf numFmtId="4" fontId="201" fillId="0" borderId="23" xfId="10" applyNumberFormat="1" applyFont="1" applyFill="1" applyBorder="1" applyAlignment="1">
      <alignment horizontal="center" vertical="center"/>
    </xf>
    <xf numFmtId="4" fontId="201" fillId="0" borderId="18" xfId="10" applyNumberFormat="1" applyFont="1" applyFill="1" applyBorder="1" applyAlignment="1">
      <alignment horizontal="center" vertical="center"/>
    </xf>
    <xf numFmtId="4" fontId="201" fillId="0" borderId="22" xfId="10" applyNumberFormat="1" applyFont="1" applyFill="1" applyBorder="1" applyAlignment="1">
      <alignment horizontal="center" vertical="center"/>
    </xf>
    <xf numFmtId="0" fontId="180" fillId="0" borderId="6" xfId="0" applyFont="1" applyFill="1" applyBorder="1" applyAlignment="1">
      <alignment horizontal="center" vertical="center" wrapText="1"/>
    </xf>
    <xf numFmtId="0" fontId="203" fillId="0" borderId="27" xfId="0" applyFont="1" applyBorder="1" applyAlignment="1">
      <alignment horizontal="center" vertical="center"/>
    </xf>
    <xf numFmtId="0" fontId="203" fillId="0" borderId="31" xfId="0" applyFont="1" applyBorder="1" applyAlignment="1">
      <alignment horizontal="center" vertical="center"/>
    </xf>
    <xf numFmtId="0" fontId="196" fillId="0" borderId="0" xfId="0" applyFont="1" applyFill="1" applyBorder="1" applyAlignment="1">
      <alignment horizontal="center" vertical="center"/>
    </xf>
    <xf numFmtId="0" fontId="198" fillId="0" borderId="14" xfId="0" applyFont="1" applyFill="1" applyBorder="1" applyAlignment="1">
      <alignment horizontal="center" vertical="center"/>
    </xf>
    <xf numFmtId="10" fontId="199" fillId="0" borderId="1" xfId="0" applyNumberFormat="1" applyFont="1" applyFill="1" applyBorder="1" applyAlignment="1">
      <alignment horizontal="center" vertical="center" wrapText="1"/>
    </xf>
    <xf numFmtId="10" fontId="200" fillId="0" borderId="1" xfId="0" applyNumberFormat="1" applyFont="1" applyFill="1" applyBorder="1" applyAlignment="1">
      <alignment horizontal="center" vertical="center" wrapText="1"/>
    </xf>
    <xf numFmtId="2" fontId="179" fillId="0" borderId="1" xfId="0" applyNumberFormat="1" applyFont="1" applyFill="1" applyBorder="1" applyAlignment="1">
      <alignment horizontal="center" vertical="center" wrapText="1"/>
    </xf>
    <xf numFmtId="10" fontId="179" fillId="0" borderId="1" xfId="0" applyNumberFormat="1" applyFont="1" applyFill="1" applyBorder="1" applyAlignment="1">
      <alignment horizontal="center" vertical="center" wrapText="1"/>
    </xf>
    <xf numFmtId="197" fontId="179" fillId="0" borderId="1" xfId="0" applyNumberFormat="1" applyFont="1" applyFill="1" applyBorder="1" applyAlignment="1">
      <alignment horizontal="center" vertical="center" wrapText="1"/>
    </xf>
    <xf numFmtId="0" fontId="199" fillId="0" borderId="1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/>
    </xf>
    <xf numFmtId="0" fontId="180" fillId="0" borderId="32" xfId="0" applyFont="1" applyFill="1" applyBorder="1" applyAlignment="1">
      <alignment horizontal="center" vertical="center" wrapText="1"/>
    </xf>
    <xf numFmtId="0" fontId="180" fillId="0" borderId="33" xfId="0" applyFont="1" applyFill="1" applyBorder="1" applyAlignment="1">
      <alignment horizontal="center" vertical="center" wrapText="1"/>
    </xf>
    <xf numFmtId="0" fontId="180" fillId="0" borderId="34" xfId="0" applyFont="1" applyFill="1" applyBorder="1" applyAlignment="1">
      <alignment horizontal="center" vertical="center" wrapText="1"/>
    </xf>
    <xf numFmtId="4" fontId="180" fillId="0" borderId="32" xfId="0" applyNumberFormat="1" applyFont="1" applyFill="1" applyBorder="1" applyAlignment="1">
      <alignment horizontal="center" vertical="center"/>
    </xf>
    <xf numFmtId="4" fontId="180" fillId="0" borderId="33" xfId="0" applyNumberFormat="1" applyFont="1" applyFill="1" applyBorder="1" applyAlignment="1">
      <alignment horizontal="center" vertical="center"/>
    </xf>
    <xf numFmtId="4" fontId="180" fillId="0" borderId="34" xfId="0" applyNumberFormat="1" applyFont="1" applyFill="1" applyBorder="1" applyAlignment="1">
      <alignment horizontal="center" vertical="center"/>
    </xf>
    <xf numFmtId="0" fontId="198" fillId="0" borderId="0" xfId="0" applyFont="1" applyFill="1" applyBorder="1" applyAlignment="1">
      <alignment horizontal="center" vertical="center"/>
    </xf>
    <xf numFmtId="10" fontId="179" fillId="0" borderId="27" xfId="0" applyNumberFormat="1" applyFont="1" applyFill="1" applyBorder="1" applyAlignment="1">
      <alignment horizontal="center" vertical="center" wrapText="1"/>
    </xf>
    <xf numFmtId="10" fontId="179" fillId="0" borderId="21" xfId="0" applyNumberFormat="1" applyFont="1" applyFill="1" applyBorder="1" applyAlignment="1">
      <alignment horizontal="center" vertical="center" wrapText="1"/>
    </xf>
    <xf numFmtId="10" fontId="179" fillId="0" borderId="31" xfId="0" applyNumberFormat="1" applyFont="1" applyFill="1" applyBorder="1" applyAlignment="1">
      <alignment horizontal="center" vertical="center" wrapText="1"/>
    </xf>
    <xf numFmtId="197" fontId="179" fillId="0" borderId="15" xfId="0" quotePrefix="1" applyNumberFormat="1" applyFont="1" applyFill="1" applyBorder="1" applyAlignment="1">
      <alignment horizontal="center" vertical="center" wrapText="1"/>
    </xf>
    <xf numFmtId="197" fontId="179" fillId="0" borderId="20" xfId="0" quotePrefix="1" applyNumberFormat="1" applyFont="1" applyFill="1" applyBorder="1" applyAlignment="1">
      <alignment horizontal="center" vertical="center" wrapText="1"/>
    </xf>
    <xf numFmtId="197" fontId="179" fillId="0" borderId="15" xfId="0" applyNumberFormat="1" applyFont="1" applyFill="1" applyBorder="1" applyAlignment="1">
      <alignment horizontal="center" vertical="center" wrapText="1"/>
    </xf>
    <xf numFmtId="197" fontId="179" fillId="0" borderId="20" xfId="0" applyNumberFormat="1" applyFont="1" applyFill="1" applyBorder="1" applyAlignment="1">
      <alignment horizontal="center" vertical="center" wrapText="1"/>
    </xf>
    <xf numFmtId="4" fontId="180" fillId="0" borderId="6" xfId="0" applyNumberFormat="1" applyFont="1" applyFill="1" applyBorder="1" applyAlignment="1">
      <alignment vertical="center"/>
    </xf>
    <xf numFmtId="3" fontId="180" fillId="0" borderId="23" xfId="0" quotePrefix="1" applyNumberFormat="1" applyFont="1" applyFill="1" applyBorder="1" applyAlignment="1">
      <alignment vertical="center"/>
    </xf>
    <xf numFmtId="3" fontId="180" fillId="0" borderId="18" xfId="0" quotePrefix="1" applyNumberFormat="1" applyFont="1" applyFill="1" applyBorder="1" applyAlignment="1">
      <alignment vertical="center"/>
    </xf>
    <xf numFmtId="4" fontId="201" fillId="0" borderId="23" xfId="10" applyNumberFormat="1" applyFont="1" applyFill="1" applyBorder="1" applyAlignment="1">
      <alignment vertical="center"/>
    </xf>
    <xf numFmtId="4" fontId="201" fillId="0" borderId="18" xfId="10" applyNumberFormat="1" applyFont="1" applyFill="1" applyBorder="1" applyAlignment="1">
      <alignment vertical="center"/>
    </xf>
    <xf numFmtId="0" fontId="201" fillId="0" borderId="23" xfId="0" applyFont="1" applyFill="1" applyBorder="1" applyAlignment="1">
      <alignment vertical="center" wrapText="1"/>
    </xf>
    <xf numFmtId="0" fontId="201" fillId="0" borderId="22" xfId="0" applyFont="1" applyFill="1" applyBorder="1" applyAlignment="1">
      <alignment vertical="center" wrapText="1"/>
    </xf>
    <xf numFmtId="0" fontId="201" fillId="0" borderId="18" xfId="0" applyFont="1" applyFill="1" applyBorder="1" applyAlignment="1">
      <alignment vertical="center" wrapText="1"/>
    </xf>
    <xf numFmtId="3" fontId="180" fillId="0" borderId="22" xfId="0" quotePrefix="1" applyNumberFormat="1" applyFont="1" applyFill="1" applyBorder="1" applyAlignment="1">
      <alignment vertical="center"/>
    </xf>
    <xf numFmtId="4" fontId="201" fillId="0" borderId="22" xfId="10" applyNumberFormat="1" applyFont="1" applyFill="1" applyBorder="1" applyAlignment="1">
      <alignment vertical="center"/>
    </xf>
    <xf numFmtId="0" fontId="180" fillId="0" borderId="6" xfId="0" applyFont="1" applyFill="1" applyBorder="1" applyAlignment="1">
      <alignment vertical="center" wrapText="1"/>
    </xf>
    <xf numFmtId="0" fontId="203" fillId="0" borderId="27" xfId="0" applyFont="1" applyFill="1" applyBorder="1" applyAlignment="1">
      <alignment horizontal="center" vertical="center"/>
    </xf>
    <xf numFmtId="0" fontId="203" fillId="0" borderId="31" xfId="0" applyFont="1" applyFill="1" applyBorder="1" applyAlignment="1">
      <alignment horizontal="center" vertical="center"/>
    </xf>
    <xf numFmtId="0" fontId="203" fillId="0" borderId="1" xfId="0" applyFont="1" applyFill="1" applyBorder="1" applyAlignment="1">
      <alignment horizontal="center" vertical="center" wrapText="1"/>
    </xf>
    <xf numFmtId="0" fontId="203" fillId="0" borderId="1" xfId="0" applyFont="1" applyFill="1" applyBorder="1" applyAlignment="1">
      <alignment horizontal="center" vertical="center"/>
    </xf>
    <xf numFmtId="0" fontId="203" fillId="0" borderId="15" xfId="0" applyFont="1" applyBorder="1" applyAlignment="1">
      <alignment horizontal="center"/>
    </xf>
    <xf numFmtId="0" fontId="203" fillId="0" borderId="20" xfId="0" applyFont="1" applyBorder="1" applyAlignment="1">
      <alignment horizontal="center"/>
    </xf>
    <xf numFmtId="0" fontId="203" fillId="0" borderId="1" xfId="0" applyFont="1" applyBorder="1" applyAlignment="1">
      <alignment horizontal="center" vertical="center"/>
    </xf>
    <xf numFmtId="0" fontId="203" fillId="0" borderId="15" xfId="0" applyFont="1" applyBorder="1" applyAlignment="1">
      <alignment horizontal="center" vertical="center" wrapText="1"/>
    </xf>
    <xf numFmtId="0" fontId="203" fillId="0" borderId="20" xfId="0" applyFont="1" applyBorder="1" applyAlignment="1">
      <alignment horizontal="center" vertical="center" wrapText="1"/>
    </xf>
    <xf numFmtId="0" fontId="203" fillId="0" borderId="0" xfId="0" applyFont="1" applyBorder="1" applyAlignment="1">
      <alignment horizontal="center" vertical="center"/>
    </xf>
    <xf numFmtId="0" fontId="29" fillId="0" borderId="0" xfId="0" applyFont="1" applyFill="1" applyBorder="1" applyAlignment="1">
      <alignment horizontal="center" vertical="center"/>
    </xf>
    <xf numFmtId="0" fontId="252" fillId="0" borderId="6" xfId="0" applyFont="1" applyFill="1" applyBorder="1" applyAlignment="1">
      <alignment horizontal="center" vertical="center" wrapText="1"/>
    </xf>
    <xf numFmtId="10" fontId="251" fillId="0" borderId="16" xfId="0" applyNumberFormat="1" applyFont="1" applyFill="1" applyBorder="1" applyAlignment="1">
      <alignment horizontal="center" vertical="center" wrapText="1"/>
    </xf>
    <xf numFmtId="10" fontId="251" fillId="0" borderId="6" xfId="0" applyNumberFormat="1" applyFont="1" applyFill="1" applyBorder="1" applyAlignment="1">
      <alignment horizontal="center" vertical="center" wrapText="1"/>
    </xf>
    <xf numFmtId="2" fontId="251" fillId="0" borderId="16" xfId="0" applyNumberFormat="1" applyFont="1" applyFill="1" applyBorder="1" applyAlignment="1">
      <alignment horizontal="center" vertical="center" wrapText="1"/>
    </xf>
    <xf numFmtId="2" fontId="251" fillId="0" borderId="6" xfId="0" applyNumberFormat="1" applyFont="1" applyFill="1" applyBorder="1" applyAlignment="1">
      <alignment horizontal="center" vertical="center" wrapText="1"/>
    </xf>
    <xf numFmtId="197" fontId="251" fillId="0" borderId="16" xfId="0" applyNumberFormat="1" applyFont="1" applyFill="1" applyBorder="1" applyAlignment="1">
      <alignment horizontal="center" vertical="center" wrapText="1"/>
    </xf>
    <xf numFmtId="197" fontId="251" fillId="0" borderId="6" xfId="0" applyNumberFormat="1" applyFont="1" applyFill="1" applyBorder="1" applyAlignment="1">
      <alignment horizontal="center" vertical="center" wrapText="1"/>
    </xf>
    <xf numFmtId="0" fontId="251" fillId="0" borderId="16" xfId="0" applyFont="1" applyFill="1" applyBorder="1" applyAlignment="1">
      <alignment horizontal="center" vertical="center" wrapText="1"/>
    </xf>
    <xf numFmtId="0" fontId="251" fillId="0" borderId="6" xfId="0" applyFont="1" applyFill="1" applyBorder="1" applyAlignment="1">
      <alignment horizontal="center" vertical="center" wrapText="1"/>
    </xf>
    <xf numFmtId="0" fontId="197" fillId="0" borderId="27" xfId="0" applyFont="1" applyBorder="1" applyAlignment="1">
      <alignment horizontal="center"/>
    </xf>
    <xf numFmtId="0" fontId="197" fillId="0" borderId="21" xfId="0" applyFont="1" applyBorder="1" applyAlignment="1">
      <alignment horizontal="center"/>
    </xf>
    <xf numFmtId="0" fontId="197" fillId="0" borderId="31" xfId="0" applyFont="1" applyBorder="1" applyAlignment="1">
      <alignment horizontal="center"/>
    </xf>
    <xf numFmtId="4" fontId="252" fillId="0" borderId="6" xfId="0" applyNumberFormat="1" applyFont="1" applyFill="1" applyBorder="1" applyAlignment="1">
      <alignment horizontal="center" vertical="center"/>
    </xf>
    <xf numFmtId="0" fontId="183" fillId="3" borderId="0" xfId="0" applyFont="1" applyFill="1" applyBorder="1" applyAlignment="1">
      <alignment horizontal="center" vertical="center"/>
    </xf>
    <xf numFmtId="0" fontId="203" fillId="0" borderId="21" xfId="0" applyFont="1" applyBorder="1" applyAlignment="1">
      <alignment horizontal="center" vertical="center"/>
    </xf>
    <xf numFmtId="10" fontId="199" fillId="0" borderId="16" xfId="0" applyNumberFormat="1" applyFont="1" applyFill="1" applyBorder="1" applyAlignment="1">
      <alignment horizontal="center" vertical="center" wrapText="1"/>
    </xf>
    <xf numFmtId="10" fontId="199" fillId="0" borderId="6" xfId="0" applyNumberFormat="1" applyFont="1" applyFill="1" applyBorder="1" applyAlignment="1">
      <alignment horizontal="center" vertical="center" wrapText="1"/>
    </xf>
    <xf numFmtId="10" fontId="200" fillId="0" borderId="16" xfId="0" applyNumberFormat="1" applyFont="1" applyFill="1" applyBorder="1" applyAlignment="1">
      <alignment horizontal="center" vertical="center" wrapText="1"/>
    </xf>
    <xf numFmtId="10" fontId="200" fillId="0" borderId="6" xfId="0" applyNumberFormat="1" applyFont="1" applyFill="1" applyBorder="1" applyAlignment="1">
      <alignment horizontal="center" vertical="center" wrapText="1"/>
    </xf>
    <xf numFmtId="2" fontId="179" fillId="0" borderId="16" xfId="0" applyNumberFormat="1" applyFont="1" applyFill="1" applyBorder="1" applyAlignment="1">
      <alignment horizontal="center" vertical="center" wrapText="1"/>
    </xf>
    <xf numFmtId="2" fontId="179" fillId="0" borderId="6" xfId="0" applyNumberFormat="1" applyFont="1" applyFill="1" applyBorder="1" applyAlignment="1">
      <alignment horizontal="center" vertical="center" wrapText="1"/>
    </xf>
    <xf numFmtId="10" fontId="179" fillId="0" borderId="16" xfId="0" applyNumberFormat="1" applyFont="1" applyFill="1" applyBorder="1" applyAlignment="1">
      <alignment horizontal="center" vertical="center" wrapText="1"/>
    </xf>
    <xf numFmtId="10" fontId="179" fillId="0" borderId="6" xfId="0" applyNumberFormat="1" applyFont="1" applyFill="1" applyBorder="1" applyAlignment="1">
      <alignment horizontal="center" vertical="center" wrapText="1"/>
    </xf>
    <xf numFmtId="197" fontId="179" fillId="0" borderId="16" xfId="0" applyNumberFormat="1" applyFont="1" applyFill="1" applyBorder="1" applyAlignment="1">
      <alignment horizontal="center" vertical="center" wrapText="1"/>
    </xf>
    <xf numFmtId="197" fontId="179" fillId="0" borderId="6" xfId="0" applyNumberFormat="1" applyFont="1" applyFill="1" applyBorder="1" applyAlignment="1">
      <alignment horizontal="center" vertical="center" wrapText="1"/>
    </xf>
    <xf numFmtId="0" fontId="199" fillId="0" borderId="16" xfId="0" applyFont="1" applyFill="1" applyBorder="1" applyAlignment="1">
      <alignment horizontal="center" vertical="center" wrapText="1"/>
    </xf>
    <xf numFmtId="0" fontId="199" fillId="0" borderId="6" xfId="0" applyFont="1" applyFill="1" applyBorder="1" applyAlignment="1">
      <alignment horizontal="center" vertical="center" wrapText="1"/>
    </xf>
    <xf numFmtId="3" fontId="180" fillId="0" borderId="6" xfId="0" quotePrefix="1" applyNumberFormat="1" applyFont="1" applyFill="1" applyBorder="1" applyAlignment="1">
      <alignment horizontal="center" vertical="center"/>
    </xf>
    <xf numFmtId="197" fontId="180" fillId="0" borderId="6" xfId="10" applyNumberFormat="1" applyFont="1" applyFill="1" applyBorder="1" applyAlignment="1">
      <alignment horizontal="center" vertical="center"/>
    </xf>
    <xf numFmtId="3" fontId="201" fillId="0" borderId="6" xfId="0" applyNumberFormat="1" applyFont="1" applyFill="1" applyBorder="1" applyAlignment="1">
      <alignment horizontal="center" vertical="center" wrapText="1"/>
    </xf>
    <xf numFmtId="0" fontId="201" fillId="0" borderId="6" xfId="0" applyFont="1" applyFill="1" applyBorder="1" applyAlignment="1">
      <alignment horizontal="left" vertical="center" wrapText="1"/>
    </xf>
    <xf numFmtId="0" fontId="202" fillId="0" borderId="6" xfId="0" applyNumberFormat="1" applyFont="1" applyFill="1" applyBorder="1" applyAlignment="1">
      <alignment horizontal="center" vertical="center"/>
    </xf>
    <xf numFmtId="2" fontId="180" fillId="0" borderId="6" xfId="0" applyNumberFormat="1" applyFont="1" applyFill="1" applyBorder="1" applyAlignment="1">
      <alignment horizontal="center" vertical="center"/>
    </xf>
    <xf numFmtId="197" fontId="179" fillId="0" borderId="6" xfId="0" quotePrefix="1" applyNumberFormat="1" applyFont="1" applyFill="1" applyBorder="1" applyAlignment="1">
      <alignment horizontal="center" vertical="center"/>
    </xf>
    <xf numFmtId="197" fontId="179" fillId="0" borderId="23" xfId="10" applyNumberFormat="1" applyFont="1" applyFill="1" applyBorder="1" applyAlignment="1">
      <alignment horizontal="center" vertical="center"/>
    </xf>
    <xf numFmtId="197" fontId="179" fillId="0" borderId="22" xfId="10" applyNumberFormat="1" applyFont="1" applyFill="1" applyBorder="1" applyAlignment="1">
      <alignment horizontal="center" vertical="center"/>
    </xf>
    <xf numFmtId="197" fontId="179" fillId="0" borderId="18" xfId="10" applyNumberFormat="1" applyFont="1" applyFill="1" applyBorder="1" applyAlignment="1">
      <alignment horizontal="center" vertical="center"/>
    </xf>
    <xf numFmtId="4" fontId="201" fillId="0" borderId="23" xfId="10" applyNumberFormat="1" applyFont="1" applyFill="1" applyBorder="1" applyAlignment="1">
      <alignment horizontal="center" vertical="center" wrapText="1"/>
    </xf>
    <xf numFmtId="4" fontId="201" fillId="0" borderId="22" xfId="10" applyNumberFormat="1" applyFont="1" applyFill="1" applyBorder="1" applyAlignment="1">
      <alignment horizontal="center" vertical="center" wrapText="1"/>
    </xf>
    <xf numFmtId="4" fontId="201" fillId="0" borderId="18" xfId="10" applyNumberFormat="1" applyFont="1" applyFill="1" applyBorder="1" applyAlignment="1">
      <alignment horizontal="center" vertical="center" wrapText="1"/>
    </xf>
    <xf numFmtId="0" fontId="201" fillId="0" borderId="23" xfId="0" applyFont="1" applyFill="1" applyBorder="1" applyAlignment="1">
      <alignment horizontal="left" vertical="center"/>
    </xf>
    <xf numFmtId="0" fontId="201" fillId="0" borderId="22" xfId="0" applyFont="1" applyFill="1" applyBorder="1" applyAlignment="1">
      <alignment horizontal="left" vertical="center"/>
    </xf>
    <xf numFmtId="0" fontId="201" fillId="0" borderId="18" xfId="0" applyFont="1" applyFill="1" applyBorder="1" applyAlignment="1">
      <alignment horizontal="left" vertical="center"/>
    </xf>
    <xf numFmtId="197" fontId="180" fillId="0" borderId="23" xfId="0" quotePrefix="1" applyNumberFormat="1" applyFont="1" applyFill="1" applyBorder="1" applyAlignment="1">
      <alignment horizontal="center" vertical="center"/>
    </xf>
    <xf numFmtId="197" fontId="180" fillId="0" borderId="22" xfId="0" quotePrefix="1" applyNumberFormat="1" applyFont="1" applyFill="1" applyBorder="1" applyAlignment="1">
      <alignment horizontal="center" vertical="center"/>
    </xf>
    <xf numFmtId="197" fontId="180" fillId="0" borderId="18" xfId="0" quotePrefix="1" applyNumberFormat="1" applyFont="1" applyFill="1" applyBorder="1" applyAlignment="1">
      <alignment horizontal="center" vertical="center"/>
    </xf>
    <xf numFmtId="4" fontId="201" fillId="0" borderId="32" xfId="0" applyNumberFormat="1" applyFont="1" applyFill="1" applyBorder="1" applyAlignment="1">
      <alignment horizontal="center" vertical="center"/>
    </xf>
    <xf numFmtId="4" fontId="201" fillId="0" borderId="33" xfId="0" applyNumberFormat="1" applyFont="1" applyFill="1" applyBorder="1" applyAlignment="1">
      <alignment horizontal="center" vertical="center"/>
    </xf>
    <xf numFmtId="4" fontId="201" fillId="0" borderId="34" xfId="0" applyNumberFormat="1" applyFont="1" applyFill="1" applyBorder="1" applyAlignment="1">
      <alignment horizontal="center" vertical="center"/>
    </xf>
    <xf numFmtId="0" fontId="201" fillId="0" borderId="85" xfId="0" applyFont="1" applyFill="1" applyBorder="1" applyAlignment="1">
      <alignment horizontal="center" vertical="center" wrapText="1"/>
    </xf>
    <xf numFmtId="0" fontId="201" fillId="0" borderId="86" xfId="0" applyFont="1" applyFill="1" applyBorder="1" applyAlignment="1">
      <alignment horizontal="center" vertical="center" wrapText="1"/>
    </xf>
    <xf numFmtId="0" fontId="201" fillId="0" borderId="87" xfId="0" applyFont="1" applyFill="1" applyBorder="1" applyAlignment="1">
      <alignment horizontal="center" vertical="center" wrapText="1"/>
    </xf>
    <xf numFmtId="2" fontId="199" fillId="0" borderId="16" xfId="0" applyNumberFormat="1" applyFont="1" applyFill="1" applyBorder="1" applyAlignment="1">
      <alignment horizontal="center" vertical="center" wrapText="1"/>
    </xf>
    <xf numFmtId="2" fontId="199" fillId="0" borderId="6" xfId="0" applyNumberFormat="1" applyFont="1" applyFill="1" applyBorder="1" applyAlignment="1">
      <alignment horizontal="center" vertical="center" wrapText="1"/>
    </xf>
    <xf numFmtId="197" fontId="199" fillId="0" borderId="16" xfId="0" applyNumberFormat="1" applyFont="1" applyFill="1" applyBorder="1" applyAlignment="1">
      <alignment horizontal="center" vertical="center" wrapText="1"/>
    </xf>
    <xf numFmtId="197" fontId="199" fillId="0" borderId="6" xfId="0" applyNumberFormat="1" applyFont="1" applyFill="1" applyBorder="1" applyAlignment="1">
      <alignment horizontal="center" vertical="center" wrapText="1"/>
    </xf>
    <xf numFmtId="0" fontId="201" fillId="0" borderId="6" xfId="0" applyFont="1" applyFill="1" applyBorder="1" applyAlignment="1">
      <alignment horizontal="center" vertical="center" wrapText="1"/>
    </xf>
    <xf numFmtId="0" fontId="201" fillId="0" borderId="17" xfId="0" applyFont="1" applyFill="1" applyBorder="1" applyAlignment="1">
      <alignment horizontal="center" vertical="center" wrapText="1"/>
    </xf>
    <xf numFmtId="0" fontId="201" fillId="0" borderId="23" xfId="0" applyFont="1" applyFill="1" applyBorder="1" applyAlignment="1">
      <alignment horizontal="center" vertical="center" wrapText="1"/>
    </xf>
    <xf numFmtId="0" fontId="201" fillId="0" borderId="18" xfId="0" applyFont="1" applyFill="1" applyBorder="1" applyAlignment="1">
      <alignment horizontal="center" vertical="center" wrapText="1"/>
    </xf>
    <xf numFmtId="0" fontId="201" fillId="0" borderId="23" xfId="0" quotePrefix="1" applyNumberFormat="1" applyFont="1" applyFill="1" applyBorder="1" applyAlignment="1">
      <alignment horizontal="center" vertical="center" wrapText="1"/>
    </xf>
    <xf numFmtId="0" fontId="201" fillId="0" borderId="18" xfId="0" quotePrefix="1" applyNumberFormat="1" applyFont="1" applyFill="1" applyBorder="1" applyAlignment="1">
      <alignment horizontal="center" vertical="center" wrapText="1"/>
    </xf>
    <xf numFmtId="0" fontId="201" fillId="0" borderId="22" xfId="0" applyFont="1" applyFill="1" applyBorder="1" applyAlignment="1">
      <alignment horizontal="center" vertical="center" wrapText="1"/>
    </xf>
    <xf numFmtId="1" fontId="201" fillId="0" borderId="23" xfId="0" applyNumberFormat="1" applyFont="1" applyFill="1" applyBorder="1" applyAlignment="1">
      <alignment horizontal="center" vertical="center" wrapText="1"/>
    </xf>
    <xf numFmtId="1" fontId="201" fillId="0" borderId="22" xfId="0" applyNumberFormat="1" applyFont="1" applyFill="1" applyBorder="1" applyAlignment="1">
      <alignment horizontal="center" vertical="center" wrapText="1"/>
    </xf>
    <xf numFmtId="1" fontId="201" fillId="0" borderId="18" xfId="0" applyNumberFormat="1" applyFont="1" applyFill="1" applyBorder="1" applyAlignment="1">
      <alignment horizontal="center" vertical="center" wrapText="1"/>
    </xf>
    <xf numFmtId="0" fontId="201" fillId="0" borderId="22" xfId="0" quotePrefix="1" applyNumberFormat="1" applyFont="1" applyFill="1" applyBorder="1" applyAlignment="1">
      <alignment horizontal="center" vertical="center" wrapText="1"/>
    </xf>
    <xf numFmtId="205" fontId="201" fillId="0" borderId="23" xfId="0" applyNumberFormat="1" applyFont="1" applyFill="1" applyBorder="1" applyAlignment="1">
      <alignment horizontal="center" vertical="center" wrapText="1"/>
    </xf>
    <xf numFmtId="205" fontId="201" fillId="0" borderId="18" xfId="0" applyNumberFormat="1" applyFont="1" applyFill="1" applyBorder="1" applyAlignment="1">
      <alignment horizontal="center" vertical="center" wrapText="1"/>
    </xf>
    <xf numFmtId="4" fontId="201" fillId="0" borderId="23" xfId="0" applyNumberFormat="1" applyFont="1" applyFill="1" applyBorder="1" applyAlignment="1">
      <alignment horizontal="center" vertical="center" wrapText="1"/>
    </xf>
    <xf numFmtId="4" fontId="201" fillId="0" borderId="18" xfId="0" applyNumberFormat="1" applyFont="1" applyFill="1" applyBorder="1" applyAlignment="1">
      <alignment horizontal="center" vertical="center" wrapText="1"/>
    </xf>
    <xf numFmtId="3" fontId="201" fillId="0" borderId="23" xfId="0" quotePrefix="1" applyNumberFormat="1" applyFont="1" applyFill="1" applyBorder="1" applyAlignment="1">
      <alignment horizontal="center" vertical="center"/>
    </xf>
    <xf numFmtId="3" fontId="201" fillId="0" borderId="18" xfId="0" quotePrefix="1" applyNumberFormat="1" applyFont="1" applyFill="1" applyBorder="1" applyAlignment="1">
      <alignment horizontal="center" vertical="center"/>
    </xf>
    <xf numFmtId="0" fontId="201" fillId="7" borderId="23" xfId="273" applyFont="1" applyFill="1" applyBorder="1" applyAlignment="1">
      <alignment horizontal="left" vertical="center"/>
    </xf>
    <xf numFmtId="0" fontId="201" fillId="7" borderId="18" xfId="273" applyFont="1" applyFill="1" applyBorder="1" applyAlignment="1">
      <alignment horizontal="left" vertical="center"/>
    </xf>
    <xf numFmtId="0" fontId="201" fillId="0" borderId="23" xfId="0" applyNumberFormat="1" applyFont="1" applyFill="1" applyBorder="1" applyAlignment="1">
      <alignment horizontal="center" vertical="center"/>
    </xf>
    <xf numFmtId="0" fontId="201" fillId="0" borderId="18" xfId="0" applyNumberFormat="1" applyFont="1" applyFill="1" applyBorder="1" applyAlignment="1">
      <alignment horizontal="center" vertical="center"/>
    </xf>
    <xf numFmtId="1" fontId="201" fillId="0" borderId="23" xfId="0" applyNumberFormat="1" applyFont="1" applyFill="1" applyBorder="1" applyAlignment="1">
      <alignment horizontal="center" vertical="center"/>
    </xf>
    <xf numFmtId="1" fontId="201" fillId="0" borderId="18" xfId="0" applyNumberFormat="1" applyFont="1" applyFill="1" applyBorder="1" applyAlignment="1">
      <alignment horizontal="center" vertical="center"/>
    </xf>
    <xf numFmtId="0" fontId="189" fillId="0" borderId="1" xfId="0" applyFont="1" applyBorder="1" applyAlignment="1">
      <alignment horizontal="center"/>
    </xf>
    <xf numFmtId="0" fontId="195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38" fillId="0" borderId="15" xfId="0" applyFont="1" applyBorder="1" applyAlignment="1">
      <alignment horizontal="center" vertical="center" wrapText="1"/>
    </xf>
    <xf numFmtId="0" fontId="38" fillId="0" borderId="22" xfId="0" applyFont="1" applyBorder="1" applyAlignment="1">
      <alignment horizontal="center" vertical="center" wrapText="1"/>
    </xf>
    <xf numFmtId="0" fontId="232" fillId="0" borderId="1" xfId="0" applyFont="1" applyBorder="1" applyAlignment="1">
      <alignment horizontal="center"/>
    </xf>
    <xf numFmtId="0" fontId="36" fillId="0" borderId="0" xfId="0" applyFont="1" applyAlignment="1">
      <alignment horizontal="center" vertical="center"/>
    </xf>
    <xf numFmtId="0" fontId="12" fillId="0" borderId="22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91" fillId="0" borderId="0" xfId="0" applyFont="1" applyAlignment="1">
      <alignment horizontal="center"/>
    </xf>
    <xf numFmtId="0" fontId="11" fillId="0" borderId="0" xfId="274" applyFont="1" applyFill="1" applyBorder="1" applyAlignment="1">
      <alignment horizontal="center"/>
    </xf>
    <xf numFmtId="0" fontId="16" fillId="0" borderId="0" xfId="274" applyFont="1" applyFill="1" applyBorder="1" applyAlignment="1">
      <alignment horizontal="center"/>
    </xf>
    <xf numFmtId="0" fontId="12" fillId="0" borderId="0" xfId="274" applyFont="1" applyFill="1" applyBorder="1" applyAlignment="1">
      <alignment horizontal="center" vertical="center"/>
    </xf>
    <xf numFmtId="0" fontId="22" fillId="0" borderId="15" xfId="274" quotePrefix="1" applyFont="1" applyFill="1" applyBorder="1" applyAlignment="1">
      <alignment horizontal="center" vertical="center" wrapText="1"/>
    </xf>
    <xf numFmtId="0" fontId="22" fillId="0" borderId="22" xfId="274" quotePrefix="1" applyFont="1" applyFill="1" applyBorder="1" applyAlignment="1">
      <alignment horizontal="center" vertical="center" wrapText="1"/>
    </xf>
    <xf numFmtId="0" fontId="22" fillId="0" borderId="20" xfId="274" quotePrefix="1" applyFont="1" applyFill="1" applyBorder="1" applyAlignment="1">
      <alignment horizontal="center" vertical="center" wrapText="1"/>
    </xf>
    <xf numFmtId="0" fontId="21" fillId="0" borderId="15" xfId="274" applyFont="1" applyFill="1" applyBorder="1" applyAlignment="1">
      <alignment horizontal="center" vertical="center" wrapText="1"/>
    </xf>
    <xf numFmtId="0" fontId="21" fillId="0" borderId="22" xfId="274" applyFont="1" applyFill="1" applyBorder="1" applyAlignment="1">
      <alignment horizontal="center" vertical="center" wrapText="1"/>
    </xf>
    <xf numFmtId="0" fontId="21" fillId="0" borderId="20" xfId="274" applyFont="1" applyFill="1" applyBorder="1" applyAlignment="1">
      <alignment horizontal="center" vertical="center" wrapText="1"/>
    </xf>
    <xf numFmtId="0" fontId="21" fillId="0" borderId="16" xfId="274" applyFont="1" applyFill="1" applyBorder="1" applyAlignment="1">
      <alignment horizontal="center" vertical="center" wrapText="1"/>
    </xf>
    <xf numFmtId="0" fontId="21" fillId="0" borderId="6" xfId="274" applyFont="1" applyFill="1" applyBorder="1" applyAlignment="1">
      <alignment horizontal="center" vertical="center" wrapText="1"/>
    </xf>
    <xf numFmtId="0" fontId="21" fillId="0" borderId="17" xfId="274" applyFont="1" applyFill="1" applyBorder="1" applyAlignment="1">
      <alignment horizontal="center" vertical="center" wrapText="1"/>
    </xf>
    <xf numFmtId="0" fontId="21" fillId="0" borderId="8" xfId="274" applyFont="1" applyFill="1" applyBorder="1" applyAlignment="1">
      <alignment horizontal="center" vertical="center" wrapText="1"/>
    </xf>
    <xf numFmtId="0" fontId="101" fillId="0" borderId="8" xfId="274" applyFont="1" applyFill="1" applyBorder="1" applyAlignment="1">
      <alignment horizontal="center" vertical="center" wrapText="1"/>
    </xf>
    <xf numFmtId="0" fontId="21" fillId="0" borderId="73" xfId="274" applyFont="1" applyFill="1" applyBorder="1" applyAlignment="1">
      <alignment horizontal="center" vertical="center" wrapText="1"/>
    </xf>
    <xf numFmtId="0" fontId="38" fillId="0" borderId="79" xfId="274" applyFont="1" applyFill="1" applyBorder="1" applyAlignment="1">
      <alignment horizontal="center"/>
    </xf>
    <xf numFmtId="0" fontId="38" fillId="0" borderId="80" xfId="274" applyFont="1" applyFill="1" applyBorder="1" applyAlignment="1">
      <alignment horizontal="center"/>
    </xf>
    <xf numFmtId="0" fontId="2" fillId="0" borderId="16" xfId="274" applyFont="1" applyFill="1" applyBorder="1" applyAlignment="1">
      <alignment horizontal="center" vertical="center" wrapText="1"/>
    </xf>
    <xf numFmtId="0" fontId="2" fillId="0" borderId="6" xfId="274" applyFont="1" applyFill="1" applyBorder="1" applyAlignment="1">
      <alignment horizontal="center" vertical="center" wrapText="1"/>
    </xf>
    <xf numFmtId="0" fontId="2" fillId="0" borderId="17" xfId="274" applyFont="1" applyFill="1" applyBorder="1" applyAlignment="1">
      <alignment horizontal="center" vertical="center" wrapText="1"/>
    </xf>
    <xf numFmtId="0" fontId="2" fillId="0" borderId="77" xfId="274" applyFont="1" applyFill="1" applyBorder="1" applyAlignment="1">
      <alignment horizontal="center" vertical="center" wrapText="1"/>
    </xf>
    <xf numFmtId="0" fontId="2" fillId="0" borderId="39" xfId="274" applyFont="1" applyFill="1" applyBorder="1" applyAlignment="1">
      <alignment horizontal="center" vertical="center" wrapText="1"/>
    </xf>
    <xf numFmtId="0" fontId="2" fillId="0" borderId="49" xfId="274" applyFont="1" applyFill="1" applyBorder="1" applyAlignment="1">
      <alignment horizontal="center" vertical="center" wrapText="1"/>
    </xf>
    <xf numFmtId="0" fontId="2" fillId="0" borderId="8" xfId="274" applyFont="1" applyFill="1" applyBorder="1" applyAlignment="1">
      <alignment horizontal="center" vertical="center" wrapText="1"/>
    </xf>
    <xf numFmtId="0" fontId="2" fillId="0" borderId="78" xfId="274" applyFont="1" applyFill="1" applyBorder="1" applyAlignment="1">
      <alignment horizontal="center" vertical="center" wrapText="1"/>
    </xf>
    <xf numFmtId="0" fontId="2" fillId="0" borderId="40" xfId="274" applyFont="1" applyFill="1" applyBorder="1" applyAlignment="1">
      <alignment horizontal="center" vertical="center" wrapText="1"/>
    </xf>
    <xf numFmtId="0" fontId="20" fillId="0" borderId="39" xfId="274" applyFont="1" applyFill="1" applyBorder="1" applyAlignment="1">
      <alignment horizontal="center" vertical="center"/>
    </xf>
    <xf numFmtId="0" fontId="20" fillId="0" borderId="72" xfId="274" applyFont="1" applyFill="1" applyBorder="1" applyAlignment="1">
      <alignment horizontal="center" vertical="center"/>
    </xf>
    <xf numFmtId="0" fontId="208" fillId="0" borderId="0" xfId="274" applyFont="1" applyFill="1" applyBorder="1" applyAlignment="1">
      <alignment horizontal="center"/>
    </xf>
    <xf numFmtId="0" fontId="8" fillId="0" borderId="8" xfId="274" quotePrefix="1" applyFont="1" applyFill="1" applyBorder="1" applyAlignment="1">
      <alignment horizontal="center" vertical="center" wrapText="1"/>
    </xf>
    <xf numFmtId="0" fontId="23" fillId="0" borderId="0" xfId="274" applyFont="1" applyFill="1" applyBorder="1" applyAlignment="1">
      <alignment horizontal="center"/>
    </xf>
    <xf numFmtId="0" fontId="207" fillId="7" borderId="0" xfId="274" applyFont="1" applyFill="1" applyBorder="1" applyAlignment="1">
      <alignment horizontal="center" vertical="center" wrapText="1"/>
    </xf>
    <xf numFmtId="0" fontId="2" fillId="0" borderId="1" xfId="274" applyFont="1" applyFill="1" applyBorder="1" applyAlignment="1">
      <alignment horizontal="center"/>
    </xf>
    <xf numFmtId="0" fontId="8" fillId="0" borderId="10" xfId="274" quotePrefix="1" applyFont="1" applyFill="1" applyBorder="1" applyAlignment="1">
      <alignment horizontal="center" vertical="center" wrapText="1"/>
    </xf>
    <xf numFmtId="0" fontId="21" fillId="0" borderId="23" xfId="274" applyFont="1" applyFill="1" applyBorder="1" applyAlignment="1">
      <alignment horizontal="center" vertical="center" wrapText="1"/>
    </xf>
    <xf numFmtId="0" fontId="21" fillId="0" borderId="69" xfId="274" applyFont="1" applyFill="1" applyBorder="1" applyAlignment="1">
      <alignment horizontal="center"/>
    </xf>
    <xf numFmtId="0" fontId="21" fillId="0" borderId="9" xfId="274" applyFont="1" applyFill="1" applyBorder="1" applyAlignment="1">
      <alignment horizontal="center"/>
    </xf>
    <xf numFmtId="0" fontId="2" fillId="0" borderId="56" xfId="274" applyFont="1" applyFill="1" applyBorder="1" applyAlignment="1">
      <alignment horizontal="center" vertical="center" wrapText="1"/>
    </xf>
    <xf numFmtId="0" fontId="2" fillId="0" borderId="37" xfId="274" applyFont="1" applyFill="1" applyBorder="1" applyAlignment="1">
      <alignment horizontal="center" vertical="center" wrapText="1"/>
    </xf>
    <xf numFmtId="0" fontId="2" fillId="0" borderId="57" xfId="274" applyFont="1" applyFill="1" applyBorder="1" applyAlignment="1">
      <alignment horizontal="center" vertical="center" wrapText="1"/>
    </xf>
    <xf numFmtId="0" fontId="21" fillId="0" borderId="79" xfId="274" applyFont="1" applyFill="1" applyBorder="1" applyAlignment="1">
      <alignment horizontal="center"/>
    </xf>
    <xf numFmtId="0" fontId="21" fillId="0" borderId="80" xfId="274" applyFont="1" applyFill="1" applyBorder="1" applyAlignment="1">
      <alignment horizontal="center"/>
    </xf>
    <xf numFmtId="0" fontId="22" fillId="0" borderId="16" xfId="274" quotePrefix="1" applyFont="1" applyFill="1" applyBorder="1" applyAlignment="1">
      <alignment horizontal="center" vertical="center" wrapText="1"/>
    </xf>
    <xf numFmtId="0" fontId="22" fillId="0" borderId="6" xfId="274" quotePrefix="1" applyFont="1" applyFill="1" applyBorder="1" applyAlignment="1">
      <alignment horizontal="center" vertical="center" wrapText="1"/>
    </xf>
    <xf numFmtId="0" fontId="22" fillId="0" borderId="17" xfId="274" quotePrefix="1" applyFont="1" applyFill="1" applyBorder="1" applyAlignment="1">
      <alignment horizontal="center" vertical="center" wrapText="1"/>
    </xf>
    <xf numFmtId="0" fontId="8" fillId="0" borderId="42" xfId="274" quotePrefix="1" applyFont="1" applyFill="1" applyBorder="1" applyAlignment="1">
      <alignment horizontal="center" vertical="center" wrapText="1"/>
    </xf>
    <xf numFmtId="0" fontId="8" fillId="0" borderId="9" xfId="274" quotePrefix="1" applyFont="1" applyFill="1" applyBorder="1" applyAlignment="1">
      <alignment horizontal="center" vertical="center" wrapText="1"/>
    </xf>
    <xf numFmtId="0" fontId="8" fillId="0" borderId="70" xfId="274" quotePrefix="1" applyFont="1" applyFill="1" applyBorder="1" applyAlignment="1">
      <alignment horizontal="center" vertical="center" wrapText="1"/>
    </xf>
    <xf numFmtId="0" fontId="8" fillId="0" borderId="69" xfId="274" quotePrefix="1" applyFont="1" applyFill="1" applyBorder="1" applyAlignment="1">
      <alignment horizontal="center" vertical="center" wrapText="1"/>
    </xf>
    <xf numFmtId="0" fontId="8" fillId="0" borderId="59" xfId="274" quotePrefix="1" applyFont="1" applyFill="1" applyBorder="1" applyAlignment="1">
      <alignment horizontal="center" vertical="center" wrapText="1"/>
    </xf>
    <xf numFmtId="0" fontId="8" fillId="0" borderId="39" xfId="274" quotePrefix="1" applyFont="1" applyFill="1" applyBorder="1" applyAlignment="1">
      <alignment horizontal="center" vertical="center" wrapText="1"/>
    </xf>
    <xf numFmtId="0" fontId="8" fillId="0" borderId="40" xfId="274" quotePrefix="1" applyFont="1" applyFill="1" applyBorder="1" applyAlignment="1">
      <alignment horizontal="center" vertical="center" wrapText="1"/>
    </xf>
    <xf numFmtId="0" fontId="8" fillId="0" borderId="71" xfId="274" quotePrefix="1" applyFont="1" applyFill="1" applyBorder="1" applyAlignment="1">
      <alignment horizontal="center" vertical="center" wrapText="1"/>
    </xf>
    <xf numFmtId="0" fontId="8" fillId="0" borderId="48" xfId="274" quotePrefix="1" applyFont="1" applyFill="1" applyBorder="1" applyAlignment="1">
      <alignment horizontal="center" vertical="center" wrapText="1"/>
    </xf>
    <xf numFmtId="0" fontId="13" fillId="0" borderId="0" xfId="274" applyFont="1" applyFill="1" applyBorder="1" applyAlignment="1">
      <alignment horizontal="center"/>
    </xf>
    <xf numFmtId="0" fontId="262" fillId="0" borderId="1" xfId="0" applyFont="1" applyBorder="1" applyAlignment="1">
      <alignment horizontal="center"/>
    </xf>
    <xf numFmtId="0" fontId="263" fillId="0" borderId="1" xfId="0" applyFont="1" applyBorder="1" applyAlignment="1">
      <alignment horizontal="center"/>
    </xf>
    <xf numFmtId="0" fontId="261" fillId="0" borderId="24" xfId="0" applyFont="1" applyBorder="1" applyAlignment="1">
      <alignment horizontal="left" indent="21"/>
    </xf>
    <xf numFmtId="0" fontId="61" fillId="0" borderId="24" xfId="0" applyFont="1" applyBorder="1" applyAlignment="1">
      <alignment horizontal="left" indent="21"/>
    </xf>
    <xf numFmtId="0" fontId="229" fillId="0" borderId="0" xfId="0" applyFont="1" applyAlignment="1">
      <alignment horizontal="center"/>
    </xf>
    <xf numFmtId="203" fontId="89" fillId="0" borderId="0" xfId="8" applyNumberFormat="1" applyFont="1" applyFill="1" applyAlignment="1">
      <alignment horizontal="center"/>
    </xf>
    <xf numFmtId="0" fontId="77" fillId="0" borderId="1" xfId="0" applyFont="1" applyBorder="1" applyAlignment="1">
      <alignment horizontal="center"/>
    </xf>
    <xf numFmtId="0" fontId="11" fillId="0" borderId="27" xfId="254" applyFont="1" applyBorder="1" applyAlignment="1">
      <alignment horizontal="center" vertical="center" wrapText="1"/>
    </xf>
    <xf numFmtId="0" fontId="11" fillId="0" borderId="21" xfId="254" applyFont="1" applyBorder="1" applyAlignment="1">
      <alignment horizontal="center" vertical="center" wrapText="1"/>
    </xf>
    <xf numFmtId="0" fontId="11" fillId="0" borderId="31" xfId="254" applyFont="1" applyBorder="1" applyAlignment="1">
      <alignment horizontal="center" vertical="center" wrapText="1"/>
    </xf>
    <xf numFmtId="0" fontId="11" fillId="0" borderId="27" xfId="254" applyFont="1" applyBorder="1" applyAlignment="1">
      <alignment horizontal="center" vertical="center" shrinkToFit="1"/>
    </xf>
    <xf numFmtId="0" fontId="11" fillId="0" borderId="21" xfId="254" applyFont="1" applyBorder="1" applyAlignment="1">
      <alignment horizontal="center" vertical="center" shrinkToFit="1"/>
    </xf>
    <xf numFmtId="0" fontId="34" fillId="0" borderId="24" xfId="254" applyFont="1" applyBorder="1" applyAlignment="1">
      <alignment horizontal="left" vertical="center" indent="14" shrinkToFit="1"/>
    </xf>
    <xf numFmtId="0" fontId="56" fillId="0" borderId="0" xfId="254" applyFont="1" applyAlignment="1">
      <alignment horizontal="center"/>
    </xf>
    <xf numFmtId="3" fontId="56" fillId="0" borderId="0" xfId="254" applyNumberFormat="1" applyFont="1" applyAlignment="1">
      <alignment horizontal="left" indent="7"/>
    </xf>
    <xf numFmtId="0" fontId="134" fillId="7" borderId="0" xfId="0" applyFont="1" applyFill="1" applyAlignment="1">
      <alignment horizontal="center"/>
    </xf>
    <xf numFmtId="0" fontId="158" fillId="7" borderId="0" xfId="0" applyFont="1" applyFill="1" applyAlignment="1">
      <alignment horizontal="center"/>
    </xf>
    <xf numFmtId="0" fontId="98" fillId="7" borderId="24" xfId="0" applyFont="1" applyFill="1" applyBorder="1" applyAlignment="1">
      <alignment horizontal="center" vertical="center" shrinkToFit="1"/>
    </xf>
    <xf numFmtId="0" fontId="155" fillId="7" borderId="0" xfId="0" applyFont="1" applyFill="1" applyAlignment="1">
      <alignment horizontal="center" vertical="center"/>
    </xf>
    <xf numFmtId="0" fontId="144" fillId="7" borderId="15" xfId="0" applyFont="1" applyFill="1" applyBorder="1" applyAlignment="1">
      <alignment horizontal="center" vertical="center" wrapText="1"/>
    </xf>
    <xf numFmtId="0" fontId="144" fillId="7" borderId="20" xfId="0" applyFont="1" applyFill="1" applyBorder="1" applyAlignment="1">
      <alignment horizontal="center" vertical="center" wrapText="1"/>
    </xf>
    <xf numFmtId="0" fontId="144" fillId="7" borderId="1" xfId="0" applyFont="1" applyFill="1" applyBorder="1" applyAlignment="1">
      <alignment horizontal="center" vertical="center"/>
    </xf>
    <xf numFmtId="0" fontId="154" fillId="7" borderId="15" xfId="0" applyFont="1" applyFill="1" applyBorder="1" applyAlignment="1">
      <alignment horizontal="center" vertical="center"/>
    </xf>
    <xf numFmtId="0" fontId="154" fillId="7" borderId="20" xfId="0" applyFont="1" applyFill="1" applyBorder="1" applyAlignment="1">
      <alignment horizontal="center" vertical="center"/>
    </xf>
    <xf numFmtId="0" fontId="144" fillId="7" borderId="24" xfId="0" applyFont="1" applyFill="1" applyBorder="1" applyAlignment="1">
      <alignment horizontal="center" vertical="center"/>
    </xf>
    <xf numFmtId="0" fontId="144" fillId="7" borderId="14" xfId="0" applyFont="1" applyFill="1" applyBorder="1" applyAlignment="1">
      <alignment horizontal="center" vertical="center"/>
    </xf>
    <xf numFmtId="0" fontId="144" fillId="7" borderId="27" xfId="0" applyFont="1" applyFill="1" applyBorder="1" applyAlignment="1">
      <alignment horizontal="center" vertical="center" wrapText="1"/>
    </xf>
    <xf numFmtId="0" fontId="144" fillId="7" borderId="21" xfId="0" applyFont="1" applyFill="1" applyBorder="1" applyAlignment="1">
      <alignment horizontal="center" vertical="center" wrapText="1"/>
    </xf>
    <xf numFmtId="191" fontId="144" fillId="7" borderId="1" xfId="3" applyNumberFormat="1" applyFont="1" applyFill="1" applyBorder="1" applyAlignment="1">
      <alignment horizontal="center" vertical="center" wrapText="1"/>
    </xf>
  </cellXfs>
  <cellStyles count="316">
    <cellStyle name="Comma" xfId="1" builtinId="3"/>
    <cellStyle name="Comma [0] 2" xfId="306"/>
    <cellStyle name="Comma 19" xfId="307"/>
    <cellStyle name="Comma 2" xfId="2"/>
    <cellStyle name="Comma 2 2" xfId="3"/>
    <cellStyle name="Comma 2 3" xfId="4"/>
    <cellStyle name="Comma 2 4" xfId="5"/>
    <cellStyle name="Comma 2 5" xfId="6"/>
    <cellStyle name="Comma 2 6" xfId="7"/>
    <cellStyle name="Comma 2 7" xfId="290"/>
    <cellStyle name="Comma 2 8" xfId="298"/>
    <cellStyle name="Comma 3" xfId="8"/>
    <cellStyle name="Comma 3 2" xfId="9"/>
    <cellStyle name="Comma 3 3" xfId="291"/>
    <cellStyle name="Comma 3 4" xfId="299"/>
    <cellStyle name="Comma 4" xfId="10"/>
    <cellStyle name="Comma 4 2" xfId="11"/>
    <cellStyle name="Comma 4 2 2" xfId="301"/>
    <cellStyle name="Comma 4 3" xfId="300"/>
    <cellStyle name="Comma 6" xfId="12"/>
    <cellStyle name="Comma 6 2" xfId="302"/>
    <cellStyle name="Comma_Sheet1" xfId="13"/>
    <cellStyle name="Comma0" xfId="14"/>
    <cellStyle name="Comma0 2" xfId="15"/>
    <cellStyle name="Currency" xfId="288" builtinId="4"/>
    <cellStyle name="Currency 2" xfId="16"/>
    <cellStyle name="Currency 3" xfId="308"/>
    <cellStyle name="Currency0" xfId="17"/>
    <cellStyle name="Currency0 2" xfId="18"/>
    <cellStyle name="Date" xfId="19"/>
    <cellStyle name="Date 2" xfId="20"/>
    <cellStyle name="Dấu_phảy 2" xfId="21"/>
    <cellStyle name="Fixed" xfId="22"/>
    <cellStyle name="Fixed 2" xfId="23"/>
    <cellStyle name="Normal" xfId="0" builtinId="0"/>
    <cellStyle name="Normal 10" xfId="305"/>
    <cellStyle name="Normal 16" xfId="24"/>
    <cellStyle name="Normal 16 2" xfId="309"/>
    <cellStyle name="Normal 2" xfId="25"/>
    <cellStyle name="Normal 2 2" xfId="26"/>
    <cellStyle name="Normal 2 2 2" xfId="27"/>
    <cellStyle name="Normal 2 2 2 2" xfId="28"/>
    <cellStyle name="Normal 2 2 2 2 2" xfId="29"/>
    <cellStyle name="Normal 2 2 2 2 2 2" xfId="30"/>
    <cellStyle name="Normal 2 2 2 2 2 2 2" xfId="31"/>
    <cellStyle name="Normal 2 2 2 2 2 2 2 2" xfId="32"/>
    <cellStyle name="Normal 2 2 2 2 2 2 2 2 2" xfId="33"/>
    <cellStyle name="Normal 2 2 2 2 2 2 2 2 2 2" xfId="34"/>
    <cellStyle name="Normal 2 2 2 2 2 2 2 2 2 2 2" xfId="35"/>
    <cellStyle name="Normal 2 2 2 2 2 2 2 2 3" xfId="36"/>
    <cellStyle name="Normal 2 2 2 2 2 2 2 2 4" xfId="37"/>
    <cellStyle name="Normal 2 2 2 2 2 2 2 3" xfId="38"/>
    <cellStyle name="Normal 2 2 2 2 2 2 2 3 2" xfId="39"/>
    <cellStyle name="Normal 2 2 2 2 2 2 2 3 2 2" xfId="40"/>
    <cellStyle name="Normal 2 2 2 2 2 2 2 4" xfId="41"/>
    <cellStyle name="Normal 2 2 2 2 2 2 3" xfId="42"/>
    <cellStyle name="Normal 2 2 2 2 2 2 4" xfId="43"/>
    <cellStyle name="Normal 2 2 2 2 2 2 4 2" xfId="44"/>
    <cellStyle name="Normal 2 2 2 2 2 2 4 2 2" xfId="45"/>
    <cellStyle name="Normal 2 2 2 2 2 2 5" xfId="46"/>
    <cellStyle name="Normal 2 2 2 2 2 2 6" xfId="47"/>
    <cellStyle name="Normal 2 2 2 2 2 3" xfId="48"/>
    <cellStyle name="Normal 2 2 2 2 2 3 2" xfId="49"/>
    <cellStyle name="Normal 2 2 2 2 2 3 2 2" xfId="50"/>
    <cellStyle name="Normal 2 2 2 2 2 3 2 2 2" xfId="51"/>
    <cellStyle name="Normal 2 2 2 2 2 3 2 2 2 2" xfId="52"/>
    <cellStyle name="Normal 2 2 2 2 2 3 2 3" xfId="53"/>
    <cellStyle name="Normal 2 2 2 2 2 3 2 4" xfId="54"/>
    <cellStyle name="Normal 2 2 2 2 2 3 3" xfId="55"/>
    <cellStyle name="Normal 2 2 2 2 2 3 3 2" xfId="56"/>
    <cellStyle name="Normal 2 2 2 2 2 3 3 2 2" xfId="57"/>
    <cellStyle name="Normal 2 2 2 2 2 3 4" xfId="58"/>
    <cellStyle name="Normal 2 2 2 2 2 4" xfId="59"/>
    <cellStyle name="Normal 2 2 2 2 2 4 2" xfId="60"/>
    <cellStyle name="Normal 2 2 2 2 2 4 2 2" xfId="61"/>
    <cellStyle name="Normal 2 2 2 2 2 5" xfId="62"/>
    <cellStyle name="Normal 2 2 2 2 2 6" xfId="63"/>
    <cellStyle name="Normal 2 2 2 2 3" xfId="64"/>
    <cellStyle name="Normal 2 2 2 2 3 2" xfId="65"/>
    <cellStyle name="Normal 2 2 2 2 3 2 2" xfId="66"/>
    <cellStyle name="Normal 2 2 2 2 3 2 2 2" xfId="67"/>
    <cellStyle name="Normal 2 2 2 2 3 2 2 2 2" xfId="68"/>
    <cellStyle name="Normal 2 2 2 2 3 2 3" xfId="69"/>
    <cellStyle name="Normal 2 2 2 2 3 2 4" xfId="70"/>
    <cellStyle name="Normal 2 2 2 2 3 3" xfId="71"/>
    <cellStyle name="Normal 2 2 2 2 3 3 2" xfId="72"/>
    <cellStyle name="Normal 2 2 2 2 3 3 2 2" xfId="73"/>
    <cellStyle name="Normal 2 2 2 2 3 4" xfId="74"/>
    <cellStyle name="Normal 2 2 2 2 4" xfId="75"/>
    <cellStyle name="Normal 2 2 2 2 5" xfId="76"/>
    <cellStyle name="Normal 2 2 2 2 5 2" xfId="77"/>
    <cellStyle name="Normal 2 2 2 2 5 2 2" xfId="78"/>
    <cellStyle name="Normal 2 2 2 2 6" xfId="79"/>
    <cellStyle name="Normal 2 2 2 2 7" xfId="80"/>
    <cellStyle name="Normal 2 2 2 3" xfId="81"/>
    <cellStyle name="Normal 2 2 2 3 2" xfId="82"/>
    <cellStyle name="Normal 2 2 2 3 2 2" xfId="83"/>
    <cellStyle name="Normal 2 2 2 3 2 2 2" xfId="84"/>
    <cellStyle name="Normal 2 2 2 3 2 2 2 2" xfId="85"/>
    <cellStyle name="Normal 2 2 2 3 2 2 2 2 2" xfId="86"/>
    <cellStyle name="Normal 2 2 2 3 2 2 3" xfId="87"/>
    <cellStyle name="Normal 2 2 2 3 2 2 4" xfId="88"/>
    <cellStyle name="Normal 2 2 2 3 2 3" xfId="89"/>
    <cellStyle name="Normal 2 2 2 3 2 3 2" xfId="90"/>
    <cellStyle name="Normal 2 2 2 3 2 3 2 2" xfId="91"/>
    <cellStyle name="Normal 2 2 2 3 2 4" xfId="92"/>
    <cellStyle name="Normal 2 2 2 3 3" xfId="93"/>
    <cellStyle name="Normal 2 2 2 3 4" xfId="94"/>
    <cellStyle name="Normal 2 2 2 3 4 2" xfId="95"/>
    <cellStyle name="Normal 2 2 2 3 4 2 2" xfId="96"/>
    <cellStyle name="Normal 2 2 2 3 5" xfId="97"/>
    <cellStyle name="Normal 2 2 2 3 6" xfId="98"/>
    <cellStyle name="Normal 2 2 2 4" xfId="99"/>
    <cellStyle name="Normal 2 2 2 4 2" xfId="100"/>
    <cellStyle name="Normal 2 2 2 4 2 2" xfId="101"/>
    <cellStyle name="Normal 2 2 2 4 2 2 2" xfId="102"/>
    <cellStyle name="Normal 2 2 2 4 2 2 2 2" xfId="103"/>
    <cellStyle name="Normal 2 2 2 4 2 3" xfId="104"/>
    <cellStyle name="Normal 2 2 2 4 2 4" xfId="105"/>
    <cellStyle name="Normal 2 2 2 4 3" xfId="106"/>
    <cellStyle name="Normal 2 2 2 4 3 2" xfId="107"/>
    <cellStyle name="Normal 2 2 2 4 3 2 2" xfId="108"/>
    <cellStyle name="Normal 2 2 2 4 4" xfId="109"/>
    <cellStyle name="Normal 2 2 2 5" xfId="110"/>
    <cellStyle name="Normal 2 2 2 5 2" xfId="111"/>
    <cellStyle name="Normal 2 2 2 5 2 2" xfId="112"/>
    <cellStyle name="Normal 2 2 2 6" xfId="113"/>
    <cellStyle name="Normal 2 2 2 7" xfId="114"/>
    <cellStyle name="Normal 2 2 3" xfId="115"/>
    <cellStyle name="Normal 2 2 3 2" xfId="116"/>
    <cellStyle name="Normal 2 2 3 2 2" xfId="117"/>
    <cellStyle name="Normal 2 2 3 2 2 2" xfId="118"/>
    <cellStyle name="Normal 2 2 3 2 2 2 2" xfId="119"/>
    <cellStyle name="Normal 2 2 3 2 2 2 2 2" xfId="120"/>
    <cellStyle name="Normal 2 2 3 2 2 2 2 2 2" xfId="121"/>
    <cellStyle name="Normal 2 2 3 2 2 2 3" xfId="122"/>
    <cellStyle name="Normal 2 2 3 2 2 2 4" xfId="123"/>
    <cellStyle name="Normal 2 2 3 2 2 3" xfId="124"/>
    <cellStyle name="Normal 2 2 3 2 2 3 2" xfId="125"/>
    <cellStyle name="Normal 2 2 3 2 2 3 2 2" xfId="126"/>
    <cellStyle name="Normal 2 2 3 2 2 4" xfId="127"/>
    <cellStyle name="Normal 2 2 3 2 3" xfId="128"/>
    <cellStyle name="Normal 2 2 3 2 4" xfId="129"/>
    <cellStyle name="Normal 2 2 3 2 4 2" xfId="130"/>
    <cellStyle name="Normal 2 2 3 2 4 2 2" xfId="131"/>
    <cellStyle name="Normal 2 2 3 2 5" xfId="132"/>
    <cellStyle name="Normal 2 2 3 2 6" xfId="133"/>
    <cellStyle name="Normal 2 2 3 3" xfId="134"/>
    <cellStyle name="Normal 2 2 3 3 2" xfId="135"/>
    <cellStyle name="Normal 2 2 3 3 2 2" xfId="136"/>
    <cellStyle name="Normal 2 2 3 3 2 2 2" xfId="137"/>
    <cellStyle name="Normal 2 2 3 3 2 2 2 2" xfId="138"/>
    <cellStyle name="Normal 2 2 3 3 2 3" xfId="139"/>
    <cellStyle name="Normal 2 2 3 3 2 4" xfId="140"/>
    <cellStyle name="Normal 2 2 3 3 3" xfId="141"/>
    <cellStyle name="Normal 2 2 3 3 3 2" xfId="142"/>
    <cellStyle name="Normal 2 2 3 3 3 2 2" xfId="143"/>
    <cellStyle name="Normal 2 2 3 3 4" xfId="144"/>
    <cellStyle name="Normal 2 2 3 4" xfId="145"/>
    <cellStyle name="Normal 2 2 3 4 2" xfId="146"/>
    <cellStyle name="Normal 2 2 3 4 2 2" xfId="147"/>
    <cellStyle name="Normal 2 2 3 5" xfId="148"/>
    <cellStyle name="Normal 2 2 3 6" xfId="149"/>
    <cellStyle name="Normal 2 2 4" xfId="150"/>
    <cellStyle name="Normal 2 2 4 2" xfId="151"/>
    <cellStyle name="Normal 2 2 4 2 2" xfId="152"/>
    <cellStyle name="Normal 2 2 4 2 2 2" xfId="153"/>
    <cellStyle name="Normal 2 2 4 2 2 2 2" xfId="154"/>
    <cellStyle name="Normal 2 2 4 2 3" xfId="155"/>
    <cellStyle name="Normal 2 2 4 2 4" xfId="156"/>
    <cellStyle name="Normal 2 2 4 3" xfId="157"/>
    <cellStyle name="Normal 2 2 4 3 2" xfId="158"/>
    <cellStyle name="Normal 2 2 4 3 2 2" xfId="159"/>
    <cellStyle name="Normal 2 2 4 4" xfId="160"/>
    <cellStyle name="Normal 2 2 5" xfId="161"/>
    <cellStyle name="Normal 2 2 6" xfId="162"/>
    <cellStyle name="Normal 2 2 6 2" xfId="163"/>
    <cellStyle name="Normal 2 2 6 2 2" xfId="164"/>
    <cellStyle name="Normal 2 2 7" xfId="165"/>
    <cellStyle name="Normal 2 2 8" xfId="166"/>
    <cellStyle name="Normal 2 3" xfId="167"/>
    <cellStyle name="Normal 2 3 2" xfId="168"/>
    <cellStyle name="Normal 2 3 2 2" xfId="169"/>
    <cellStyle name="Normal 2 3 2 2 2" xfId="170"/>
    <cellStyle name="Normal 2 3 2 2 2 2" xfId="171"/>
    <cellStyle name="Normal 2 3 2 2 2 2 2" xfId="172"/>
    <cellStyle name="Normal 2 3 2 2 2 2 2 2" xfId="173"/>
    <cellStyle name="Normal 2 3 2 2 2 2 2 2 2" xfId="174"/>
    <cellStyle name="Normal 2 3 2 2 2 2 3" xfId="175"/>
    <cellStyle name="Normal 2 3 2 2 2 2 4" xfId="176"/>
    <cellStyle name="Normal 2 3 2 2 2 3" xfId="177"/>
    <cellStyle name="Normal 2 3 2 2 2 3 2" xfId="178"/>
    <cellStyle name="Normal 2 3 2 2 2 3 2 2" xfId="179"/>
    <cellStyle name="Normal 2 3 2 2 2 4" xfId="180"/>
    <cellStyle name="Normal 2 3 2 2 3" xfId="181"/>
    <cellStyle name="Normal 2 3 2 2 4" xfId="182"/>
    <cellStyle name="Normal 2 3 2 2 4 2" xfId="183"/>
    <cellStyle name="Normal 2 3 2 2 4 2 2" xfId="184"/>
    <cellStyle name="Normal 2 3 2 2 5" xfId="185"/>
    <cellStyle name="Normal 2 3 2 2 6" xfId="186"/>
    <cellStyle name="Normal 2 3 2 2 7" xfId="293"/>
    <cellStyle name="Normal 2 3 2 3" xfId="187"/>
    <cellStyle name="Normal 2 3 2 3 2" xfId="188"/>
    <cellStyle name="Normal 2 3 2 3 2 2" xfId="189"/>
    <cellStyle name="Normal 2 3 2 3 2 2 2" xfId="190"/>
    <cellStyle name="Normal 2 3 2 3 2 2 2 2" xfId="191"/>
    <cellStyle name="Normal 2 3 2 3 2 3" xfId="192"/>
    <cellStyle name="Normal 2 3 2 3 2 4" xfId="193"/>
    <cellStyle name="Normal 2 3 2 3 3" xfId="194"/>
    <cellStyle name="Normal 2 3 2 3 3 2" xfId="195"/>
    <cellStyle name="Normal 2 3 2 3 3 2 2" xfId="196"/>
    <cellStyle name="Normal 2 3 2 3 4" xfId="197"/>
    <cellStyle name="Normal 2 3 2 4" xfId="198"/>
    <cellStyle name="Normal 2 3 2 4 2" xfId="199"/>
    <cellStyle name="Normal 2 3 2 4 2 2" xfId="200"/>
    <cellStyle name="Normal 2 3 2 5" xfId="201"/>
    <cellStyle name="Normal 2 3 2 6" xfId="202"/>
    <cellStyle name="Normal 2 3 2 7" xfId="292"/>
    <cellStyle name="Normal 2 3 3" xfId="203"/>
    <cellStyle name="Normal 2 3 3 2" xfId="204"/>
    <cellStyle name="Normal 2 3 3 2 2" xfId="205"/>
    <cellStyle name="Normal 2 3 3 2 2 2" xfId="206"/>
    <cellStyle name="Normal 2 3 3 2 2 2 2" xfId="207"/>
    <cellStyle name="Normal 2 3 3 2 3" xfId="208"/>
    <cellStyle name="Normal 2 3 3 2 4" xfId="209"/>
    <cellStyle name="Normal 2 3 3 3" xfId="210"/>
    <cellStyle name="Normal 2 3 3 3 2" xfId="211"/>
    <cellStyle name="Normal 2 3 3 3 2 2" xfId="212"/>
    <cellStyle name="Normal 2 3 3 4" xfId="213"/>
    <cellStyle name="Normal 2 3 4" xfId="214"/>
    <cellStyle name="Normal 2 3 5" xfId="215"/>
    <cellStyle name="Normal 2 3 5 2" xfId="216"/>
    <cellStyle name="Normal 2 3 5 2 2" xfId="217"/>
    <cellStyle name="Normal 2 3 6" xfId="218"/>
    <cellStyle name="Normal 2 3 7" xfId="219"/>
    <cellStyle name="Normal 2 4" xfId="220"/>
    <cellStyle name="Normal 2 4 2" xfId="221"/>
    <cellStyle name="Normal 2 4 2 2" xfId="222"/>
    <cellStyle name="Normal 2 4 2 2 2" xfId="223"/>
    <cellStyle name="Normal 2 4 2 2 2 2" xfId="224"/>
    <cellStyle name="Normal 2 4 2 2 2 2 2" xfId="225"/>
    <cellStyle name="Normal 2 4 2 2 3" xfId="226"/>
    <cellStyle name="Normal 2 4 2 2 4" xfId="227"/>
    <cellStyle name="Normal 2 4 2 3" xfId="228"/>
    <cellStyle name="Normal 2 4 2 3 2" xfId="229"/>
    <cellStyle name="Normal 2 4 2 3 2 2" xfId="230"/>
    <cellStyle name="Normal 2 4 2 4" xfId="231"/>
    <cellStyle name="Normal 2 4 3" xfId="232"/>
    <cellStyle name="Normal 2 4 4" xfId="233"/>
    <cellStyle name="Normal 2 4 4 2" xfId="234"/>
    <cellStyle name="Normal 2 4 4 2 2" xfId="235"/>
    <cellStyle name="Normal 2 4 5" xfId="236"/>
    <cellStyle name="Normal 2 4 6" xfId="237"/>
    <cellStyle name="Normal 2 5" xfId="238"/>
    <cellStyle name="Normal 2 5 2" xfId="239"/>
    <cellStyle name="Normal 2 5 2 2" xfId="240"/>
    <cellStyle name="Normal 2 5 2 2 2" xfId="241"/>
    <cellStyle name="Normal 2 5 2 2 2 2" xfId="242"/>
    <cellStyle name="Normal 2 5 2 3" xfId="243"/>
    <cellStyle name="Normal 2 5 2 4" xfId="244"/>
    <cellStyle name="Normal 2 5 3" xfId="245"/>
    <cellStyle name="Normal 2 5 3 2" xfId="246"/>
    <cellStyle name="Normal 2 5 3 2 2" xfId="247"/>
    <cellStyle name="Normal 2 5 4" xfId="248"/>
    <cellStyle name="Normal 2 6" xfId="249"/>
    <cellStyle name="Normal 2 6 2" xfId="250"/>
    <cellStyle name="Normal 2 6 2 2" xfId="251"/>
    <cellStyle name="Normal 2 7" xfId="252"/>
    <cellStyle name="Normal 2 8" xfId="253"/>
    <cellStyle name="Normal 3" xfId="254"/>
    <cellStyle name="Normal 3 2" xfId="294"/>
    <cellStyle name="Normal 3 6" xfId="310"/>
    <cellStyle name="Normal 4" xfId="255"/>
    <cellStyle name="Normal 4 2" xfId="295"/>
    <cellStyle name="Normal 4 3" xfId="311"/>
    <cellStyle name="Normal 4_lương 8" xfId="256"/>
    <cellStyle name="Normal 5" xfId="257"/>
    <cellStyle name="Normal 5 2" xfId="258"/>
    <cellStyle name="Normal 5 3" xfId="259"/>
    <cellStyle name="Normal 5 4" xfId="260"/>
    <cellStyle name="Normal 5 5" xfId="261"/>
    <cellStyle name="Normal 5 6" xfId="262"/>
    <cellStyle name="Normal 5 7" xfId="263"/>
    <cellStyle name="Normal 5 8" xfId="296"/>
    <cellStyle name="Normal 5 9" xfId="312"/>
    <cellStyle name="Normal 6" xfId="289"/>
    <cellStyle name="Normal 6 2" xfId="264"/>
    <cellStyle name="Normal 6 3" xfId="265"/>
    <cellStyle name="Normal 6 4" xfId="266"/>
    <cellStyle name="Normal 6 5" xfId="267"/>
    <cellStyle name="Normal 6 6" xfId="268"/>
    <cellStyle name="Normal 7" xfId="297"/>
    <cellStyle name="Normal 7 2" xfId="269"/>
    <cellStyle name="Normal 7 3" xfId="270"/>
    <cellStyle name="Normal 7 4" xfId="271"/>
    <cellStyle name="Normal 8" xfId="304"/>
    <cellStyle name="Normal 8 2" xfId="272"/>
    <cellStyle name="Normal_KE HOACH SAN XUAT HANG THANG NAM 2016" xfId="273"/>
    <cellStyle name="Normal_QuanlyQTKT" xfId="274"/>
    <cellStyle name="Normal_SANLUONGngay" xfId="303"/>
    <cellStyle name="Normal_Sheet1" xfId="275"/>
    <cellStyle name="Normal_Sheet1 2" xfId="315"/>
    <cellStyle name="Percent" xfId="287" builtinId="5"/>
    <cellStyle name="Percent 2" xfId="314"/>
    <cellStyle name="Percent 3" xfId="313"/>
    <cellStyle name="똿뗦먛귟 [0.00]_PRODUCT DETAIL Q1" xfId="276"/>
    <cellStyle name="똿뗦먛귟_PRODUCT DETAIL Q1" xfId="277"/>
    <cellStyle name="믅됞 [0.00]_PRODUCT DETAIL Q1" xfId="278"/>
    <cellStyle name="믅됞_PRODUCT DETAIL Q1" xfId="279"/>
    <cellStyle name="백분율_HOBONG" xfId="280"/>
    <cellStyle name="뷭?_BOOKSHIP" xfId="281"/>
    <cellStyle name="콤마 [0]_1202" xfId="282"/>
    <cellStyle name="콤마_1202" xfId="283"/>
    <cellStyle name="통화 [0]_1202" xfId="284"/>
    <cellStyle name="통화_1202" xfId="285"/>
    <cellStyle name="표준_(정보부문)월별인원계획" xfId="286"/>
  </cellStyles>
  <dxfs count="121">
    <dxf>
      <font>
        <color theme="0"/>
      </font>
    </dxf>
    <dxf>
      <font>
        <color theme="0"/>
      </font>
    </dxf>
    <dxf>
      <fill>
        <patternFill patternType="solid"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theme="8" tint="0.79998168889431442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>
          <bgColor rgb="FFDBEEF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Châm Công Phụ Cấp -style" pivot="0" count="2">
      <tableStyleElement type="firstRowStripe" dxfId="120"/>
      <tableStyleElement type="secondRowStripe" dxfId="1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calcChain" Target="calcChain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externalLink" Target="externalLinks/externalLink20.xml"/><Relationship Id="rId16" Type="http://schemas.openxmlformats.org/officeDocument/2006/relationships/worksheet" Target="worksheets/sheet16.xml"/><Relationship Id="rId107" Type="http://schemas.openxmlformats.org/officeDocument/2006/relationships/externalLink" Target="externalLinks/externalLink15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102" Type="http://schemas.openxmlformats.org/officeDocument/2006/relationships/externalLink" Target="externalLinks/externalLink10.xml"/><Relationship Id="rId110" Type="http://schemas.openxmlformats.org/officeDocument/2006/relationships/externalLink" Target="externalLinks/externalLink18.xml"/><Relationship Id="rId115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externalLink" Target="externalLinks/externalLink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externalLink" Target="externalLinks/externalLink8.xml"/><Relationship Id="rId105" Type="http://schemas.openxmlformats.org/officeDocument/2006/relationships/externalLink" Target="externalLinks/externalLink13.xml"/><Relationship Id="rId113" Type="http://schemas.openxmlformats.org/officeDocument/2006/relationships/externalLink" Target="externalLinks/externalLink2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externalLink" Target="externalLinks/externalLink1.xml"/><Relationship Id="rId98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externalLink" Target="externalLinks/externalLink11.xml"/><Relationship Id="rId108" Type="http://schemas.openxmlformats.org/officeDocument/2006/relationships/externalLink" Target="externalLinks/externalLink16.xml"/><Relationship Id="rId11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externalLink" Target="externalLinks/externalLink4.xml"/><Relationship Id="rId111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externalLink" Target="externalLinks/externalLink14.xml"/><Relationship Id="rId114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externalLink" Target="externalLinks/externalLink2.xml"/><Relationship Id="rId99" Type="http://schemas.openxmlformats.org/officeDocument/2006/relationships/externalLink" Target="externalLinks/externalLink7.xml"/><Relationship Id="rId101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externalLink" Target="externalLinks/externalLink17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externalLink" Target="externalLinks/externalLink5.xml"/><Relationship Id="rId104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1074964</xdr:colOff>
      <xdr:row>5</xdr:row>
      <xdr:rowOff>15875</xdr:rowOff>
    </xdr:from>
    <xdr:to>
      <xdr:col>1</xdr:col>
      <xdr:colOff>2519589</xdr:colOff>
      <xdr:row>5</xdr:row>
      <xdr:rowOff>15876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 flipV="1">
          <a:off x="1700893" y="1036411"/>
          <a:ext cx="144462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1257300</xdr:colOff>
      <xdr:row>5</xdr:row>
      <xdr:rowOff>200025</xdr:rowOff>
    </xdr:from>
    <xdr:to>
      <xdr:col>3</xdr:col>
      <xdr:colOff>152400</xdr:colOff>
      <xdr:row>5</xdr:row>
      <xdr:rowOff>200026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E00-000003000000}"/>
            </a:ext>
          </a:extLst>
        </xdr:cNvPr>
        <xdr:cNvCxnSpPr/>
      </xdr:nvCxnSpPr>
      <xdr:spPr>
        <a:xfrm flipV="1">
          <a:off x="1590675" y="1247775"/>
          <a:ext cx="138112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1238250</xdr:colOff>
      <xdr:row>5</xdr:row>
      <xdr:rowOff>15875</xdr:rowOff>
    </xdr:from>
    <xdr:to>
      <xdr:col>1</xdr:col>
      <xdr:colOff>2682875</xdr:colOff>
      <xdr:row>5</xdr:row>
      <xdr:rowOff>15876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 flipV="1">
          <a:off x="1657350" y="1063625"/>
          <a:ext cx="144462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395089</xdr:colOff>
      <xdr:row>5</xdr:row>
      <xdr:rowOff>256899</xdr:rowOff>
    </xdr:from>
    <xdr:to>
      <xdr:col>8</xdr:col>
      <xdr:colOff>40174</xdr:colOff>
      <xdr:row>5</xdr:row>
      <xdr:rowOff>256899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900-000003000000}"/>
            </a:ext>
          </a:extLst>
        </xdr:cNvPr>
        <xdr:cNvCxnSpPr/>
      </xdr:nvCxnSpPr>
      <xdr:spPr>
        <a:xfrm>
          <a:off x="2735518" y="1427113"/>
          <a:ext cx="15500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704850</xdr:colOff>
      <xdr:row>2</xdr:row>
      <xdr:rowOff>19050</xdr:rowOff>
    </xdr:from>
    <xdr:to>
      <xdr:col>8</xdr:col>
      <xdr:colOff>323850</xdr:colOff>
      <xdr:row>2</xdr:row>
      <xdr:rowOff>23813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CxnSpPr/>
      </xdr:nvCxnSpPr>
      <xdr:spPr>
        <a:xfrm flipV="1">
          <a:off x="4238625" y="428625"/>
          <a:ext cx="2286000" cy="476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190500</xdr:colOff>
      <xdr:row>1</xdr:row>
      <xdr:rowOff>38100</xdr:rowOff>
    </xdr:from>
    <xdr:to>
      <xdr:col>4</xdr:col>
      <xdr:colOff>495300</xdr:colOff>
      <xdr:row>1</xdr:row>
      <xdr:rowOff>38100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CxnSpPr/>
      </xdr:nvCxnSpPr>
      <xdr:spPr>
        <a:xfrm>
          <a:off x="190500" y="238125"/>
          <a:ext cx="20764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885825</xdr:colOff>
      <xdr:row>4</xdr:row>
      <xdr:rowOff>180976</xdr:rowOff>
    </xdr:from>
    <xdr:to>
      <xdr:col>6</xdr:col>
      <xdr:colOff>114300</xdr:colOff>
      <xdr:row>4</xdr:row>
      <xdr:rowOff>190500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CxnSpPr/>
      </xdr:nvCxnSpPr>
      <xdr:spPr>
        <a:xfrm flipV="1">
          <a:off x="1238250" y="1066801"/>
          <a:ext cx="1733550" cy="952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100853</xdr:colOff>
      <xdr:row>5</xdr:row>
      <xdr:rowOff>11206</xdr:rowOff>
    </xdr:from>
    <xdr:to>
      <xdr:col>5</xdr:col>
      <xdr:colOff>784412</xdr:colOff>
      <xdr:row>5</xdr:row>
      <xdr:rowOff>22412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CxnSpPr/>
      </xdr:nvCxnSpPr>
      <xdr:spPr>
        <a:xfrm flipV="1">
          <a:off x="1949824" y="1064559"/>
          <a:ext cx="1557617" cy="112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239244</xdr:colOff>
      <xdr:row>4</xdr:row>
      <xdr:rowOff>201706</xdr:rowOff>
    </xdr:from>
    <xdr:to>
      <xdr:col>6</xdr:col>
      <xdr:colOff>284629</xdr:colOff>
      <xdr:row>5</xdr:row>
      <xdr:rowOff>1681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CxnSpPr/>
      </xdr:nvCxnSpPr>
      <xdr:spPr>
        <a:xfrm flipV="1">
          <a:off x="1617568" y="1367118"/>
          <a:ext cx="1479737" cy="128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1146361</xdr:colOff>
      <xdr:row>4</xdr:row>
      <xdr:rowOff>203387</xdr:rowOff>
    </xdr:from>
    <xdr:to>
      <xdr:col>4</xdr:col>
      <xdr:colOff>471208</xdr:colOff>
      <xdr:row>4</xdr:row>
      <xdr:rowOff>203387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CxnSpPr/>
      </xdr:nvCxnSpPr>
      <xdr:spPr>
        <a:xfrm>
          <a:off x="1441636" y="1041587"/>
          <a:ext cx="143939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453572</xdr:colOff>
      <xdr:row>6</xdr:row>
      <xdr:rowOff>4535</xdr:rowOff>
    </xdr:from>
    <xdr:to>
      <xdr:col>7</xdr:col>
      <xdr:colOff>451262</xdr:colOff>
      <xdr:row>6</xdr:row>
      <xdr:rowOff>4535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CxnSpPr/>
      </xdr:nvCxnSpPr>
      <xdr:spPr>
        <a:xfrm>
          <a:off x="2796722" y="1985735"/>
          <a:ext cx="142644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395089</xdr:colOff>
      <xdr:row>5</xdr:row>
      <xdr:rowOff>256899</xdr:rowOff>
    </xdr:from>
    <xdr:to>
      <xdr:col>8</xdr:col>
      <xdr:colOff>40174</xdr:colOff>
      <xdr:row>5</xdr:row>
      <xdr:rowOff>256899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900-000003000000}"/>
            </a:ext>
          </a:extLst>
        </xdr:cNvPr>
        <xdr:cNvCxnSpPr/>
      </xdr:nvCxnSpPr>
      <xdr:spPr>
        <a:xfrm>
          <a:off x="2738239" y="1980924"/>
          <a:ext cx="15500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2</xdr:row>
      <xdr:rowOff>0</xdr:rowOff>
    </xdr:from>
    <xdr:to>
      <xdr:col>5</xdr:col>
      <xdr:colOff>152400</xdr:colOff>
      <xdr:row>2</xdr:row>
      <xdr:rowOff>0</xdr:rowOff>
    </xdr:to>
    <xdr:cxnSp macro="">
      <xdr:nvCxnSpPr>
        <xdr:cNvPr id="2" name="Straight Connector 1"/>
        <xdr:cNvCxnSpPr/>
      </xdr:nvCxnSpPr>
      <xdr:spPr>
        <a:xfrm>
          <a:off x="2333625" y="400050"/>
          <a:ext cx="13144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857250</xdr:colOff>
      <xdr:row>3</xdr:row>
      <xdr:rowOff>180975</xdr:rowOff>
    </xdr:from>
    <xdr:to>
      <xdr:col>3</xdr:col>
      <xdr:colOff>1609725</xdr:colOff>
      <xdr:row>4</xdr:row>
      <xdr:rowOff>0</xdr:rowOff>
    </xdr:to>
    <xdr:cxnSp macro="">
      <xdr:nvCxnSpPr>
        <xdr:cNvPr id="3" name="Straight Connector 2"/>
        <xdr:cNvCxnSpPr/>
      </xdr:nvCxnSpPr>
      <xdr:spPr>
        <a:xfrm flipV="1">
          <a:off x="2609850" y="781050"/>
          <a:ext cx="0" cy="1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276225</xdr:colOff>
      <xdr:row>4</xdr:row>
      <xdr:rowOff>0</xdr:rowOff>
    </xdr:from>
    <xdr:to>
      <xdr:col>2</xdr:col>
      <xdr:colOff>504825</xdr:colOff>
      <xdr:row>4</xdr:row>
      <xdr:rowOff>0</xdr:rowOff>
    </xdr:to>
    <xdr:cxnSp macro="">
      <xdr:nvCxnSpPr>
        <xdr:cNvPr id="4" name="Straight Connector 3"/>
        <xdr:cNvCxnSpPr/>
      </xdr:nvCxnSpPr>
      <xdr:spPr>
        <a:xfrm>
          <a:off x="962025" y="838200"/>
          <a:ext cx="685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33618</xdr:colOff>
      <xdr:row>4</xdr:row>
      <xdr:rowOff>224118</xdr:rowOff>
    </xdr:from>
    <xdr:to>
      <xdr:col>16</xdr:col>
      <xdr:colOff>190501</xdr:colOff>
      <xdr:row>4</xdr:row>
      <xdr:rowOff>224118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CxnSpPr/>
      </xdr:nvCxnSpPr>
      <xdr:spPr>
        <a:xfrm>
          <a:off x="1568824" y="1479177"/>
          <a:ext cx="12774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33618</xdr:colOff>
      <xdr:row>4</xdr:row>
      <xdr:rowOff>224118</xdr:rowOff>
    </xdr:from>
    <xdr:to>
      <xdr:col>16</xdr:col>
      <xdr:colOff>190501</xdr:colOff>
      <xdr:row>4</xdr:row>
      <xdr:rowOff>224118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CxnSpPr/>
      </xdr:nvCxnSpPr>
      <xdr:spPr>
        <a:xfrm>
          <a:off x="1576668" y="1167093"/>
          <a:ext cx="126178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33618</xdr:colOff>
      <xdr:row>4</xdr:row>
      <xdr:rowOff>224118</xdr:rowOff>
    </xdr:from>
    <xdr:to>
      <xdr:col>16</xdr:col>
      <xdr:colOff>190501</xdr:colOff>
      <xdr:row>4</xdr:row>
      <xdr:rowOff>224118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CxnSpPr/>
      </xdr:nvCxnSpPr>
      <xdr:spPr>
        <a:xfrm>
          <a:off x="1576668" y="1167093"/>
          <a:ext cx="126178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33618</xdr:colOff>
      <xdr:row>4</xdr:row>
      <xdr:rowOff>224118</xdr:rowOff>
    </xdr:from>
    <xdr:to>
      <xdr:col>16</xdr:col>
      <xdr:colOff>190501</xdr:colOff>
      <xdr:row>4</xdr:row>
      <xdr:rowOff>224118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CxnSpPr/>
      </xdr:nvCxnSpPr>
      <xdr:spPr>
        <a:xfrm>
          <a:off x="1576668" y="1167093"/>
          <a:ext cx="126178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33618</xdr:colOff>
      <xdr:row>4</xdr:row>
      <xdr:rowOff>224118</xdr:rowOff>
    </xdr:from>
    <xdr:to>
      <xdr:col>16</xdr:col>
      <xdr:colOff>190501</xdr:colOff>
      <xdr:row>4</xdr:row>
      <xdr:rowOff>224118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CxnSpPr/>
      </xdr:nvCxnSpPr>
      <xdr:spPr>
        <a:xfrm>
          <a:off x="1576668" y="1167093"/>
          <a:ext cx="126178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636015</xdr:colOff>
      <xdr:row>5</xdr:row>
      <xdr:rowOff>250096</xdr:rowOff>
    </xdr:from>
    <xdr:to>
      <xdr:col>50</xdr:col>
      <xdr:colOff>648493</xdr:colOff>
      <xdr:row>5</xdr:row>
      <xdr:rowOff>250096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900-000003000000}"/>
            </a:ext>
          </a:extLst>
        </xdr:cNvPr>
        <xdr:cNvCxnSpPr/>
      </xdr:nvCxnSpPr>
      <xdr:spPr>
        <a:xfrm>
          <a:off x="21210015" y="1420310"/>
          <a:ext cx="1713371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1145094</xdr:colOff>
      <xdr:row>5</xdr:row>
      <xdr:rowOff>98932</xdr:rowOff>
    </xdr:from>
    <xdr:to>
      <xdr:col>51</xdr:col>
      <xdr:colOff>423404</xdr:colOff>
      <xdr:row>5</xdr:row>
      <xdr:rowOff>98932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0900-000003000000}"/>
            </a:ext>
          </a:extLst>
        </xdr:cNvPr>
        <xdr:cNvCxnSpPr/>
      </xdr:nvCxnSpPr>
      <xdr:spPr>
        <a:xfrm>
          <a:off x="21719094" y="1269146"/>
          <a:ext cx="168677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301450</xdr:colOff>
      <xdr:row>5</xdr:row>
      <xdr:rowOff>231322</xdr:rowOff>
    </xdr:from>
    <xdr:to>
      <xdr:col>8</xdr:col>
      <xdr:colOff>27215</xdr:colOff>
      <xdr:row>5</xdr:row>
      <xdr:rowOff>235004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0900-000003000000}"/>
            </a:ext>
          </a:extLst>
        </xdr:cNvPr>
        <xdr:cNvCxnSpPr/>
      </xdr:nvCxnSpPr>
      <xdr:spPr>
        <a:xfrm flipV="1">
          <a:off x="3073225" y="1383847"/>
          <a:ext cx="1268815" cy="36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1403629</xdr:colOff>
      <xdr:row>6</xdr:row>
      <xdr:rowOff>81643</xdr:rowOff>
    </xdr:from>
    <xdr:to>
      <xdr:col>51</xdr:col>
      <xdr:colOff>217716</xdr:colOff>
      <xdr:row>6</xdr:row>
      <xdr:rowOff>85325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xmlns="" id="{00000000-0008-0000-0900-000003000000}"/>
            </a:ext>
          </a:extLst>
        </xdr:cNvPr>
        <xdr:cNvCxnSpPr/>
      </xdr:nvCxnSpPr>
      <xdr:spPr>
        <a:xfrm flipV="1">
          <a:off x="21977629" y="1524000"/>
          <a:ext cx="1222551" cy="36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301450</xdr:colOff>
      <xdr:row>5</xdr:row>
      <xdr:rowOff>231322</xdr:rowOff>
    </xdr:from>
    <xdr:to>
      <xdr:col>8</xdr:col>
      <xdr:colOff>27215</xdr:colOff>
      <xdr:row>5</xdr:row>
      <xdr:rowOff>235004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xmlns="" id="{00000000-0008-0000-0900-000003000000}"/>
            </a:ext>
          </a:extLst>
        </xdr:cNvPr>
        <xdr:cNvCxnSpPr/>
      </xdr:nvCxnSpPr>
      <xdr:spPr>
        <a:xfrm flipV="1">
          <a:off x="3073225" y="1383847"/>
          <a:ext cx="1268815" cy="36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190500</xdr:rowOff>
    </xdr:from>
    <xdr:to>
      <xdr:col>3</xdr:col>
      <xdr:colOff>0</xdr:colOff>
      <xdr:row>5</xdr:row>
      <xdr:rowOff>190500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CxnSpPr/>
      </xdr:nvCxnSpPr>
      <xdr:spPr>
        <a:xfrm>
          <a:off x="0" y="1524000"/>
          <a:ext cx="297996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898071</xdr:colOff>
      <xdr:row>6</xdr:row>
      <xdr:rowOff>285750</xdr:rowOff>
    </xdr:from>
    <xdr:to>
      <xdr:col>6</xdr:col>
      <xdr:colOff>625930</xdr:colOff>
      <xdr:row>6</xdr:row>
      <xdr:rowOff>285750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0B00-000004000000}"/>
            </a:ext>
          </a:extLst>
        </xdr:cNvPr>
        <xdr:cNvCxnSpPr/>
      </xdr:nvCxnSpPr>
      <xdr:spPr>
        <a:xfrm>
          <a:off x="2177142" y="1660071"/>
          <a:ext cx="161925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1238250</xdr:colOff>
      <xdr:row>4</xdr:row>
      <xdr:rowOff>340179</xdr:rowOff>
    </xdr:from>
    <xdr:to>
      <xdr:col>5</xdr:col>
      <xdr:colOff>938893</xdr:colOff>
      <xdr:row>4</xdr:row>
      <xdr:rowOff>340179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C00-000003000000}"/>
            </a:ext>
          </a:extLst>
        </xdr:cNvPr>
        <xdr:cNvCxnSpPr/>
      </xdr:nvCxnSpPr>
      <xdr:spPr>
        <a:xfrm>
          <a:off x="1796143" y="1687286"/>
          <a:ext cx="159203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1170214</xdr:colOff>
      <xdr:row>7</xdr:row>
      <xdr:rowOff>258535</xdr:rowOff>
    </xdr:from>
    <xdr:to>
      <xdr:col>5</xdr:col>
      <xdr:colOff>802821</xdr:colOff>
      <xdr:row>7</xdr:row>
      <xdr:rowOff>258535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CxnSpPr/>
      </xdr:nvCxnSpPr>
      <xdr:spPr>
        <a:xfrm>
          <a:off x="1722664" y="1592035"/>
          <a:ext cx="133758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1170214</xdr:colOff>
      <xdr:row>7</xdr:row>
      <xdr:rowOff>258535</xdr:rowOff>
    </xdr:from>
    <xdr:to>
      <xdr:col>5</xdr:col>
      <xdr:colOff>802821</xdr:colOff>
      <xdr:row>7</xdr:row>
      <xdr:rowOff>258535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CxnSpPr/>
      </xdr:nvCxnSpPr>
      <xdr:spPr>
        <a:xfrm>
          <a:off x="1722664" y="1592035"/>
          <a:ext cx="133758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5</xdr:row>
      <xdr:rowOff>171450</xdr:rowOff>
    </xdr:from>
    <xdr:to>
      <xdr:col>5</xdr:col>
      <xdr:colOff>85725</xdr:colOff>
      <xdr:row>5</xdr:row>
      <xdr:rowOff>171452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F00-000002000000}"/>
            </a:ext>
          </a:extLst>
        </xdr:cNvPr>
        <xdr:cNvCxnSpPr/>
      </xdr:nvCxnSpPr>
      <xdr:spPr>
        <a:xfrm flipV="1">
          <a:off x="2238375" y="1352550"/>
          <a:ext cx="1066800" cy="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1759857</xdr:colOff>
      <xdr:row>4</xdr:row>
      <xdr:rowOff>235857</xdr:rowOff>
    </xdr:from>
    <xdr:to>
      <xdr:col>5</xdr:col>
      <xdr:colOff>957448</xdr:colOff>
      <xdr:row>4</xdr:row>
      <xdr:rowOff>235857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E00-000003000000}"/>
            </a:ext>
          </a:extLst>
        </xdr:cNvPr>
        <xdr:cNvCxnSpPr/>
      </xdr:nvCxnSpPr>
      <xdr:spPr>
        <a:xfrm>
          <a:off x="2317750" y="1746250"/>
          <a:ext cx="108898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1759857</xdr:colOff>
      <xdr:row>4</xdr:row>
      <xdr:rowOff>235857</xdr:rowOff>
    </xdr:from>
    <xdr:to>
      <xdr:col>5</xdr:col>
      <xdr:colOff>957448</xdr:colOff>
      <xdr:row>4</xdr:row>
      <xdr:rowOff>235857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0E00-000003000000}"/>
            </a:ext>
          </a:extLst>
        </xdr:cNvPr>
        <xdr:cNvCxnSpPr/>
      </xdr:nvCxnSpPr>
      <xdr:spPr>
        <a:xfrm>
          <a:off x="2312307" y="1750332"/>
          <a:ext cx="109306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1174750</xdr:colOff>
      <xdr:row>4</xdr:row>
      <xdr:rowOff>235857</xdr:rowOff>
    </xdr:from>
    <xdr:to>
      <xdr:col>5</xdr:col>
      <xdr:colOff>372341</xdr:colOff>
      <xdr:row>4</xdr:row>
      <xdr:rowOff>235857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E00-000003000000}"/>
            </a:ext>
          </a:extLst>
        </xdr:cNvPr>
        <xdr:cNvCxnSpPr/>
      </xdr:nvCxnSpPr>
      <xdr:spPr>
        <a:xfrm>
          <a:off x="1727200" y="1235982"/>
          <a:ext cx="122641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840442</xdr:colOff>
      <xdr:row>5</xdr:row>
      <xdr:rowOff>44824</xdr:rowOff>
    </xdr:from>
    <xdr:to>
      <xdr:col>5</xdr:col>
      <xdr:colOff>762001</xdr:colOff>
      <xdr:row>5</xdr:row>
      <xdr:rowOff>44824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CxnSpPr/>
      </xdr:nvCxnSpPr>
      <xdr:spPr>
        <a:xfrm>
          <a:off x="1311089" y="1120589"/>
          <a:ext cx="156882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942975</xdr:colOff>
      <xdr:row>5</xdr:row>
      <xdr:rowOff>9525</xdr:rowOff>
    </xdr:from>
    <xdr:to>
      <xdr:col>5</xdr:col>
      <xdr:colOff>552450</xdr:colOff>
      <xdr:row>5</xdr:row>
      <xdr:rowOff>9526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0E00-000003000000}"/>
            </a:ext>
          </a:extLst>
        </xdr:cNvPr>
        <xdr:cNvCxnSpPr/>
      </xdr:nvCxnSpPr>
      <xdr:spPr>
        <a:xfrm flipV="1">
          <a:off x="1409700" y="1057275"/>
          <a:ext cx="138112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514350</xdr:colOff>
      <xdr:row>2</xdr:row>
      <xdr:rowOff>0</xdr:rowOff>
    </xdr:from>
    <xdr:to>
      <xdr:col>9</xdr:col>
      <xdr:colOff>1114425</xdr:colOff>
      <xdr:row>2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xmlns="" id="{00000000-0008-0000-0E00-000003000000}"/>
            </a:ext>
          </a:extLst>
        </xdr:cNvPr>
        <xdr:cNvCxnSpPr/>
      </xdr:nvCxnSpPr>
      <xdr:spPr>
        <a:xfrm>
          <a:off x="3762375" y="419100"/>
          <a:ext cx="24860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134470</xdr:colOff>
      <xdr:row>2</xdr:row>
      <xdr:rowOff>0</xdr:rowOff>
    </xdr:from>
    <xdr:to>
      <xdr:col>12</xdr:col>
      <xdr:colOff>0</xdr:colOff>
      <xdr:row>2</xdr:row>
      <xdr:rowOff>12607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CxnSpPr/>
      </xdr:nvCxnSpPr>
      <xdr:spPr>
        <a:xfrm>
          <a:off x="4078941" y="582706"/>
          <a:ext cx="3048002" cy="1260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56029</xdr:colOff>
      <xdr:row>2</xdr:row>
      <xdr:rowOff>1680</xdr:rowOff>
    </xdr:from>
    <xdr:to>
      <xdr:col>12</xdr:col>
      <xdr:colOff>0</xdr:colOff>
      <xdr:row>2</xdr:row>
      <xdr:rowOff>11907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>
          <a:off x="4000500" y="584386"/>
          <a:ext cx="3078114" cy="102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160244</xdr:colOff>
      <xdr:row>6</xdr:row>
      <xdr:rowOff>14568</xdr:rowOff>
    </xdr:from>
    <xdr:to>
      <xdr:col>5</xdr:col>
      <xdr:colOff>103094</xdr:colOff>
      <xdr:row>6</xdr:row>
      <xdr:rowOff>14569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0F00-000002000000}"/>
            </a:ext>
          </a:extLst>
        </xdr:cNvPr>
        <xdr:cNvCxnSpPr/>
      </xdr:nvCxnSpPr>
      <xdr:spPr>
        <a:xfrm flipV="1">
          <a:off x="1975597" y="1426509"/>
          <a:ext cx="1097056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733425</xdr:colOff>
      <xdr:row>5</xdr:row>
      <xdr:rowOff>9525</xdr:rowOff>
    </xdr:from>
    <xdr:to>
      <xdr:col>2</xdr:col>
      <xdr:colOff>962025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000-000002000000}"/>
            </a:ext>
          </a:extLst>
        </xdr:cNvPr>
        <xdr:cNvCxnSpPr/>
      </xdr:nvCxnSpPr>
      <xdr:spPr>
        <a:xfrm>
          <a:off x="1447800" y="1123950"/>
          <a:ext cx="11620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392205</xdr:colOff>
      <xdr:row>2</xdr:row>
      <xdr:rowOff>44823</xdr:rowOff>
    </xdr:from>
    <xdr:to>
      <xdr:col>3</xdr:col>
      <xdr:colOff>481852</xdr:colOff>
      <xdr:row>2</xdr:row>
      <xdr:rowOff>44823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CxnSpPr/>
      </xdr:nvCxnSpPr>
      <xdr:spPr>
        <a:xfrm>
          <a:off x="1456764" y="470647"/>
          <a:ext cx="115420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459435</xdr:colOff>
      <xdr:row>2</xdr:row>
      <xdr:rowOff>44823</xdr:rowOff>
    </xdr:from>
    <xdr:to>
      <xdr:col>13</xdr:col>
      <xdr:colOff>504264</xdr:colOff>
      <xdr:row>2</xdr:row>
      <xdr:rowOff>44823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1100-000005000000}"/>
            </a:ext>
          </a:extLst>
        </xdr:cNvPr>
        <xdr:cNvCxnSpPr/>
      </xdr:nvCxnSpPr>
      <xdr:spPr>
        <a:xfrm>
          <a:off x="5995141" y="448235"/>
          <a:ext cx="385482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1008529</xdr:colOff>
      <xdr:row>5</xdr:row>
      <xdr:rowOff>0</xdr:rowOff>
    </xdr:from>
    <xdr:to>
      <xdr:col>2</xdr:col>
      <xdr:colOff>806822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200-000003000000}"/>
            </a:ext>
          </a:extLst>
        </xdr:cNvPr>
        <xdr:cNvCxnSpPr/>
      </xdr:nvCxnSpPr>
      <xdr:spPr>
        <a:xfrm>
          <a:off x="1344705" y="1109382"/>
          <a:ext cx="142314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1151166</xdr:colOff>
      <xdr:row>5</xdr:row>
      <xdr:rowOff>54429</xdr:rowOff>
    </xdr:from>
    <xdr:to>
      <xdr:col>2</xdr:col>
      <xdr:colOff>537483</xdr:colOff>
      <xdr:row>5</xdr:row>
      <xdr:rowOff>54429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300-000003000000}"/>
            </a:ext>
          </a:extLst>
        </xdr:cNvPr>
        <xdr:cNvCxnSpPr/>
      </xdr:nvCxnSpPr>
      <xdr:spPr>
        <a:xfrm>
          <a:off x="1455966" y="1159329"/>
          <a:ext cx="99604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238125</xdr:colOff>
      <xdr:row>9</xdr:row>
      <xdr:rowOff>9525</xdr:rowOff>
    </xdr:from>
    <xdr:to>
      <xdr:col>7</xdr:col>
      <xdr:colOff>142875</xdr:colOff>
      <xdr:row>9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CxnSpPr/>
      </xdr:nvCxnSpPr>
      <xdr:spPr>
        <a:xfrm>
          <a:off x="2438400" y="1247775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66675</xdr:colOff>
      <xdr:row>9</xdr:row>
      <xdr:rowOff>9525</xdr:rowOff>
    </xdr:from>
    <xdr:to>
      <xdr:col>6</xdr:col>
      <xdr:colOff>228600</xdr:colOff>
      <xdr:row>9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CxnSpPr/>
      </xdr:nvCxnSpPr>
      <xdr:spPr>
        <a:xfrm>
          <a:off x="1952625" y="1247775"/>
          <a:ext cx="6762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238125</xdr:colOff>
      <xdr:row>9</xdr:row>
      <xdr:rowOff>9525</xdr:rowOff>
    </xdr:from>
    <xdr:to>
      <xdr:col>7</xdr:col>
      <xdr:colOff>142875</xdr:colOff>
      <xdr:row>9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CxnSpPr/>
      </xdr:nvCxnSpPr>
      <xdr:spPr>
        <a:xfrm>
          <a:off x="2124075" y="1266825"/>
          <a:ext cx="6762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66675</xdr:colOff>
      <xdr:row>9</xdr:row>
      <xdr:rowOff>9525</xdr:rowOff>
    </xdr:from>
    <xdr:to>
      <xdr:col>6</xdr:col>
      <xdr:colOff>228600</xdr:colOff>
      <xdr:row>9</xdr:row>
      <xdr:rowOff>9525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CxnSpPr/>
      </xdr:nvCxnSpPr>
      <xdr:spPr>
        <a:xfrm>
          <a:off x="1952625" y="1266825"/>
          <a:ext cx="6762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238125</xdr:colOff>
      <xdr:row>9</xdr:row>
      <xdr:rowOff>9525</xdr:rowOff>
    </xdr:from>
    <xdr:to>
      <xdr:col>7</xdr:col>
      <xdr:colOff>142875</xdr:colOff>
      <xdr:row>9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CxnSpPr/>
      </xdr:nvCxnSpPr>
      <xdr:spPr>
        <a:xfrm>
          <a:off x="2124075" y="1247775"/>
          <a:ext cx="6762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66675</xdr:colOff>
      <xdr:row>9</xdr:row>
      <xdr:rowOff>9525</xdr:rowOff>
    </xdr:from>
    <xdr:to>
      <xdr:col>6</xdr:col>
      <xdr:colOff>228600</xdr:colOff>
      <xdr:row>9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CxnSpPr/>
      </xdr:nvCxnSpPr>
      <xdr:spPr>
        <a:xfrm>
          <a:off x="1952625" y="1247775"/>
          <a:ext cx="6762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238125</xdr:colOff>
      <xdr:row>9</xdr:row>
      <xdr:rowOff>9525</xdr:rowOff>
    </xdr:from>
    <xdr:to>
      <xdr:col>7</xdr:col>
      <xdr:colOff>142875</xdr:colOff>
      <xdr:row>9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CxnSpPr/>
      </xdr:nvCxnSpPr>
      <xdr:spPr>
        <a:xfrm>
          <a:off x="2124075" y="1247775"/>
          <a:ext cx="6762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66675</xdr:colOff>
      <xdr:row>9</xdr:row>
      <xdr:rowOff>9525</xdr:rowOff>
    </xdr:from>
    <xdr:to>
      <xdr:col>6</xdr:col>
      <xdr:colOff>228600</xdr:colOff>
      <xdr:row>9</xdr:row>
      <xdr:rowOff>9525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CxnSpPr/>
      </xdr:nvCxnSpPr>
      <xdr:spPr>
        <a:xfrm>
          <a:off x="1952625" y="1247775"/>
          <a:ext cx="6762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723900</xdr:colOff>
      <xdr:row>5</xdr:row>
      <xdr:rowOff>28575</xdr:rowOff>
    </xdr:from>
    <xdr:to>
      <xdr:col>4</xdr:col>
      <xdr:colOff>323850</xdr:colOff>
      <xdr:row>5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E97DC40B-3B4F-0A48-FB0C-4317AF5132FF}"/>
            </a:ext>
          </a:extLst>
        </xdr:cNvPr>
        <xdr:cNvCxnSpPr/>
      </xdr:nvCxnSpPr>
      <xdr:spPr>
        <a:xfrm>
          <a:off x="1123950" y="942975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676275</xdr:colOff>
      <xdr:row>5</xdr:row>
      <xdr:rowOff>9525</xdr:rowOff>
    </xdr:from>
    <xdr:to>
      <xdr:col>6</xdr:col>
      <xdr:colOff>57150</xdr:colOff>
      <xdr:row>5</xdr:row>
      <xdr:rowOff>19050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xmlns="" id="{00000000-0008-0000-1600-000009000000}"/>
            </a:ext>
          </a:extLst>
        </xdr:cNvPr>
        <xdr:cNvCxnSpPr/>
      </xdr:nvCxnSpPr>
      <xdr:spPr>
        <a:xfrm flipV="1">
          <a:off x="1038225" y="1000125"/>
          <a:ext cx="138112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1019175</xdr:colOff>
      <xdr:row>5</xdr:row>
      <xdr:rowOff>0</xdr:rowOff>
    </xdr:from>
    <xdr:to>
      <xdr:col>2</xdr:col>
      <xdr:colOff>885825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700-000002000000}"/>
            </a:ext>
          </a:extLst>
        </xdr:cNvPr>
        <xdr:cNvCxnSpPr/>
      </xdr:nvCxnSpPr>
      <xdr:spPr>
        <a:xfrm>
          <a:off x="1476375" y="1076325"/>
          <a:ext cx="154305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1047750</xdr:colOff>
      <xdr:row>4</xdr:row>
      <xdr:rowOff>219075</xdr:rowOff>
    </xdr:from>
    <xdr:to>
      <xdr:col>3</xdr:col>
      <xdr:colOff>133350</xdr:colOff>
      <xdr:row>4</xdr:row>
      <xdr:rowOff>219076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CxnSpPr/>
      </xdr:nvCxnSpPr>
      <xdr:spPr>
        <a:xfrm>
          <a:off x="1533525" y="1104900"/>
          <a:ext cx="124777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4</xdr:row>
      <xdr:rowOff>209550</xdr:rowOff>
    </xdr:from>
    <xdr:to>
      <xdr:col>5</xdr:col>
      <xdr:colOff>431006</xdr:colOff>
      <xdr:row>4</xdr:row>
      <xdr:rowOff>216694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900-000002000000}"/>
            </a:ext>
          </a:extLst>
        </xdr:cNvPr>
        <xdr:cNvCxnSpPr/>
      </xdr:nvCxnSpPr>
      <xdr:spPr>
        <a:xfrm>
          <a:off x="3143250" y="1162050"/>
          <a:ext cx="1393031" cy="714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112058</xdr:colOff>
      <xdr:row>2</xdr:row>
      <xdr:rowOff>22412</xdr:rowOff>
    </xdr:from>
    <xdr:to>
      <xdr:col>10</xdr:col>
      <xdr:colOff>504264</xdr:colOff>
      <xdr:row>2</xdr:row>
      <xdr:rowOff>22412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C00-000003000000}"/>
            </a:ext>
          </a:extLst>
        </xdr:cNvPr>
        <xdr:cNvCxnSpPr/>
      </xdr:nvCxnSpPr>
      <xdr:spPr>
        <a:xfrm>
          <a:off x="2061882" y="425824"/>
          <a:ext cx="360829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408933</xdr:colOff>
      <xdr:row>5</xdr:row>
      <xdr:rowOff>8805</xdr:rowOff>
    </xdr:from>
    <xdr:to>
      <xdr:col>4</xdr:col>
      <xdr:colOff>172009</xdr:colOff>
      <xdr:row>5</xdr:row>
      <xdr:rowOff>8805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1C00-000005000000}"/>
            </a:ext>
          </a:extLst>
        </xdr:cNvPr>
        <xdr:cNvCxnSpPr/>
      </xdr:nvCxnSpPr>
      <xdr:spPr>
        <a:xfrm>
          <a:off x="732783" y="1008930"/>
          <a:ext cx="1468051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1369518</xdr:colOff>
      <xdr:row>1</xdr:row>
      <xdr:rowOff>185698</xdr:rowOff>
    </xdr:from>
    <xdr:to>
      <xdr:col>4</xdr:col>
      <xdr:colOff>660347</xdr:colOff>
      <xdr:row>1</xdr:row>
      <xdr:rowOff>190500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800-000003000000}"/>
            </a:ext>
          </a:extLst>
        </xdr:cNvPr>
        <xdr:cNvCxnSpPr/>
      </xdr:nvCxnSpPr>
      <xdr:spPr>
        <a:xfrm>
          <a:off x="1709697" y="1002127"/>
          <a:ext cx="1699293" cy="480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530678</xdr:colOff>
      <xdr:row>2</xdr:row>
      <xdr:rowOff>27214</xdr:rowOff>
    </xdr:from>
    <xdr:to>
      <xdr:col>18</xdr:col>
      <xdr:colOff>285749</xdr:colOff>
      <xdr:row>2</xdr:row>
      <xdr:rowOff>27214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2800-000005000000}"/>
            </a:ext>
          </a:extLst>
        </xdr:cNvPr>
        <xdr:cNvCxnSpPr/>
      </xdr:nvCxnSpPr>
      <xdr:spPr>
        <a:xfrm>
          <a:off x="10736035" y="1061357"/>
          <a:ext cx="379639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6</xdr:row>
      <xdr:rowOff>19050</xdr:rowOff>
    </xdr:from>
    <xdr:to>
      <xdr:col>5</xdr:col>
      <xdr:colOff>200025</xdr:colOff>
      <xdr:row>6</xdr:row>
      <xdr:rowOff>20638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900-000002000000}"/>
            </a:ext>
          </a:extLst>
        </xdr:cNvPr>
        <xdr:cNvCxnSpPr/>
      </xdr:nvCxnSpPr>
      <xdr:spPr>
        <a:xfrm>
          <a:off x="1457325" y="1276350"/>
          <a:ext cx="137160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981075</xdr:colOff>
      <xdr:row>5</xdr:row>
      <xdr:rowOff>28575</xdr:rowOff>
    </xdr:from>
    <xdr:to>
      <xdr:col>4</xdr:col>
      <xdr:colOff>266700</xdr:colOff>
      <xdr:row>5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A00-000003000000}"/>
            </a:ext>
          </a:extLst>
        </xdr:cNvPr>
        <xdr:cNvCxnSpPr/>
      </xdr:nvCxnSpPr>
      <xdr:spPr>
        <a:xfrm>
          <a:off x="1352550" y="1123950"/>
          <a:ext cx="13716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5</xdr:row>
      <xdr:rowOff>0</xdr:rowOff>
    </xdr:from>
    <xdr:to>
      <xdr:col>3</xdr:col>
      <xdr:colOff>485775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F00-000003000000}"/>
            </a:ext>
          </a:extLst>
        </xdr:cNvPr>
        <xdr:cNvCxnSpPr/>
      </xdr:nvCxnSpPr>
      <xdr:spPr>
        <a:xfrm>
          <a:off x="2171700" y="981075"/>
          <a:ext cx="914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5</xdr:row>
      <xdr:rowOff>0</xdr:rowOff>
    </xdr:from>
    <xdr:to>
      <xdr:col>3</xdr:col>
      <xdr:colOff>485775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F00-000003000000}"/>
            </a:ext>
          </a:extLst>
        </xdr:cNvPr>
        <xdr:cNvCxnSpPr/>
      </xdr:nvCxnSpPr>
      <xdr:spPr>
        <a:xfrm>
          <a:off x="2066925" y="981075"/>
          <a:ext cx="914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1162050</xdr:colOff>
      <xdr:row>6</xdr:row>
      <xdr:rowOff>0</xdr:rowOff>
    </xdr:from>
    <xdr:to>
      <xdr:col>1</xdr:col>
      <xdr:colOff>2124075</xdr:colOff>
      <xdr:row>6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900-000002000000}"/>
            </a:ext>
          </a:extLst>
        </xdr:cNvPr>
        <xdr:cNvCxnSpPr/>
      </xdr:nvCxnSpPr>
      <xdr:spPr>
        <a:xfrm>
          <a:off x="1905000" y="1200150"/>
          <a:ext cx="9620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1187823</xdr:colOff>
      <xdr:row>5</xdr:row>
      <xdr:rowOff>0</xdr:rowOff>
    </xdr:from>
    <xdr:to>
      <xdr:col>2</xdr:col>
      <xdr:colOff>268941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000-000003000000}"/>
            </a:ext>
          </a:extLst>
        </xdr:cNvPr>
        <xdr:cNvCxnSpPr/>
      </xdr:nvCxnSpPr>
      <xdr:spPr>
        <a:xfrm>
          <a:off x="1664073" y="1028700"/>
          <a:ext cx="131949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1085850</xdr:colOff>
      <xdr:row>5</xdr:row>
      <xdr:rowOff>9525</xdr:rowOff>
    </xdr:from>
    <xdr:to>
      <xdr:col>2</xdr:col>
      <xdr:colOff>266700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500-000002000000}"/>
            </a:ext>
          </a:extLst>
        </xdr:cNvPr>
        <xdr:cNvCxnSpPr/>
      </xdr:nvCxnSpPr>
      <xdr:spPr>
        <a:xfrm>
          <a:off x="1409700" y="1038225"/>
          <a:ext cx="12858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700-000002000000}"/>
            </a:ext>
          </a:extLst>
        </xdr:cNvPr>
        <xdr:cNvCxnSpPr/>
      </xdr:nvCxnSpPr>
      <xdr:spPr>
        <a:xfrm>
          <a:off x="1571625" y="1019175"/>
          <a:ext cx="10382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2" name="Straight Connector 1"/>
        <xdr:cNvCxnSpPr/>
      </xdr:nvCxnSpPr>
      <xdr:spPr>
        <a:xfrm>
          <a:off x="1571625" y="1019175"/>
          <a:ext cx="1066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3" name="Straight Connector 2"/>
        <xdr:cNvCxnSpPr/>
      </xdr:nvCxnSpPr>
      <xdr:spPr>
        <a:xfrm>
          <a:off x="1571625" y="1019175"/>
          <a:ext cx="10382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1474694</xdr:colOff>
      <xdr:row>5</xdr:row>
      <xdr:rowOff>0</xdr:rowOff>
    </xdr:from>
    <xdr:to>
      <xdr:col>2</xdr:col>
      <xdr:colOff>207869</xdr:colOff>
      <xdr:row>5</xdr:row>
      <xdr:rowOff>0</xdr:rowOff>
    </xdr:to>
    <xdr:cxnSp macro="">
      <xdr:nvCxnSpPr>
        <xdr:cNvPr id="4" name="Straight Connector 3"/>
        <xdr:cNvCxnSpPr/>
      </xdr:nvCxnSpPr>
      <xdr:spPr>
        <a:xfrm>
          <a:off x="1769969" y="1028700"/>
          <a:ext cx="10287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1474694</xdr:colOff>
      <xdr:row>5</xdr:row>
      <xdr:rowOff>0</xdr:rowOff>
    </xdr:from>
    <xdr:to>
      <xdr:col>2</xdr:col>
      <xdr:colOff>207869</xdr:colOff>
      <xdr:row>5</xdr:row>
      <xdr:rowOff>0</xdr:rowOff>
    </xdr:to>
    <xdr:cxnSp macro="">
      <xdr:nvCxnSpPr>
        <xdr:cNvPr id="5" name="Straight Connector 4"/>
        <xdr:cNvCxnSpPr/>
      </xdr:nvCxnSpPr>
      <xdr:spPr>
        <a:xfrm>
          <a:off x="1769969" y="1028700"/>
          <a:ext cx="10287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1312769</xdr:colOff>
      <xdr:row>4</xdr:row>
      <xdr:rowOff>190500</xdr:rowOff>
    </xdr:from>
    <xdr:to>
      <xdr:col>2</xdr:col>
      <xdr:colOff>45944</xdr:colOff>
      <xdr:row>4</xdr:row>
      <xdr:rowOff>190500</xdr:rowOff>
    </xdr:to>
    <xdr:cxnSp macro="">
      <xdr:nvCxnSpPr>
        <xdr:cNvPr id="6" name="Straight Connector 5"/>
        <xdr:cNvCxnSpPr/>
      </xdr:nvCxnSpPr>
      <xdr:spPr>
        <a:xfrm>
          <a:off x="1627094" y="1019175"/>
          <a:ext cx="1085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1293719</xdr:colOff>
      <xdr:row>4</xdr:row>
      <xdr:rowOff>190500</xdr:rowOff>
    </xdr:from>
    <xdr:to>
      <xdr:col>2</xdr:col>
      <xdr:colOff>26894</xdr:colOff>
      <xdr:row>4</xdr:row>
      <xdr:rowOff>190500</xdr:rowOff>
    </xdr:to>
    <xdr:cxnSp macro="">
      <xdr:nvCxnSpPr>
        <xdr:cNvPr id="7" name="Straight Connector 6"/>
        <xdr:cNvCxnSpPr/>
      </xdr:nvCxnSpPr>
      <xdr:spPr>
        <a:xfrm>
          <a:off x="1608044" y="1019175"/>
          <a:ext cx="1085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8" name="Straight Connector 7"/>
        <xdr:cNvCxnSpPr/>
      </xdr:nvCxnSpPr>
      <xdr:spPr>
        <a:xfrm>
          <a:off x="1609725" y="1019175"/>
          <a:ext cx="1085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2" name="Straight Connector 1"/>
        <xdr:cNvCxnSpPr/>
      </xdr:nvCxnSpPr>
      <xdr:spPr>
        <a:xfrm>
          <a:off x="1571625" y="1019175"/>
          <a:ext cx="10382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3" name="Straight Connector 2"/>
        <xdr:cNvCxnSpPr/>
      </xdr:nvCxnSpPr>
      <xdr:spPr>
        <a:xfrm>
          <a:off x="1571625" y="1019175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4" name="Straight Connector 3"/>
        <xdr:cNvCxnSpPr/>
      </xdr:nvCxnSpPr>
      <xdr:spPr>
        <a:xfrm>
          <a:off x="1609725" y="1019175"/>
          <a:ext cx="1085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1295400</xdr:colOff>
      <xdr:row>4</xdr:row>
      <xdr:rowOff>190500</xdr:rowOff>
    </xdr:from>
    <xdr:to>
      <xdr:col>2</xdr:col>
      <xdr:colOff>28575</xdr:colOff>
      <xdr:row>4</xdr:row>
      <xdr:rowOff>190500</xdr:rowOff>
    </xdr:to>
    <xdr:cxnSp macro="">
      <xdr:nvCxnSpPr>
        <xdr:cNvPr id="5" name="Straight Connector 4"/>
        <xdr:cNvCxnSpPr/>
      </xdr:nvCxnSpPr>
      <xdr:spPr>
        <a:xfrm>
          <a:off x="1609725" y="1019175"/>
          <a:ext cx="11334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136255</xdr:colOff>
      <xdr:row>9</xdr:row>
      <xdr:rowOff>163581</xdr:rowOff>
    </xdr:from>
    <xdr:to>
      <xdr:col>6</xdr:col>
      <xdr:colOff>253040</xdr:colOff>
      <xdr:row>9</xdr:row>
      <xdr:rowOff>163581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600-000002000000}"/>
            </a:ext>
          </a:extLst>
        </xdr:cNvPr>
        <xdr:cNvCxnSpPr/>
      </xdr:nvCxnSpPr>
      <xdr:spPr>
        <a:xfrm>
          <a:off x="2193655" y="2544831"/>
          <a:ext cx="1167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107679</xdr:colOff>
      <xdr:row>9</xdr:row>
      <xdr:rowOff>147021</xdr:rowOff>
    </xdr:from>
    <xdr:to>
      <xdr:col>8</xdr:col>
      <xdr:colOff>281614</xdr:colOff>
      <xdr:row>9</xdr:row>
      <xdr:rowOff>147021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3600-000003000000}"/>
            </a:ext>
          </a:extLst>
        </xdr:cNvPr>
        <xdr:cNvCxnSpPr/>
      </xdr:nvCxnSpPr>
      <xdr:spPr>
        <a:xfrm>
          <a:off x="2850879" y="2528271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113067</xdr:colOff>
      <xdr:row>9</xdr:row>
      <xdr:rowOff>171870</xdr:rowOff>
    </xdr:from>
    <xdr:to>
      <xdr:col>10</xdr:col>
      <xdr:colOff>287002</xdr:colOff>
      <xdr:row>9</xdr:row>
      <xdr:rowOff>171870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3600-000004000000}"/>
            </a:ext>
          </a:extLst>
        </xdr:cNvPr>
        <xdr:cNvCxnSpPr/>
      </xdr:nvCxnSpPr>
      <xdr:spPr>
        <a:xfrm>
          <a:off x="3532542" y="2553120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108510</xdr:colOff>
      <xdr:row>9</xdr:row>
      <xdr:rowOff>162345</xdr:rowOff>
    </xdr:from>
    <xdr:to>
      <xdr:col>11</xdr:col>
      <xdr:colOff>282445</xdr:colOff>
      <xdr:row>9</xdr:row>
      <xdr:rowOff>162345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3600-000005000000}"/>
            </a:ext>
          </a:extLst>
        </xdr:cNvPr>
        <xdr:cNvCxnSpPr/>
      </xdr:nvCxnSpPr>
      <xdr:spPr>
        <a:xfrm>
          <a:off x="3899460" y="2543595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103122</xdr:colOff>
      <xdr:row>9</xdr:row>
      <xdr:rowOff>164829</xdr:rowOff>
    </xdr:from>
    <xdr:to>
      <xdr:col>12</xdr:col>
      <xdr:colOff>277057</xdr:colOff>
      <xdr:row>9</xdr:row>
      <xdr:rowOff>164829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xmlns="" id="{00000000-0008-0000-3600-000006000000}"/>
            </a:ext>
          </a:extLst>
        </xdr:cNvPr>
        <xdr:cNvCxnSpPr/>
      </xdr:nvCxnSpPr>
      <xdr:spPr>
        <a:xfrm>
          <a:off x="4265547" y="2546079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180907</xdr:colOff>
      <xdr:row>9</xdr:row>
      <xdr:rowOff>66675</xdr:rowOff>
    </xdr:from>
    <xdr:to>
      <xdr:col>13</xdr:col>
      <xdr:colOff>181458</xdr:colOff>
      <xdr:row>9</xdr:row>
      <xdr:rowOff>200439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xmlns="" id="{00000000-0008-0000-3600-000007000000}"/>
            </a:ext>
          </a:extLst>
        </xdr:cNvPr>
        <xdr:cNvCxnSpPr/>
      </xdr:nvCxnSpPr>
      <xdr:spPr>
        <a:xfrm>
          <a:off x="4714807" y="2447925"/>
          <a:ext cx="551" cy="1337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9</xdr:row>
      <xdr:rowOff>28575</xdr:rowOff>
    </xdr:from>
    <xdr:to>
      <xdr:col>14</xdr:col>
      <xdr:colOff>238125</xdr:colOff>
      <xdr:row>9</xdr:row>
      <xdr:rowOff>133350</xdr:rowOff>
    </xdr:to>
    <xdr:cxnSp macro="">
      <xdr:nvCxnSpPr>
        <xdr:cNvPr id="8" name="AutoShape 12">
          <a:extLst>
            <a:ext uri="{FF2B5EF4-FFF2-40B4-BE49-F238E27FC236}">
              <a16:creationId xmlns:a16="http://schemas.microsoft.com/office/drawing/2014/main" xmlns="" id="{00000000-0008-0000-3600-000008000000}"/>
            </a:ext>
          </a:extLst>
        </xdr:cNvPr>
        <xdr:cNvCxnSpPr>
          <a:cxnSpLocks noChangeShapeType="1"/>
        </xdr:cNvCxnSpPr>
      </xdr:nvCxnSpPr>
      <xdr:spPr bwMode="auto">
        <a:xfrm>
          <a:off x="5057775" y="2409825"/>
          <a:ext cx="142875" cy="1047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81588</xdr:colOff>
      <xdr:row>9</xdr:row>
      <xdr:rowOff>145789</xdr:rowOff>
    </xdr:from>
    <xdr:to>
      <xdr:col>14</xdr:col>
      <xdr:colOff>230675</xdr:colOff>
      <xdr:row>9</xdr:row>
      <xdr:rowOff>145789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xmlns="" id="{00000000-0008-0000-3600-000009000000}"/>
            </a:ext>
          </a:extLst>
        </xdr:cNvPr>
        <xdr:cNvCxnSpPr/>
      </xdr:nvCxnSpPr>
      <xdr:spPr>
        <a:xfrm>
          <a:off x="5044113" y="2527039"/>
          <a:ext cx="14908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96907</xdr:colOff>
      <xdr:row>9</xdr:row>
      <xdr:rowOff>85725</xdr:rowOff>
    </xdr:from>
    <xdr:to>
      <xdr:col>18</xdr:col>
      <xdr:colOff>312255</xdr:colOff>
      <xdr:row>9</xdr:row>
      <xdr:rowOff>185116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xmlns="" id="{00000000-0008-0000-3600-00000A000000}"/>
            </a:ext>
          </a:extLst>
        </xdr:cNvPr>
        <xdr:cNvCxnSpPr/>
      </xdr:nvCxnSpPr>
      <xdr:spPr>
        <a:xfrm>
          <a:off x="6545332" y="2466975"/>
          <a:ext cx="215348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98149</xdr:colOff>
      <xdr:row>9</xdr:row>
      <xdr:rowOff>85725</xdr:rowOff>
    </xdr:from>
    <xdr:to>
      <xdr:col>18</xdr:col>
      <xdr:colOff>321779</xdr:colOff>
      <xdr:row>9</xdr:row>
      <xdr:rowOff>185116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xmlns="" id="{00000000-0008-0000-3600-00000B000000}"/>
            </a:ext>
          </a:extLst>
        </xdr:cNvPr>
        <xdr:cNvCxnSpPr/>
      </xdr:nvCxnSpPr>
      <xdr:spPr>
        <a:xfrm flipH="1">
          <a:off x="6546574" y="2466975"/>
          <a:ext cx="223630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180975</xdr:colOff>
      <xdr:row>9</xdr:row>
      <xdr:rowOff>57150</xdr:rowOff>
    </xdr:from>
    <xdr:to>
      <xdr:col>20</xdr:col>
      <xdr:colOff>419100</xdr:colOff>
      <xdr:row>9</xdr:row>
      <xdr:rowOff>209550</xdr:rowOff>
    </xdr:to>
    <xdr:sp macro="" textlink="">
      <xdr:nvSpPr>
        <xdr:cNvPr id="12" name="Flowchart: Or 1108">
          <a:extLst>
            <a:ext uri="{FF2B5EF4-FFF2-40B4-BE49-F238E27FC236}">
              <a16:creationId xmlns:a16="http://schemas.microsoft.com/office/drawing/2014/main" xmlns="" id="{00000000-0008-0000-3600-00000C000000}"/>
            </a:ext>
          </a:extLst>
        </xdr:cNvPr>
        <xdr:cNvSpPr>
          <a:spLocks noChangeArrowheads="1"/>
        </xdr:cNvSpPr>
      </xdr:nvSpPr>
      <xdr:spPr bwMode="auto">
        <a:xfrm>
          <a:off x="7448550" y="2438400"/>
          <a:ext cx="238125" cy="1524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323850</xdr:colOff>
      <xdr:row>9</xdr:row>
      <xdr:rowOff>85725</xdr:rowOff>
    </xdr:from>
    <xdr:to>
      <xdr:col>18</xdr:col>
      <xdr:colOff>323850</xdr:colOff>
      <xdr:row>9</xdr:row>
      <xdr:rowOff>190500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xmlns="" id="{00000000-0008-0000-3600-00000D000000}"/>
            </a:ext>
          </a:extLst>
        </xdr:cNvPr>
        <xdr:cNvCxnSpPr/>
      </xdr:nvCxnSpPr>
      <xdr:spPr>
        <a:xfrm>
          <a:off x="6772275" y="2466975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104775</xdr:colOff>
      <xdr:row>9</xdr:row>
      <xdr:rowOff>76200</xdr:rowOff>
    </xdr:from>
    <xdr:to>
      <xdr:col>18</xdr:col>
      <xdr:colOff>104775</xdr:colOff>
      <xdr:row>9</xdr:row>
      <xdr:rowOff>180975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xmlns="" id="{00000000-0008-0000-3600-00000E000000}"/>
            </a:ext>
          </a:extLst>
        </xdr:cNvPr>
        <xdr:cNvCxnSpPr/>
      </xdr:nvCxnSpPr>
      <xdr:spPr>
        <a:xfrm>
          <a:off x="6553200" y="2457450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9</xdr:row>
      <xdr:rowOff>200025</xdr:rowOff>
    </xdr:from>
    <xdr:to>
      <xdr:col>13</xdr:col>
      <xdr:colOff>314325</xdr:colOff>
      <xdr:row>9</xdr:row>
      <xdr:rowOff>200025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xmlns="" id="{00000000-0008-0000-3600-00000F000000}"/>
            </a:ext>
          </a:extLst>
        </xdr:cNvPr>
        <xdr:cNvCxnSpPr/>
      </xdr:nvCxnSpPr>
      <xdr:spPr>
        <a:xfrm>
          <a:off x="4724400" y="2581275"/>
          <a:ext cx="123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333375</xdr:colOff>
      <xdr:row>2</xdr:row>
      <xdr:rowOff>0</xdr:rowOff>
    </xdr:from>
    <xdr:to>
      <xdr:col>22</xdr:col>
      <xdr:colOff>485775</xdr:colOff>
      <xdr:row>2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xmlns="" id="{00000000-0008-0000-3600-000010000000}"/>
            </a:ext>
          </a:extLst>
        </xdr:cNvPr>
        <xdr:cNvCxnSpPr/>
      </xdr:nvCxnSpPr>
      <xdr:spPr>
        <a:xfrm>
          <a:off x="6038850" y="400050"/>
          <a:ext cx="29051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136255</xdr:colOff>
      <xdr:row>9</xdr:row>
      <xdr:rowOff>163581</xdr:rowOff>
    </xdr:from>
    <xdr:to>
      <xdr:col>6</xdr:col>
      <xdr:colOff>253040</xdr:colOff>
      <xdr:row>9</xdr:row>
      <xdr:rowOff>163581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800-000002000000}"/>
            </a:ext>
          </a:extLst>
        </xdr:cNvPr>
        <xdr:cNvCxnSpPr/>
      </xdr:nvCxnSpPr>
      <xdr:spPr>
        <a:xfrm>
          <a:off x="2279380" y="2544831"/>
          <a:ext cx="1167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107679</xdr:colOff>
      <xdr:row>9</xdr:row>
      <xdr:rowOff>147021</xdr:rowOff>
    </xdr:from>
    <xdr:to>
      <xdr:col>8</xdr:col>
      <xdr:colOff>281614</xdr:colOff>
      <xdr:row>9</xdr:row>
      <xdr:rowOff>147021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3800-000003000000}"/>
            </a:ext>
          </a:extLst>
        </xdr:cNvPr>
        <xdr:cNvCxnSpPr/>
      </xdr:nvCxnSpPr>
      <xdr:spPr>
        <a:xfrm>
          <a:off x="2936604" y="2528271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113067</xdr:colOff>
      <xdr:row>9</xdr:row>
      <xdr:rowOff>171870</xdr:rowOff>
    </xdr:from>
    <xdr:to>
      <xdr:col>10</xdr:col>
      <xdr:colOff>287002</xdr:colOff>
      <xdr:row>9</xdr:row>
      <xdr:rowOff>171870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3800-000004000000}"/>
            </a:ext>
          </a:extLst>
        </xdr:cNvPr>
        <xdr:cNvCxnSpPr/>
      </xdr:nvCxnSpPr>
      <xdr:spPr>
        <a:xfrm>
          <a:off x="3618267" y="2553120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108510</xdr:colOff>
      <xdr:row>9</xdr:row>
      <xdr:rowOff>162345</xdr:rowOff>
    </xdr:from>
    <xdr:to>
      <xdr:col>11</xdr:col>
      <xdr:colOff>282445</xdr:colOff>
      <xdr:row>9</xdr:row>
      <xdr:rowOff>162345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3800-000005000000}"/>
            </a:ext>
          </a:extLst>
        </xdr:cNvPr>
        <xdr:cNvCxnSpPr/>
      </xdr:nvCxnSpPr>
      <xdr:spPr>
        <a:xfrm>
          <a:off x="3985185" y="2543595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103122</xdr:colOff>
      <xdr:row>9</xdr:row>
      <xdr:rowOff>164829</xdr:rowOff>
    </xdr:from>
    <xdr:to>
      <xdr:col>12</xdr:col>
      <xdr:colOff>277057</xdr:colOff>
      <xdr:row>9</xdr:row>
      <xdr:rowOff>164829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xmlns="" id="{00000000-0008-0000-3800-000006000000}"/>
            </a:ext>
          </a:extLst>
        </xdr:cNvPr>
        <xdr:cNvCxnSpPr/>
      </xdr:nvCxnSpPr>
      <xdr:spPr>
        <a:xfrm>
          <a:off x="4351272" y="2546079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180907</xdr:colOff>
      <xdr:row>9</xdr:row>
      <xdr:rowOff>66675</xdr:rowOff>
    </xdr:from>
    <xdr:to>
      <xdr:col>13</xdr:col>
      <xdr:colOff>181458</xdr:colOff>
      <xdr:row>9</xdr:row>
      <xdr:rowOff>200439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xmlns="" id="{00000000-0008-0000-3800-000007000000}"/>
            </a:ext>
          </a:extLst>
        </xdr:cNvPr>
        <xdr:cNvCxnSpPr/>
      </xdr:nvCxnSpPr>
      <xdr:spPr>
        <a:xfrm>
          <a:off x="4800532" y="2447925"/>
          <a:ext cx="551" cy="1337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9</xdr:row>
      <xdr:rowOff>28575</xdr:rowOff>
    </xdr:from>
    <xdr:to>
      <xdr:col>14</xdr:col>
      <xdr:colOff>238125</xdr:colOff>
      <xdr:row>9</xdr:row>
      <xdr:rowOff>133350</xdr:rowOff>
    </xdr:to>
    <xdr:cxnSp macro="">
      <xdr:nvCxnSpPr>
        <xdr:cNvPr id="8" name="AutoShape 12">
          <a:extLst>
            <a:ext uri="{FF2B5EF4-FFF2-40B4-BE49-F238E27FC236}">
              <a16:creationId xmlns:a16="http://schemas.microsoft.com/office/drawing/2014/main" xmlns="" id="{00000000-0008-0000-3800-000008000000}"/>
            </a:ext>
          </a:extLst>
        </xdr:cNvPr>
        <xdr:cNvCxnSpPr>
          <a:cxnSpLocks noChangeShapeType="1"/>
        </xdr:cNvCxnSpPr>
      </xdr:nvCxnSpPr>
      <xdr:spPr bwMode="auto">
        <a:xfrm>
          <a:off x="5143500" y="2409825"/>
          <a:ext cx="142875" cy="1047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81588</xdr:colOff>
      <xdr:row>9</xdr:row>
      <xdr:rowOff>145789</xdr:rowOff>
    </xdr:from>
    <xdr:to>
      <xdr:col>14</xdr:col>
      <xdr:colOff>230675</xdr:colOff>
      <xdr:row>9</xdr:row>
      <xdr:rowOff>145789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xmlns="" id="{00000000-0008-0000-3800-000009000000}"/>
            </a:ext>
          </a:extLst>
        </xdr:cNvPr>
        <xdr:cNvCxnSpPr/>
      </xdr:nvCxnSpPr>
      <xdr:spPr>
        <a:xfrm>
          <a:off x="5129838" y="2527039"/>
          <a:ext cx="14908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96907</xdr:colOff>
      <xdr:row>9</xdr:row>
      <xdr:rowOff>85725</xdr:rowOff>
    </xdr:from>
    <xdr:to>
      <xdr:col>18</xdr:col>
      <xdr:colOff>312255</xdr:colOff>
      <xdr:row>9</xdr:row>
      <xdr:rowOff>185116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xmlns="" id="{00000000-0008-0000-3800-00000A000000}"/>
            </a:ext>
          </a:extLst>
        </xdr:cNvPr>
        <xdr:cNvCxnSpPr/>
      </xdr:nvCxnSpPr>
      <xdr:spPr>
        <a:xfrm>
          <a:off x="6631057" y="2466975"/>
          <a:ext cx="215348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98149</xdr:colOff>
      <xdr:row>9</xdr:row>
      <xdr:rowOff>85725</xdr:rowOff>
    </xdr:from>
    <xdr:to>
      <xdr:col>18</xdr:col>
      <xdr:colOff>321779</xdr:colOff>
      <xdr:row>9</xdr:row>
      <xdr:rowOff>185116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xmlns="" id="{00000000-0008-0000-3800-00000B000000}"/>
            </a:ext>
          </a:extLst>
        </xdr:cNvPr>
        <xdr:cNvCxnSpPr/>
      </xdr:nvCxnSpPr>
      <xdr:spPr>
        <a:xfrm flipH="1">
          <a:off x="6632299" y="2466975"/>
          <a:ext cx="223630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180975</xdr:colOff>
      <xdr:row>9</xdr:row>
      <xdr:rowOff>57150</xdr:rowOff>
    </xdr:from>
    <xdr:to>
      <xdr:col>20</xdr:col>
      <xdr:colOff>419100</xdr:colOff>
      <xdr:row>9</xdr:row>
      <xdr:rowOff>209550</xdr:rowOff>
    </xdr:to>
    <xdr:sp macro="" textlink="">
      <xdr:nvSpPr>
        <xdr:cNvPr id="12" name="Flowchart: Or 1108">
          <a:extLst>
            <a:ext uri="{FF2B5EF4-FFF2-40B4-BE49-F238E27FC236}">
              <a16:creationId xmlns:a16="http://schemas.microsoft.com/office/drawing/2014/main" xmlns="" id="{00000000-0008-0000-3800-00000C000000}"/>
            </a:ext>
          </a:extLst>
        </xdr:cNvPr>
        <xdr:cNvSpPr>
          <a:spLocks noChangeArrowheads="1"/>
        </xdr:cNvSpPr>
      </xdr:nvSpPr>
      <xdr:spPr bwMode="auto">
        <a:xfrm>
          <a:off x="7534275" y="2438400"/>
          <a:ext cx="238125" cy="1524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323850</xdr:colOff>
      <xdr:row>9</xdr:row>
      <xdr:rowOff>85725</xdr:rowOff>
    </xdr:from>
    <xdr:to>
      <xdr:col>18</xdr:col>
      <xdr:colOff>323850</xdr:colOff>
      <xdr:row>9</xdr:row>
      <xdr:rowOff>190500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xmlns="" id="{00000000-0008-0000-3800-00000D000000}"/>
            </a:ext>
          </a:extLst>
        </xdr:cNvPr>
        <xdr:cNvCxnSpPr/>
      </xdr:nvCxnSpPr>
      <xdr:spPr>
        <a:xfrm>
          <a:off x="6858000" y="2466975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104775</xdr:colOff>
      <xdr:row>9</xdr:row>
      <xdr:rowOff>76200</xdr:rowOff>
    </xdr:from>
    <xdr:to>
      <xdr:col>18</xdr:col>
      <xdr:colOff>104775</xdr:colOff>
      <xdr:row>9</xdr:row>
      <xdr:rowOff>180975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xmlns="" id="{00000000-0008-0000-3800-00000E000000}"/>
            </a:ext>
          </a:extLst>
        </xdr:cNvPr>
        <xdr:cNvCxnSpPr/>
      </xdr:nvCxnSpPr>
      <xdr:spPr>
        <a:xfrm>
          <a:off x="6638925" y="2457450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9</xdr:row>
      <xdr:rowOff>200025</xdr:rowOff>
    </xdr:from>
    <xdr:to>
      <xdr:col>13</xdr:col>
      <xdr:colOff>314325</xdr:colOff>
      <xdr:row>9</xdr:row>
      <xdr:rowOff>200025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xmlns="" id="{00000000-0008-0000-3800-00000F000000}"/>
            </a:ext>
          </a:extLst>
        </xdr:cNvPr>
        <xdr:cNvCxnSpPr/>
      </xdr:nvCxnSpPr>
      <xdr:spPr>
        <a:xfrm>
          <a:off x="4810125" y="2581275"/>
          <a:ext cx="123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333375</xdr:colOff>
      <xdr:row>2</xdr:row>
      <xdr:rowOff>0</xdr:rowOff>
    </xdr:from>
    <xdr:to>
      <xdr:col>22</xdr:col>
      <xdr:colOff>485775</xdr:colOff>
      <xdr:row>2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xmlns="" id="{00000000-0008-0000-3800-000010000000}"/>
            </a:ext>
          </a:extLst>
        </xdr:cNvPr>
        <xdr:cNvCxnSpPr/>
      </xdr:nvCxnSpPr>
      <xdr:spPr>
        <a:xfrm>
          <a:off x="6124575" y="400050"/>
          <a:ext cx="29051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136255</xdr:colOff>
      <xdr:row>9</xdr:row>
      <xdr:rowOff>163581</xdr:rowOff>
    </xdr:from>
    <xdr:to>
      <xdr:col>6</xdr:col>
      <xdr:colOff>253040</xdr:colOff>
      <xdr:row>9</xdr:row>
      <xdr:rowOff>163581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xmlns="" id="{00000000-0008-0000-3800-000049000000}"/>
            </a:ext>
          </a:extLst>
        </xdr:cNvPr>
        <xdr:cNvCxnSpPr/>
      </xdr:nvCxnSpPr>
      <xdr:spPr>
        <a:xfrm>
          <a:off x="2631805" y="2430531"/>
          <a:ext cx="1167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107679</xdr:colOff>
      <xdr:row>9</xdr:row>
      <xdr:rowOff>147021</xdr:rowOff>
    </xdr:from>
    <xdr:to>
      <xdr:col>8</xdr:col>
      <xdr:colOff>281614</xdr:colOff>
      <xdr:row>9</xdr:row>
      <xdr:rowOff>147021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xmlns="" id="{00000000-0008-0000-3800-00004A000000}"/>
            </a:ext>
          </a:extLst>
        </xdr:cNvPr>
        <xdr:cNvCxnSpPr/>
      </xdr:nvCxnSpPr>
      <xdr:spPr>
        <a:xfrm>
          <a:off x="3365229" y="2413971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113067</xdr:colOff>
      <xdr:row>9</xdr:row>
      <xdr:rowOff>171870</xdr:rowOff>
    </xdr:from>
    <xdr:to>
      <xdr:col>10</xdr:col>
      <xdr:colOff>287002</xdr:colOff>
      <xdr:row>9</xdr:row>
      <xdr:rowOff>171870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xmlns="" id="{00000000-0008-0000-3800-00004B000000}"/>
            </a:ext>
          </a:extLst>
        </xdr:cNvPr>
        <xdr:cNvCxnSpPr/>
      </xdr:nvCxnSpPr>
      <xdr:spPr>
        <a:xfrm>
          <a:off x="4132617" y="2438820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108510</xdr:colOff>
      <xdr:row>9</xdr:row>
      <xdr:rowOff>162345</xdr:rowOff>
    </xdr:from>
    <xdr:to>
      <xdr:col>11</xdr:col>
      <xdr:colOff>282445</xdr:colOff>
      <xdr:row>9</xdr:row>
      <xdr:rowOff>162345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xmlns="" id="{00000000-0008-0000-3800-00004C000000}"/>
            </a:ext>
          </a:extLst>
        </xdr:cNvPr>
        <xdr:cNvCxnSpPr/>
      </xdr:nvCxnSpPr>
      <xdr:spPr>
        <a:xfrm>
          <a:off x="4509060" y="2429295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103122</xdr:colOff>
      <xdr:row>9</xdr:row>
      <xdr:rowOff>164829</xdr:rowOff>
    </xdr:from>
    <xdr:to>
      <xdr:col>12</xdr:col>
      <xdr:colOff>277057</xdr:colOff>
      <xdr:row>9</xdr:row>
      <xdr:rowOff>164829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xmlns="" id="{00000000-0008-0000-3800-00004D000000}"/>
            </a:ext>
          </a:extLst>
        </xdr:cNvPr>
        <xdr:cNvCxnSpPr/>
      </xdr:nvCxnSpPr>
      <xdr:spPr>
        <a:xfrm>
          <a:off x="4894197" y="2431779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180907</xdr:colOff>
      <xdr:row>9</xdr:row>
      <xdr:rowOff>66675</xdr:rowOff>
    </xdr:from>
    <xdr:to>
      <xdr:col>13</xdr:col>
      <xdr:colOff>181458</xdr:colOff>
      <xdr:row>9</xdr:row>
      <xdr:rowOff>200439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xmlns="" id="{00000000-0008-0000-3800-00004E000000}"/>
            </a:ext>
          </a:extLst>
        </xdr:cNvPr>
        <xdr:cNvCxnSpPr/>
      </xdr:nvCxnSpPr>
      <xdr:spPr>
        <a:xfrm>
          <a:off x="5362507" y="2333625"/>
          <a:ext cx="551" cy="1337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9</xdr:row>
      <xdr:rowOff>28575</xdr:rowOff>
    </xdr:from>
    <xdr:to>
      <xdr:col>14</xdr:col>
      <xdr:colOff>238125</xdr:colOff>
      <xdr:row>9</xdr:row>
      <xdr:rowOff>133350</xdr:rowOff>
    </xdr:to>
    <xdr:cxnSp macro="">
      <xdr:nvCxnSpPr>
        <xdr:cNvPr id="79" name="AutoShape 12">
          <a:extLst>
            <a:ext uri="{FF2B5EF4-FFF2-40B4-BE49-F238E27FC236}">
              <a16:creationId xmlns:a16="http://schemas.microsoft.com/office/drawing/2014/main" xmlns="" id="{00000000-0008-0000-3800-00004F000000}"/>
            </a:ext>
          </a:extLst>
        </xdr:cNvPr>
        <xdr:cNvCxnSpPr>
          <a:cxnSpLocks noChangeShapeType="1"/>
        </xdr:cNvCxnSpPr>
      </xdr:nvCxnSpPr>
      <xdr:spPr bwMode="auto">
        <a:xfrm>
          <a:off x="5667375" y="2295525"/>
          <a:ext cx="142875" cy="1047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81588</xdr:colOff>
      <xdr:row>9</xdr:row>
      <xdr:rowOff>145789</xdr:rowOff>
    </xdr:from>
    <xdr:to>
      <xdr:col>14</xdr:col>
      <xdr:colOff>230675</xdr:colOff>
      <xdr:row>9</xdr:row>
      <xdr:rowOff>145789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xmlns="" id="{00000000-0008-0000-3800-000050000000}"/>
            </a:ext>
          </a:extLst>
        </xdr:cNvPr>
        <xdr:cNvCxnSpPr/>
      </xdr:nvCxnSpPr>
      <xdr:spPr>
        <a:xfrm>
          <a:off x="5653713" y="2412739"/>
          <a:ext cx="14908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96907</xdr:colOff>
      <xdr:row>9</xdr:row>
      <xdr:rowOff>85725</xdr:rowOff>
    </xdr:from>
    <xdr:to>
      <xdr:col>18</xdr:col>
      <xdr:colOff>312255</xdr:colOff>
      <xdr:row>9</xdr:row>
      <xdr:rowOff>185116</xdr:rowOff>
    </xdr:to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xmlns="" id="{00000000-0008-0000-3800-000051000000}"/>
            </a:ext>
          </a:extLst>
        </xdr:cNvPr>
        <xdr:cNvCxnSpPr/>
      </xdr:nvCxnSpPr>
      <xdr:spPr>
        <a:xfrm>
          <a:off x="7250182" y="2352675"/>
          <a:ext cx="215348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98149</xdr:colOff>
      <xdr:row>9</xdr:row>
      <xdr:rowOff>85725</xdr:rowOff>
    </xdr:from>
    <xdr:to>
      <xdr:col>18</xdr:col>
      <xdr:colOff>321779</xdr:colOff>
      <xdr:row>9</xdr:row>
      <xdr:rowOff>185116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xmlns="" id="{00000000-0008-0000-3800-000052000000}"/>
            </a:ext>
          </a:extLst>
        </xdr:cNvPr>
        <xdr:cNvCxnSpPr/>
      </xdr:nvCxnSpPr>
      <xdr:spPr>
        <a:xfrm flipH="1">
          <a:off x="7251424" y="2352675"/>
          <a:ext cx="223630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180975</xdr:colOff>
      <xdr:row>9</xdr:row>
      <xdr:rowOff>57150</xdr:rowOff>
    </xdr:from>
    <xdr:to>
      <xdr:col>20</xdr:col>
      <xdr:colOff>419100</xdr:colOff>
      <xdr:row>9</xdr:row>
      <xdr:rowOff>209550</xdr:rowOff>
    </xdr:to>
    <xdr:sp macro="" textlink="">
      <xdr:nvSpPr>
        <xdr:cNvPr id="83" name="Flowchart: Or 1108">
          <a:extLst>
            <a:ext uri="{FF2B5EF4-FFF2-40B4-BE49-F238E27FC236}">
              <a16:creationId xmlns:a16="http://schemas.microsoft.com/office/drawing/2014/main" xmlns="" id="{00000000-0008-0000-3800-000053000000}"/>
            </a:ext>
          </a:extLst>
        </xdr:cNvPr>
        <xdr:cNvSpPr>
          <a:spLocks noChangeArrowheads="1"/>
        </xdr:cNvSpPr>
      </xdr:nvSpPr>
      <xdr:spPr bwMode="auto">
        <a:xfrm>
          <a:off x="8010525" y="2324100"/>
          <a:ext cx="238125" cy="1524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323850</xdr:colOff>
      <xdr:row>9</xdr:row>
      <xdr:rowOff>85725</xdr:rowOff>
    </xdr:from>
    <xdr:to>
      <xdr:col>18</xdr:col>
      <xdr:colOff>323850</xdr:colOff>
      <xdr:row>9</xdr:row>
      <xdr:rowOff>190500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xmlns="" id="{00000000-0008-0000-3800-000054000000}"/>
            </a:ext>
          </a:extLst>
        </xdr:cNvPr>
        <xdr:cNvCxnSpPr/>
      </xdr:nvCxnSpPr>
      <xdr:spPr>
        <a:xfrm>
          <a:off x="7477125" y="2352675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104775</xdr:colOff>
      <xdr:row>9</xdr:row>
      <xdr:rowOff>76200</xdr:rowOff>
    </xdr:from>
    <xdr:to>
      <xdr:col>18</xdr:col>
      <xdr:colOff>104775</xdr:colOff>
      <xdr:row>9</xdr:row>
      <xdr:rowOff>180975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xmlns="" id="{00000000-0008-0000-3800-000055000000}"/>
            </a:ext>
          </a:extLst>
        </xdr:cNvPr>
        <xdr:cNvCxnSpPr/>
      </xdr:nvCxnSpPr>
      <xdr:spPr>
        <a:xfrm>
          <a:off x="7258050" y="2343150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9</xdr:row>
      <xdr:rowOff>200025</xdr:rowOff>
    </xdr:from>
    <xdr:to>
      <xdr:col>13</xdr:col>
      <xdr:colOff>314325</xdr:colOff>
      <xdr:row>9</xdr:row>
      <xdr:rowOff>200025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xmlns="" id="{00000000-0008-0000-3800-000056000000}"/>
            </a:ext>
          </a:extLst>
        </xdr:cNvPr>
        <xdr:cNvCxnSpPr/>
      </xdr:nvCxnSpPr>
      <xdr:spPr>
        <a:xfrm>
          <a:off x="5372100" y="2466975"/>
          <a:ext cx="123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136255</xdr:colOff>
      <xdr:row>9</xdr:row>
      <xdr:rowOff>163581</xdr:rowOff>
    </xdr:from>
    <xdr:to>
      <xdr:col>6</xdr:col>
      <xdr:colOff>253040</xdr:colOff>
      <xdr:row>9</xdr:row>
      <xdr:rowOff>163581</xdr:rowOff>
    </xdr:to>
    <xdr:cxnSp macro="">
      <xdr:nvCxnSpPr>
        <xdr:cNvPr id="87" name="Straight Connector 86">
          <a:extLst>
            <a:ext uri="{FF2B5EF4-FFF2-40B4-BE49-F238E27FC236}">
              <a16:creationId xmlns:a16="http://schemas.microsoft.com/office/drawing/2014/main" xmlns="" id="{00000000-0008-0000-3800-000057000000}"/>
            </a:ext>
          </a:extLst>
        </xdr:cNvPr>
        <xdr:cNvCxnSpPr/>
      </xdr:nvCxnSpPr>
      <xdr:spPr>
        <a:xfrm>
          <a:off x="2631805" y="2430531"/>
          <a:ext cx="1167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107679</xdr:colOff>
      <xdr:row>9</xdr:row>
      <xdr:rowOff>147021</xdr:rowOff>
    </xdr:from>
    <xdr:to>
      <xdr:col>8</xdr:col>
      <xdr:colOff>281614</xdr:colOff>
      <xdr:row>9</xdr:row>
      <xdr:rowOff>147021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xmlns="" id="{00000000-0008-0000-3800-000058000000}"/>
            </a:ext>
          </a:extLst>
        </xdr:cNvPr>
        <xdr:cNvCxnSpPr/>
      </xdr:nvCxnSpPr>
      <xdr:spPr>
        <a:xfrm>
          <a:off x="3365229" y="2413971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113067</xdr:colOff>
      <xdr:row>9</xdr:row>
      <xdr:rowOff>171870</xdr:rowOff>
    </xdr:from>
    <xdr:to>
      <xdr:col>10</xdr:col>
      <xdr:colOff>287002</xdr:colOff>
      <xdr:row>9</xdr:row>
      <xdr:rowOff>171870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xmlns="" id="{00000000-0008-0000-3800-000059000000}"/>
            </a:ext>
          </a:extLst>
        </xdr:cNvPr>
        <xdr:cNvCxnSpPr/>
      </xdr:nvCxnSpPr>
      <xdr:spPr>
        <a:xfrm>
          <a:off x="4132617" y="2438820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108510</xdr:colOff>
      <xdr:row>9</xdr:row>
      <xdr:rowOff>162345</xdr:rowOff>
    </xdr:from>
    <xdr:to>
      <xdr:col>11</xdr:col>
      <xdr:colOff>282445</xdr:colOff>
      <xdr:row>9</xdr:row>
      <xdr:rowOff>162345</xdr:rowOff>
    </xdr:to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xmlns="" id="{00000000-0008-0000-3800-00005A000000}"/>
            </a:ext>
          </a:extLst>
        </xdr:cNvPr>
        <xdr:cNvCxnSpPr/>
      </xdr:nvCxnSpPr>
      <xdr:spPr>
        <a:xfrm>
          <a:off x="4509060" y="2429295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103122</xdr:colOff>
      <xdr:row>9</xdr:row>
      <xdr:rowOff>164829</xdr:rowOff>
    </xdr:from>
    <xdr:to>
      <xdr:col>12</xdr:col>
      <xdr:colOff>277057</xdr:colOff>
      <xdr:row>9</xdr:row>
      <xdr:rowOff>164829</xdr:rowOff>
    </xdr:to>
    <xdr:cxnSp macro="">
      <xdr:nvCxnSpPr>
        <xdr:cNvPr id="91" name="Straight Connector 90">
          <a:extLst>
            <a:ext uri="{FF2B5EF4-FFF2-40B4-BE49-F238E27FC236}">
              <a16:creationId xmlns:a16="http://schemas.microsoft.com/office/drawing/2014/main" xmlns="" id="{00000000-0008-0000-3800-00005B000000}"/>
            </a:ext>
          </a:extLst>
        </xdr:cNvPr>
        <xdr:cNvCxnSpPr/>
      </xdr:nvCxnSpPr>
      <xdr:spPr>
        <a:xfrm>
          <a:off x="4894197" y="2431779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180907</xdr:colOff>
      <xdr:row>9</xdr:row>
      <xdr:rowOff>66675</xdr:rowOff>
    </xdr:from>
    <xdr:to>
      <xdr:col>13</xdr:col>
      <xdr:colOff>181458</xdr:colOff>
      <xdr:row>9</xdr:row>
      <xdr:rowOff>200439</xdr:rowOff>
    </xdr:to>
    <xdr:cxnSp macro="">
      <xdr:nvCxnSpPr>
        <xdr:cNvPr id="92" name="Straight Connector 91">
          <a:extLst>
            <a:ext uri="{FF2B5EF4-FFF2-40B4-BE49-F238E27FC236}">
              <a16:creationId xmlns:a16="http://schemas.microsoft.com/office/drawing/2014/main" xmlns="" id="{00000000-0008-0000-3800-00005C000000}"/>
            </a:ext>
          </a:extLst>
        </xdr:cNvPr>
        <xdr:cNvCxnSpPr/>
      </xdr:nvCxnSpPr>
      <xdr:spPr>
        <a:xfrm>
          <a:off x="5362507" y="2333625"/>
          <a:ext cx="551" cy="1337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9</xdr:row>
      <xdr:rowOff>28575</xdr:rowOff>
    </xdr:from>
    <xdr:to>
      <xdr:col>14</xdr:col>
      <xdr:colOff>238125</xdr:colOff>
      <xdr:row>9</xdr:row>
      <xdr:rowOff>133350</xdr:rowOff>
    </xdr:to>
    <xdr:cxnSp macro="">
      <xdr:nvCxnSpPr>
        <xdr:cNvPr id="93" name="AutoShape 12">
          <a:extLst>
            <a:ext uri="{FF2B5EF4-FFF2-40B4-BE49-F238E27FC236}">
              <a16:creationId xmlns:a16="http://schemas.microsoft.com/office/drawing/2014/main" xmlns="" id="{00000000-0008-0000-3800-00005D000000}"/>
            </a:ext>
          </a:extLst>
        </xdr:cNvPr>
        <xdr:cNvCxnSpPr>
          <a:cxnSpLocks noChangeShapeType="1"/>
        </xdr:cNvCxnSpPr>
      </xdr:nvCxnSpPr>
      <xdr:spPr bwMode="auto">
        <a:xfrm>
          <a:off x="5667375" y="2295525"/>
          <a:ext cx="142875" cy="1047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81588</xdr:colOff>
      <xdr:row>9</xdr:row>
      <xdr:rowOff>145789</xdr:rowOff>
    </xdr:from>
    <xdr:to>
      <xdr:col>14</xdr:col>
      <xdr:colOff>230675</xdr:colOff>
      <xdr:row>9</xdr:row>
      <xdr:rowOff>145789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xmlns="" id="{00000000-0008-0000-3800-00005E000000}"/>
            </a:ext>
          </a:extLst>
        </xdr:cNvPr>
        <xdr:cNvCxnSpPr/>
      </xdr:nvCxnSpPr>
      <xdr:spPr>
        <a:xfrm>
          <a:off x="5653713" y="2412739"/>
          <a:ext cx="14908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96907</xdr:colOff>
      <xdr:row>9</xdr:row>
      <xdr:rowOff>85725</xdr:rowOff>
    </xdr:from>
    <xdr:to>
      <xdr:col>18</xdr:col>
      <xdr:colOff>312255</xdr:colOff>
      <xdr:row>9</xdr:row>
      <xdr:rowOff>185116</xdr:rowOff>
    </xdr:to>
    <xdr:cxnSp macro="">
      <xdr:nvCxnSpPr>
        <xdr:cNvPr id="95" name="Straight Connector 94">
          <a:extLst>
            <a:ext uri="{FF2B5EF4-FFF2-40B4-BE49-F238E27FC236}">
              <a16:creationId xmlns:a16="http://schemas.microsoft.com/office/drawing/2014/main" xmlns="" id="{00000000-0008-0000-3800-00005F000000}"/>
            </a:ext>
          </a:extLst>
        </xdr:cNvPr>
        <xdr:cNvCxnSpPr/>
      </xdr:nvCxnSpPr>
      <xdr:spPr>
        <a:xfrm>
          <a:off x="7250182" y="2352675"/>
          <a:ext cx="215348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98149</xdr:colOff>
      <xdr:row>9</xdr:row>
      <xdr:rowOff>85725</xdr:rowOff>
    </xdr:from>
    <xdr:to>
      <xdr:col>18</xdr:col>
      <xdr:colOff>321779</xdr:colOff>
      <xdr:row>9</xdr:row>
      <xdr:rowOff>185116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xmlns="" id="{00000000-0008-0000-3800-000060000000}"/>
            </a:ext>
          </a:extLst>
        </xdr:cNvPr>
        <xdr:cNvCxnSpPr/>
      </xdr:nvCxnSpPr>
      <xdr:spPr>
        <a:xfrm flipH="1">
          <a:off x="7251424" y="2352675"/>
          <a:ext cx="223630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180975</xdr:colOff>
      <xdr:row>9</xdr:row>
      <xdr:rowOff>57150</xdr:rowOff>
    </xdr:from>
    <xdr:to>
      <xdr:col>20</xdr:col>
      <xdr:colOff>419100</xdr:colOff>
      <xdr:row>9</xdr:row>
      <xdr:rowOff>209550</xdr:rowOff>
    </xdr:to>
    <xdr:sp macro="" textlink="">
      <xdr:nvSpPr>
        <xdr:cNvPr id="97" name="Flowchart: Or 1108">
          <a:extLst>
            <a:ext uri="{FF2B5EF4-FFF2-40B4-BE49-F238E27FC236}">
              <a16:creationId xmlns:a16="http://schemas.microsoft.com/office/drawing/2014/main" xmlns="" id="{00000000-0008-0000-3800-000061000000}"/>
            </a:ext>
          </a:extLst>
        </xdr:cNvPr>
        <xdr:cNvSpPr>
          <a:spLocks noChangeArrowheads="1"/>
        </xdr:cNvSpPr>
      </xdr:nvSpPr>
      <xdr:spPr bwMode="auto">
        <a:xfrm>
          <a:off x="8010525" y="2324100"/>
          <a:ext cx="238125" cy="1524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323850</xdr:colOff>
      <xdr:row>9</xdr:row>
      <xdr:rowOff>85725</xdr:rowOff>
    </xdr:from>
    <xdr:to>
      <xdr:col>18</xdr:col>
      <xdr:colOff>323850</xdr:colOff>
      <xdr:row>9</xdr:row>
      <xdr:rowOff>190500</xdr:rowOff>
    </xdr:to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xmlns="" id="{00000000-0008-0000-3800-000062000000}"/>
            </a:ext>
          </a:extLst>
        </xdr:cNvPr>
        <xdr:cNvCxnSpPr/>
      </xdr:nvCxnSpPr>
      <xdr:spPr>
        <a:xfrm>
          <a:off x="7477125" y="2352675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104775</xdr:colOff>
      <xdr:row>9</xdr:row>
      <xdr:rowOff>76200</xdr:rowOff>
    </xdr:from>
    <xdr:to>
      <xdr:col>18</xdr:col>
      <xdr:colOff>104775</xdr:colOff>
      <xdr:row>9</xdr:row>
      <xdr:rowOff>180975</xdr:rowOff>
    </xdr:to>
    <xdr:cxnSp macro="">
      <xdr:nvCxnSpPr>
        <xdr:cNvPr id="99" name="Straight Connector 98">
          <a:extLst>
            <a:ext uri="{FF2B5EF4-FFF2-40B4-BE49-F238E27FC236}">
              <a16:creationId xmlns:a16="http://schemas.microsoft.com/office/drawing/2014/main" xmlns="" id="{00000000-0008-0000-3800-000063000000}"/>
            </a:ext>
          </a:extLst>
        </xdr:cNvPr>
        <xdr:cNvCxnSpPr/>
      </xdr:nvCxnSpPr>
      <xdr:spPr>
        <a:xfrm>
          <a:off x="7258050" y="2343150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9</xdr:row>
      <xdr:rowOff>200025</xdr:rowOff>
    </xdr:from>
    <xdr:to>
      <xdr:col>13</xdr:col>
      <xdr:colOff>314325</xdr:colOff>
      <xdr:row>9</xdr:row>
      <xdr:rowOff>200025</xdr:rowOff>
    </xdr:to>
    <xdr:cxnSp macro="">
      <xdr:nvCxnSpPr>
        <xdr:cNvPr id="100" name="Straight Connector 99">
          <a:extLst>
            <a:ext uri="{FF2B5EF4-FFF2-40B4-BE49-F238E27FC236}">
              <a16:creationId xmlns:a16="http://schemas.microsoft.com/office/drawing/2014/main" xmlns="" id="{00000000-0008-0000-3800-000064000000}"/>
            </a:ext>
          </a:extLst>
        </xdr:cNvPr>
        <xdr:cNvCxnSpPr/>
      </xdr:nvCxnSpPr>
      <xdr:spPr>
        <a:xfrm>
          <a:off x="5372100" y="2466975"/>
          <a:ext cx="123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136255</xdr:colOff>
      <xdr:row>9</xdr:row>
      <xdr:rowOff>163581</xdr:rowOff>
    </xdr:from>
    <xdr:to>
      <xdr:col>6</xdr:col>
      <xdr:colOff>253040</xdr:colOff>
      <xdr:row>9</xdr:row>
      <xdr:rowOff>163581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900-000002000000}"/>
            </a:ext>
          </a:extLst>
        </xdr:cNvPr>
        <xdr:cNvCxnSpPr/>
      </xdr:nvCxnSpPr>
      <xdr:spPr>
        <a:xfrm>
          <a:off x="2708005" y="2268606"/>
          <a:ext cx="1167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107679</xdr:colOff>
      <xdr:row>9</xdr:row>
      <xdr:rowOff>147021</xdr:rowOff>
    </xdr:from>
    <xdr:to>
      <xdr:col>8</xdr:col>
      <xdr:colOff>281614</xdr:colOff>
      <xdr:row>9</xdr:row>
      <xdr:rowOff>147021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3900-000003000000}"/>
            </a:ext>
          </a:extLst>
        </xdr:cNvPr>
        <xdr:cNvCxnSpPr/>
      </xdr:nvCxnSpPr>
      <xdr:spPr>
        <a:xfrm>
          <a:off x="3498579" y="2252046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113067</xdr:colOff>
      <xdr:row>9</xdr:row>
      <xdr:rowOff>171870</xdr:rowOff>
    </xdr:from>
    <xdr:to>
      <xdr:col>10</xdr:col>
      <xdr:colOff>287002</xdr:colOff>
      <xdr:row>9</xdr:row>
      <xdr:rowOff>171870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3900-000004000000}"/>
            </a:ext>
          </a:extLst>
        </xdr:cNvPr>
        <xdr:cNvCxnSpPr/>
      </xdr:nvCxnSpPr>
      <xdr:spPr>
        <a:xfrm>
          <a:off x="4323117" y="2276895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108510</xdr:colOff>
      <xdr:row>9</xdr:row>
      <xdr:rowOff>162345</xdr:rowOff>
    </xdr:from>
    <xdr:to>
      <xdr:col>11</xdr:col>
      <xdr:colOff>282445</xdr:colOff>
      <xdr:row>9</xdr:row>
      <xdr:rowOff>162345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3900-000005000000}"/>
            </a:ext>
          </a:extLst>
        </xdr:cNvPr>
        <xdr:cNvCxnSpPr/>
      </xdr:nvCxnSpPr>
      <xdr:spPr>
        <a:xfrm>
          <a:off x="4766235" y="2267370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103122</xdr:colOff>
      <xdr:row>9</xdr:row>
      <xdr:rowOff>164829</xdr:rowOff>
    </xdr:from>
    <xdr:to>
      <xdr:col>12</xdr:col>
      <xdr:colOff>277057</xdr:colOff>
      <xdr:row>9</xdr:row>
      <xdr:rowOff>164829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xmlns="" id="{00000000-0008-0000-3900-000006000000}"/>
            </a:ext>
          </a:extLst>
        </xdr:cNvPr>
        <xdr:cNvCxnSpPr/>
      </xdr:nvCxnSpPr>
      <xdr:spPr>
        <a:xfrm>
          <a:off x="5160897" y="2269854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180907</xdr:colOff>
      <xdr:row>9</xdr:row>
      <xdr:rowOff>66675</xdr:rowOff>
    </xdr:from>
    <xdr:to>
      <xdr:col>13</xdr:col>
      <xdr:colOff>181458</xdr:colOff>
      <xdr:row>9</xdr:row>
      <xdr:rowOff>200439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xmlns="" id="{00000000-0008-0000-3900-000007000000}"/>
            </a:ext>
          </a:extLst>
        </xdr:cNvPr>
        <xdr:cNvCxnSpPr/>
      </xdr:nvCxnSpPr>
      <xdr:spPr>
        <a:xfrm>
          <a:off x="5676832" y="2171700"/>
          <a:ext cx="551" cy="1337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9</xdr:row>
      <xdr:rowOff>28575</xdr:rowOff>
    </xdr:from>
    <xdr:to>
      <xdr:col>14</xdr:col>
      <xdr:colOff>238125</xdr:colOff>
      <xdr:row>9</xdr:row>
      <xdr:rowOff>133350</xdr:rowOff>
    </xdr:to>
    <xdr:cxnSp macro="">
      <xdr:nvCxnSpPr>
        <xdr:cNvPr id="8" name="AutoShape 12">
          <a:extLst>
            <a:ext uri="{FF2B5EF4-FFF2-40B4-BE49-F238E27FC236}">
              <a16:creationId xmlns:a16="http://schemas.microsoft.com/office/drawing/2014/main" xmlns="" id="{00000000-0008-0000-3900-000008000000}"/>
            </a:ext>
          </a:extLst>
        </xdr:cNvPr>
        <xdr:cNvCxnSpPr>
          <a:cxnSpLocks noChangeShapeType="1"/>
        </xdr:cNvCxnSpPr>
      </xdr:nvCxnSpPr>
      <xdr:spPr bwMode="auto">
        <a:xfrm>
          <a:off x="6181725" y="2133600"/>
          <a:ext cx="142875" cy="1047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81588</xdr:colOff>
      <xdr:row>9</xdr:row>
      <xdr:rowOff>145789</xdr:rowOff>
    </xdr:from>
    <xdr:to>
      <xdr:col>14</xdr:col>
      <xdr:colOff>230675</xdr:colOff>
      <xdr:row>9</xdr:row>
      <xdr:rowOff>145789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xmlns="" id="{00000000-0008-0000-3900-000009000000}"/>
            </a:ext>
          </a:extLst>
        </xdr:cNvPr>
        <xdr:cNvCxnSpPr/>
      </xdr:nvCxnSpPr>
      <xdr:spPr>
        <a:xfrm>
          <a:off x="6168063" y="2250814"/>
          <a:ext cx="14908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96907</xdr:colOff>
      <xdr:row>9</xdr:row>
      <xdr:rowOff>85725</xdr:rowOff>
    </xdr:from>
    <xdr:to>
      <xdr:col>18</xdr:col>
      <xdr:colOff>312255</xdr:colOff>
      <xdr:row>9</xdr:row>
      <xdr:rowOff>185116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xmlns="" id="{00000000-0008-0000-3900-00000A000000}"/>
            </a:ext>
          </a:extLst>
        </xdr:cNvPr>
        <xdr:cNvCxnSpPr/>
      </xdr:nvCxnSpPr>
      <xdr:spPr>
        <a:xfrm>
          <a:off x="8012182" y="2190750"/>
          <a:ext cx="215348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98149</xdr:colOff>
      <xdr:row>9</xdr:row>
      <xdr:rowOff>85725</xdr:rowOff>
    </xdr:from>
    <xdr:to>
      <xdr:col>18</xdr:col>
      <xdr:colOff>321779</xdr:colOff>
      <xdr:row>9</xdr:row>
      <xdr:rowOff>185116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xmlns="" id="{00000000-0008-0000-3900-00000B000000}"/>
            </a:ext>
          </a:extLst>
        </xdr:cNvPr>
        <xdr:cNvCxnSpPr/>
      </xdr:nvCxnSpPr>
      <xdr:spPr>
        <a:xfrm flipH="1">
          <a:off x="8013424" y="2190750"/>
          <a:ext cx="223630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180975</xdr:colOff>
      <xdr:row>9</xdr:row>
      <xdr:rowOff>57150</xdr:rowOff>
    </xdr:from>
    <xdr:to>
      <xdr:col>20</xdr:col>
      <xdr:colOff>419100</xdr:colOff>
      <xdr:row>9</xdr:row>
      <xdr:rowOff>209550</xdr:rowOff>
    </xdr:to>
    <xdr:sp macro="" textlink="">
      <xdr:nvSpPr>
        <xdr:cNvPr id="12" name="Flowchart: Or 1108">
          <a:extLst>
            <a:ext uri="{FF2B5EF4-FFF2-40B4-BE49-F238E27FC236}">
              <a16:creationId xmlns:a16="http://schemas.microsoft.com/office/drawing/2014/main" xmlns="" id="{00000000-0008-0000-3900-00000C000000}"/>
            </a:ext>
          </a:extLst>
        </xdr:cNvPr>
        <xdr:cNvSpPr>
          <a:spLocks noChangeArrowheads="1"/>
        </xdr:cNvSpPr>
      </xdr:nvSpPr>
      <xdr:spPr bwMode="auto">
        <a:xfrm>
          <a:off x="8896350" y="2162175"/>
          <a:ext cx="238125" cy="1524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323850</xdr:colOff>
      <xdr:row>9</xdr:row>
      <xdr:rowOff>85725</xdr:rowOff>
    </xdr:from>
    <xdr:to>
      <xdr:col>18</xdr:col>
      <xdr:colOff>323850</xdr:colOff>
      <xdr:row>9</xdr:row>
      <xdr:rowOff>190500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xmlns="" id="{00000000-0008-0000-3900-00000D000000}"/>
            </a:ext>
          </a:extLst>
        </xdr:cNvPr>
        <xdr:cNvCxnSpPr/>
      </xdr:nvCxnSpPr>
      <xdr:spPr>
        <a:xfrm>
          <a:off x="8239125" y="2190750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104775</xdr:colOff>
      <xdr:row>9</xdr:row>
      <xdr:rowOff>76200</xdr:rowOff>
    </xdr:from>
    <xdr:to>
      <xdr:col>18</xdr:col>
      <xdr:colOff>104775</xdr:colOff>
      <xdr:row>9</xdr:row>
      <xdr:rowOff>180975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xmlns="" id="{00000000-0008-0000-3900-00000E000000}"/>
            </a:ext>
          </a:extLst>
        </xdr:cNvPr>
        <xdr:cNvCxnSpPr/>
      </xdr:nvCxnSpPr>
      <xdr:spPr>
        <a:xfrm>
          <a:off x="8020050" y="2181225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9</xdr:row>
      <xdr:rowOff>200025</xdr:rowOff>
    </xdr:from>
    <xdr:to>
      <xdr:col>13</xdr:col>
      <xdr:colOff>314325</xdr:colOff>
      <xdr:row>9</xdr:row>
      <xdr:rowOff>200025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xmlns="" id="{00000000-0008-0000-3900-00000F000000}"/>
            </a:ext>
          </a:extLst>
        </xdr:cNvPr>
        <xdr:cNvCxnSpPr/>
      </xdr:nvCxnSpPr>
      <xdr:spPr>
        <a:xfrm>
          <a:off x="5686425" y="2305050"/>
          <a:ext cx="123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333375</xdr:colOff>
      <xdr:row>2</xdr:row>
      <xdr:rowOff>0</xdr:rowOff>
    </xdr:from>
    <xdr:to>
      <xdr:col>22</xdr:col>
      <xdr:colOff>485775</xdr:colOff>
      <xdr:row>2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xmlns="" id="{00000000-0008-0000-3900-000010000000}"/>
            </a:ext>
          </a:extLst>
        </xdr:cNvPr>
        <xdr:cNvCxnSpPr/>
      </xdr:nvCxnSpPr>
      <xdr:spPr>
        <a:xfrm>
          <a:off x="7258050" y="400050"/>
          <a:ext cx="35909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136255</xdr:colOff>
      <xdr:row>9</xdr:row>
      <xdr:rowOff>163581</xdr:rowOff>
    </xdr:from>
    <xdr:to>
      <xdr:col>6</xdr:col>
      <xdr:colOff>253040</xdr:colOff>
      <xdr:row>9</xdr:row>
      <xdr:rowOff>163581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A00-000002000000}"/>
            </a:ext>
          </a:extLst>
        </xdr:cNvPr>
        <xdr:cNvCxnSpPr/>
      </xdr:nvCxnSpPr>
      <xdr:spPr>
        <a:xfrm>
          <a:off x="2708005" y="2268606"/>
          <a:ext cx="1167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107679</xdr:colOff>
      <xdr:row>9</xdr:row>
      <xdr:rowOff>147021</xdr:rowOff>
    </xdr:from>
    <xdr:to>
      <xdr:col>8</xdr:col>
      <xdr:colOff>281614</xdr:colOff>
      <xdr:row>9</xdr:row>
      <xdr:rowOff>147021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3A00-000003000000}"/>
            </a:ext>
          </a:extLst>
        </xdr:cNvPr>
        <xdr:cNvCxnSpPr/>
      </xdr:nvCxnSpPr>
      <xdr:spPr>
        <a:xfrm>
          <a:off x="3498579" y="2252046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113067</xdr:colOff>
      <xdr:row>9</xdr:row>
      <xdr:rowOff>171870</xdr:rowOff>
    </xdr:from>
    <xdr:to>
      <xdr:col>10</xdr:col>
      <xdr:colOff>287002</xdr:colOff>
      <xdr:row>9</xdr:row>
      <xdr:rowOff>171870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3A00-000004000000}"/>
            </a:ext>
          </a:extLst>
        </xdr:cNvPr>
        <xdr:cNvCxnSpPr/>
      </xdr:nvCxnSpPr>
      <xdr:spPr>
        <a:xfrm>
          <a:off x="4323117" y="2276895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108510</xdr:colOff>
      <xdr:row>9</xdr:row>
      <xdr:rowOff>162345</xdr:rowOff>
    </xdr:from>
    <xdr:to>
      <xdr:col>11</xdr:col>
      <xdr:colOff>282445</xdr:colOff>
      <xdr:row>9</xdr:row>
      <xdr:rowOff>162345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3A00-000005000000}"/>
            </a:ext>
          </a:extLst>
        </xdr:cNvPr>
        <xdr:cNvCxnSpPr/>
      </xdr:nvCxnSpPr>
      <xdr:spPr>
        <a:xfrm>
          <a:off x="4766235" y="2267370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103122</xdr:colOff>
      <xdr:row>9</xdr:row>
      <xdr:rowOff>164829</xdr:rowOff>
    </xdr:from>
    <xdr:to>
      <xdr:col>12</xdr:col>
      <xdr:colOff>277057</xdr:colOff>
      <xdr:row>9</xdr:row>
      <xdr:rowOff>164829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xmlns="" id="{00000000-0008-0000-3A00-000006000000}"/>
            </a:ext>
          </a:extLst>
        </xdr:cNvPr>
        <xdr:cNvCxnSpPr/>
      </xdr:nvCxnSpPr>
      <xdr:spPr>
        <a:xfrm>
          <a:off x="5160897" y="2269854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180907</xdr:colOff>
      <xdr:row>9</xdr:row>
      <xdr:rowOff>66675</xdr:rowOff>
    </xdr:from>
    <xdr:to>
      <xdr:col>13</xdr:col>
      <xdr:colOff>181458</xdr:colOff>
      <xdr:row>9</xdr:row>
      <xdr:rowOff>200439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xmlns="" id="{00000000-0008-0000-3A00-000007000000}"/>
            </a:ext>
          </a:extLst>
        </xdr:cNvPr>
        <xdr:cNvCxnSpPr/>
      </xdr:nvCxnSpPr>
      <xdr:spPr>
        <a:xfrm>
          <a:off x="5676832" y="2171700"/>
          <a:ext cx="551" cy="1337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9</xdr:row>
      <xdr:rowOff>28575</xdr:rowOff>
    </xdr:from>
    <xdr:to>
      <xdr:col>14</xdr:col>
      <xdr:colOff>238125</xdr:colOff>
      <xdr:row>9</xdr:row>
      <xdr:rowOff>133350</xdr:rowOff>
    </xdr:to>
    <xdr:cxnSp macro="">
      <xdr:nvCxnSpPr>
        <xdr:cNvPr id="8" name="AutoShape 12">
          <a:extLst>
            <a:ext uri="{FF2B5EF4-FFF2-40B4-BE49-F238E27FC236}">
              <a16:creationId xmlns:a16="http://schemas.microsoft.com/office/drawing/2014/main" xmlns="" id="{00000000-0008-0000-3A00-000008000000}"/>
            </a:ext>
          </a:extLst>
        </xdr:cNvPr>
        <xdr:cNvCxnSpPr>
          <a:cxnSpLocks noChangeShapeType="1"/>
        </xdr:cNvCxnSpPr>
      </xdr:nvCxnSpPr>
      <xdr:spPr bwMode="auto">
        <a:xfrm>
          <a:off x="6181725" y="2133600"/>
          <a:ext cx="142875" cy="1047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81588</xdr:colOff>
      <xdr:row>9</xdr:row>
      <xdr:rowOff>145789</xdr:rowOff>
    </xdr:from>
    <xdr:to>
      <xdr:col>14</xdr:col>
      <xdr:colOff>230675</xdr:colOff>
      <xdr:row>9</xdr:row>
      <xdr:rowOff>145789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xmlns="" id="{00000000-0008-0000-3A00-000009000000}"/>
            </a:ext>
          </a:extLst>
        </xdr:cNvPr>
        <xdr:cNvCxnSpPr/>
      </xdr:nvCxnSpPr>
      <xdr:spPr>
        <a:xfrm>
          <a:off x="6168063" y="2250814"/>
          <a:ext cx="14908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96907</xdr:colOff>
      <xdr:row>9</xdr:row>
      <xdr:rowOff>85725</xdr:rowOff>
    </xdr:from>
    <xdr:to>
      <xdr:col>18</xdr:col>
      <xdr:colOff>312255</xdr:colOff>
      <xdr:row>9</xdr:row>
      <xdr:rowOff>185116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xmlns="" id="{00000000-0008-0000-3A00-00000A000000}"/>
            </a:ext>
          </a:extLst>
        </xdr:cNvPr>
        <xdr:cNvCxnSpPr/>
      </xdr:nvCxnSpPr>
      <xdr:spPr>
        <a:xfrm>
          <a:off x="8012182" y="2190750"/>
          <a:ext cx="215348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98149</xdr:colOff>
      <xdr:row>9</xdr:row>
      <xdr:rowOff>85725</xdr:rowOff>
    </xdr:from>
    <xdr:to>
      <xdr:col>18</xdr:col>
      <xdr:colOff>321779</xdr:colOff>
      <xdr:row>9</xdr:row>
      <xdr:rowOff>185116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xmlns="" id="{00000000-0008-0000-3A00-00000B000000}"/>
            </a:ext>
          </a:extLst>
        </xdr:cNvPr>
        <xdr:cNvCxnSpPr/>
      </xdr:nvCxnSpPr>
      <xdr:spPr>
        <a:xfrm flipH="1">
          <a:off x="8013424" y="2190750"/>
          <a:ext cx="223630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180975</xdr:colOff>
      <xdr:row>9</xdr:row>
      <xdr:rowOff>57150</xdr:rowOff>
    </xdr:from>
    <xdr:to>
      <xdr:col>20</xdr:col>
      <xdr:colOff>419100</xdr:colOff>
      <xdr:row>9</xdr:row>
      <xdr:rowOff>209550</xdr:rowOff>
    </xdr:to>
    <xdr:sp macro="" textlink="">
      <xdr:nvSpPr>
        <xdr:cNvPr id="12" name="Flowchart: Or 1108">
          <a:extLst>
            <a:ext uri="{FF2B5EF4-FFF2-40B4-BE49-F238E27FC236}">
              <a16:creationId xmlns:a16="http://schemas.microsoft.com/office/drawing/2014/main" xmlns="" id="{00000000-0008-0000-3A00-00000C000000}"/>
            </a:ext>
          </a:extLst>
        </xdr:cNvPr>
        <xdr:cNvSpPr>
          <a:spLocks noChangeArrowheads="1"/>
        </xdr:cNvSpPr>
      </xdr:nvSpPr>
      <xdr:spPr bwMode="auto">
        <a:xfrm>
          <a:off x="8896350" y="2162175"/>
          <a:ext cx="238125" cy="1524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323850</xdr:colOff>
      <xdr:row>9</xdr:row>
      <xdr:rowOff>85725</xdr:rowOff>
    </xdr:from>
    <xdr:to>
      <xdr:col>18</xdr:col>
      <xdr:colOff>323850</xdr:colOff>
      <xdr:row>9</xdr:row>
      <xdr:rowOff>190500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xmlns="" id="{00000000-0008-0000-3A00-00000D000000}"/>
            </a:ext>
          </a:extLst>
        </xdr:cNvPr>
        <xdr:cNvCxnSpPr/>
      </xdr:nvCxnSpPr>
      <xdr:spPr>
        <a:xfrm>
          <a:off x="8239125" y="2190750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104775</xdr:colOff>
      <xdr:row>9</xdr:row>
      <xdr:rowOff>76200</xdr:rowOff>
    </xdr:from>
    <xdr:to>
      <xdr:col>18</xdr:col>
      <xdr:colOff>104775</xdr:colOff>
      <xdr:row>9</xdr:row>
      <xdr:rowOff>180975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xmlns="" id="{00000000-0008-0000-3A00-00000E000000}"/>
            </a:ext>
          </a:extLst>
        </xdr:cNvPr>
        <xdr:cNvCxnSpPr/>
      </xdr:nvCxnSpPr>
      <xdr:spPr>
        <a:xfrm>
          <a:off x="8020050" y="2181225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9</xdr:row>
      <xdr:rowOff>200025</xdr:rowOff>
    </xdr:from>
    <xdr:to>
      <xdr:col>13</xdr:col>
      <xdr:colOff>314325</xdr:colOff>
      <xdr:row>9</xdr:row>
      <xdr:rowOff>200025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xmlns="" id="{00000000-0008-0000-3A00-00000F000000}"/>
            </a:ext>
          </a:extLst>
        </xdr:cNvPr>
        <xdr:cNvCxnSpPr/>
      </xdr:nvCxnSpPr>
      <xdr:spPr>
        <a:xfrm>
          <a:off x="5686425" y="2305050"/>
          <a:ext cx="123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295275</xdr:colOff>
      <xdr:row>1</xdr:row>
      <xdr:rowOff>190500</xdr:rowOff>
    </xdr:from>
    <xdr:to>
      <xdr:col>22</xdr:col>
      <xdr:colOff>447675</xdr:colOff>
      <xdr:row>1</xdr:row>
      <xdr:rowOff>190500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xmlns="" id="{00000000-0008-0000-3A00-000010000000}"/>
            </a:ext>
          </a:extLst>
        </xdr:cNvPr>
        <xdr:cNvCxnSpPr/>
      </xdr:nvCxnSpPr>
      <xdr:spPr>
        <a:xfrm>
          <a:off x="8153400" y="390525"/>
          <a:ext cx="35909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136255</xdr:colOff>
      <xdr:row>9</xdr:row>
      <xdr:rowOff>163581</xdr:rowOff>
    </xdr:from>
    <xdr:to>
      <xdr:col>6</xdr:col>
      <xdr:colOff>253040</xdr:colOff>
      <xdr:row>9</xdr:row>
      <xdr:rowOff>163581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xmlns="" id="{00000000-0008-0000-3A00-000011000000}"/>
            </a:ext>
          </a:extLst>
        </xdr:cNvPr>
        <xdr:cNvCxnSpPr/>
      </xdr:nvCxnSpPr>
      <xdr:spPr>
        <a:xfrm>
          <a:off x="3641455" y="2192406"/>
          <a:ext cx="1167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107679</xdr:colOff>
      <xdr:row>9</xdr:row>
      <xdr:rowOff>147021</xdr:rowOff>
    </xdr:from>
    <xdr:to>
      <xdr:col>8</xdr:col>
      <xdr:colOff>281614</xdr:colOff>
      <xdr:row>9</xdr:row>
      <xdr:rowOff>147021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xmlns="" id="{00000000-0008-0000-3A00-000012000000}"/>
            </a:ext>
          </a:extLst>
        </xdr:cNvPr>
        <xdr:cNvCxnSpPr/>
      </xdr:nvCxnSpPr>
      <xdr:spPr>
        <a:xfrm>
          <a:off x="4432029" y="2175846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113067</xdr:colOff>
      <xdr:row>9</xdr:row>
      <xdr:rowOff>171870</xdr:rowOff>
    </xdr:from>
    <xdr:to>
      <xdr:col>10</xdr:col>
      <xdr:colOff>287002</xdr:colOff>
      <xdr:row>9</xdr:row>
      <xdr:rowOff>171870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xmlns="" id="{00000000-0008-0000-3A00-000013000000}"/>
            </a:ext>
          </a:extLst>
        </xdr:cNvPr>
        <xdr:cNvCxnSpPr/>
      </xdr:nvCxnSpPr>
      <xdr:spPr>
        <a:xfrm>
          <a:off x="5256567" y="2200695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108510</xdr:colOff>
      <xdr:row>9</xdr:row>
      <xdr:rowOff>162345</xdr:rowOff>
    </xdr:from>
    <xdr:to>
      <xdr:col>11</xdr:col>
      <xdr:colOff>282445</xdr:colOff>
      <xdr:row>9</xdr:row>
      <xdr:rowOff>162345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xmlns="" id="{00000000-0008-0000-3A00-000014000000}"/>
            </a:ext>
          </a:extLst>
        </xdr:cNvPr>
        <xdr:cNvCxnSpPr/>
      </xdr:nvCxnSpPr>
      <xdr:spPr>
        <a:xfrm>
          <a:off x="5699685" y="2191170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103122</xdr:colOff>
      <xdr:row>9</xdr:row>
      <xdr:rowOff>164829</xdr:rowOff>
    </xdr:from>
    <xdr:to>
      <xdr:col>12</xdr:col>
      <xdr:colOff>277057</xdr:colOff>
      <xdr:row>9</xdr:row>
      <xdr:rowOff>164829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xmlns="" id="{00000000-0008-0000-3A00-000015000000}"/>
            </a:ext>
          </a:extLst>
        </xdr:cNvPr>
        <xdr:cNvCxnSpPr/>
      </xdr:nvCxnSpPr>
      <xdr:spPr>
        <a:xfrm>
          <a:off x="6094347" y="2193654"/>
          <a:ext cx="173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180907</xdr:colOff>
      <xdr:row>9</xdr:row>
      <xdr:rowOff>66675</xdr:rowOff>
    </xdr:from>
    <xdr:to>
      <xdr:col>13</xdr:col>
      <xdr:colOff>181458</xdr:colOff>
      <xdr:row>9</xdr:row>
      <xdr:rowOff>200439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xmlns="" id="{00000000-0008-0000-3A00-000016000000}"/>
            </a:ext>
          </a:extLst>
        </xdr:cNvPr>
        <xdr:cNvCxnSpPr/>
      </xdr:nvCxnSpPr>
      <xdr:spPr>
        <a:xfrm>
          <a:off x="6610282" y="2095500"/>
          <a:ext cx="551" cy="1337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9</xdr:row>
      <xdr:rowOff>28575</xdr:rowOff>
    </xdr:from>
    <xdr:to>
      <xdr:col>14</xdr:col>
      <xdr:colOff>238125</xdr:colOff>
      <xdr:row>9</xdr:row>
      <xdr:rowOff>133350</xdr:rowOff>
    </xdr:to>
    <xdr:cxnSp macro="">
      <xdr:nvCxnSpPr>
        <xdr:cNvPr id="23" name="AutoShape 12">
          <a:extLst>
            <a:ext uri="{FF2B5EF4-FFF2-40B4-BE49-F238E27FC236}">
              <a16:creationId xmlns:a16="http://schemas.microsoft.com/office/drawing/2014/main" xmlns="" id="{00000000-0008-0000-3A00-000017000000}"/>
            </a:ext>
          </a:extLst>
        </xdr:cNvPr>
        <xdr:cNvCxnSpPr>
          <a:cxnSpLocks noChangeShapeType="1"/>
        </xdr:cNvCxnSpPr>
      </xdr:nvCxnSpPr>
      <xdr:spPr bwMode="auto">
        <a:xfrm>
          <a:off x="7115175" y="2057400"/>
          <a:ext cx="142875" cy="1047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81588</xdr:colOff>
      <xdr:row>9</xdr:row>
      <xdr:rowOff>145789</xdr:rowOff>
    </xdr:from>
    <xdr:to>
      <xdr:col>14</xdr:col>
      <xdr:colOff>230675</xdr:colOff>
      <xdr:row>9</xdr:row>
      <xdr:rowOff>145789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xmlns="" id="{00000000-0008-0000-3A00-000018000000}"/>
            </a:ext>
          </a:extLst>
        </xdr:cNvPr>
        <xdr:cNvCxnSpPr/>
      </xdr:nvCxnSpPr>
      <xdr:spPr>
        <a:xfrm>
          <a:off x="7101513" y="2174614"/>
          <a:ext cx="14908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96907</xdr:colOff>
      <xdr:row>9</xdr:row>
      <xdr:rowOff>85725</xdr:rowOff>
    </xdr:from>
    <xdr:to>
      <xdr:col>18</xdr:col>
      <xdr:colOff>312255</xdr:colOff>
      <xdr:row>9</xdr:row>
      <xdr:rowOff>185116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xmlns="" id="{00000000-0008-0000-3A00-000019000000}"/>
            </a:ext>
          </a:extLst>
        </xdr:cNvPr>
        <xdr:cNvCxnSpPr/>
      </xdr:nvCxnSpPr>
      <xdr:spPr>
        <a:xfrm>
          <a:off x="8945632" y="2114550"/>
          <a:ext cx="215348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98149</xdr:colOff>
      <xdr:row>9</xdr:row>
      <xdr:rowOff>85725</xdr:rowOff>
    </xdr:from>
    <xdr:to>
      <xdr:col>18</xdr:col>
      <xdr:colOff>321779</xdr:colOff>
      <xdr:row>9</xdr:row>
      <xdr:rowOff>185116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xmlns="" id="{00000000-0008-0000-3A00-00001A000000}"/>
            </a:ext>
          </a:extLst>
        </xdr:cNvPr>
        <xdr:cNvCxnSpPr/>
      </xdr:nvCxnSpPr>
      <xdr:spPr>
        <a:xfrm flipH="1">
          <a:off x="8946874" y="2114550"/>
          <a:ext cx="223630" cy="993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180975</xdr:colOff>
      <xdr:row>9</xdr:row>
      <xdr:rowOff>57150</xdr:rowOff>
    </xdr:from>
    <xdr:to>
      <xdr:col>20</xdr:col>
      <xdr:colOff>419100</xdr:colOff>
      <xdr:row>9</xdr:row>
      <xdr:rowOff>209550</xdr:rowOff>
    </xdr:to>
    <xdr:sp macro="" textlink="">
      <xdr:nvSpPr>
        <xdr:cNvPr id="27" name="Flowchart: Or 1108">
          <a:extLst>
            <a:ext uri="{FF2B5EF4-FFF2-40B4-BE49-F238E27FC236}">
              <a16:creationId xmlns:a16="http://schemas.microsoft.com/office/drawing/2014/main" xmlns="" id="{00000000-0008-0000-3A00-00001B000000}"/>
            </a:ext>
          </a:extLst>
        </xdr:cNvPr>
        <xdr:cNvSpPr>
          <a:spLocks noChangeArrowheads="1"/>
        </xdr:cNvSpPr>
      </xdr:nvSpPr>
      <xdr:spPr bwMode="auto">
        <a:xfrm>
          <a:off x="9829800" y="2085975"/>
          <a:ext cx="238125" cy="152400"/>
        </a:xfrm>
        <a:prstGeom prst="flowChar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323850</xdr:colOff>
      <xdr:row>9</xdr:row>
      <xdr:rowOff>85725</xdr:rowOff>
    </xdr:from>
    <xdr:to>
      <xdr:col>18</xdr:col>
      <xdr:colOff>323850</xdr:colOff>
      <xdr:row>9</xdr:row>
      <xdr:rowOff>190500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xmlns="" id="{00000000-0008-0000-3A00-00001C000000}"/>
            </a:ext>
          </a:extLst>
        </xdr:cNvPr>
        <xdr:cNvCxnSpPr/>
      </xdr:nvCxnSpPr>
      <xdr:spPr>
        <a:xfrm>
          <a:off x="9172575" y="2114550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104775</xdr:colOff>
      <xdr:row>9</xdr:row>
      <xdr:rowOff>76200</xdr:rowOff>
    </xdr:from>
    <xdr:to>
      <xdr:col>18</xdr:col>
      <xdr:colOff>104775</xdr:colOff>
      <xdr:row>9</xdr:row>
      <xdr:rowOff>180975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xmlns="" id="{00000000-0008-0000-3A00-00001D000000}"/>
            </a:ext>
          </a:extLst>
        </xdr:cNvPr>
        <xdr:cNvCxnSpPr/>
      </xdr:nvCxnSpPr>
      <xdr:spPr>
        <a:xfrm>
          <a:off x="8953500" y="2105025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9</xdr:row>
      <xdr:rowOff>200025</xdr:rowOff>
    </xdr:from>
    <xdr:to>
      <xdr:col>13</xdr:col>
      <xdr:colOff>314325</xdr:colOff>
      <xdr:row>9</xdr:row>
      <xdr:rowOff>200025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xmlns="" id="{00000000-0008-0000-3A00-00001E000000}"/>
            </a:ext>
          </a:extLst>
        </xdr:cNvPr>
        <xdr:cNvCxnSpPr/>
      </xdr:nvCxnSpPr>
      <xdr:spPr>
        <a:xfrm>
          <a:off x="6619875" y="2228850"/>
          <a:ext cx="123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</xdr:colOff>
      <xdr:row>5</xdr:row>
      <xdr:rowOff>0</xdr:rowOff>
    </xdr:from>
    <xdr:to>
      <xdr:col>3</xdr:col>
      <xdr:colOff>571500</xdr:colOff>
      <xdr:row>5</xdr:row>
      <xdr:rowOff>19050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3E00-000005000000}"/>
            </a:ext>
          </a:extLst>
        </xdr:cNvPr>
        <xdr:cNvCxnSpPr/>
      </xdr:nvCxnSpPr>
      <xdr:spPr>
        <a:xfrm flipV="1">
          <a:off x="533400" y="1057275"/>
          <a:ext cx="1543050" cy="19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</xdr:colOff>
      <xdr:row>2</xdr:row>
      <xdr:rowOff>19050</xdr:rowOff>
    </xdr:from>
    <xdr:to>
      <xdr:col>5</xdr:col>
      <xdr:colOff>1095375</xdr:colOff>
      <xdr:row>2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xmlns="" id="{00000000-0008-0000-3E00-000006000000}"/>
            </a:ext>
          </a:extLst>
        </xdr:cNvPr>
        <xdr:cNvCxnSpPr/>
      </xdr:nvCxnSpPr>
      <xdr:spPr>
        <a:xfrm>
          <a:off x="1543050" y="438150"/>
          <a:ext cx="37147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</xdr:row>
      <xdr:rowOff>0</xdr:rowOff>
    </xdr:from>
    <xdr:to>
      <xdr:col>2</xdr:col>
      <xdr:colOff>533400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F00-000002000000}"/>
            </a:ext>
          </a:extLst>
        </xdr:cNvPr>
        <xdr:cNvCxnSpPr/>
      </xdr:nvCxnSpPr>
      <xdr:spPr>
        <a:xfrm>
          <a:off x="1847850" y="1047750"/>
          <a:ext cx="14097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619125</xdr:colOff>
      <xdr:row>2</xdr:row>
      <xdr:rowOff>19050</xdr:rowOff>
    </xdr:from>
    <xdr:to>
      <xdr:col>9</xdr:col>
      <xdr:colOff>85725</xdr:colOff>
      <xdr:row>2</xdr:row>
      <xdr:rowOff>38100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3F00-000003000000}"/>
            </a:ext>
          </a:extLst>
        </xdr:cNvPr>
        <xdr:cNvCxnSpPr/>
      </xdr:nvCxnSpPr>
      <xdr:spPr>
        <a:xfrm>
          <a:off x="3362325" y="438150"/>
          <a:ext cx="2895600" cy="1905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87E9DAA\Phi&#7871;u%20X-N%20T%20n&#259;m%20201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H&#194;N/th&#225;ng%2007%20m&#7899;i/L&#431;&#416;NG%20T&#7892;%203%20(t&#7841;m%20t&#237;nh)%2074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NH&#194;N%202024/Th&#225;ng%2008/SL%20T&#7892;/SL%20m&#7911;%20T&#7893;%203%20T8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is%20PC/Desktop/Users/Admin/AppData/Local/Temp/WPDNSE/%7b886BB286-0000-0000-0000-000000000000%7d/THIEN%20NT3/Nhan%20Su/Danh%20s&#225;ch%20c&#244;ng%20nh&#226;n%20khai%20th&#225;c%202019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is%20PC/Desktop/Users/PDComputer/Desktop/L&#432;&#417;ng%20NT3%20.T12.23%20S&#7919;a%20m&#7851;u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T&#226;m%202024/A%20Nh&#226;n%20KTra/KH-BC%20T11/L&#432;&#417;ng%20th&#225;ng%2010%20Sepon%20ch&#7889;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A2D23E2\mau%20bao%20cao%20sn%20luong%20cham%20cong%20hang%20ngay%20cac%20doi%20binh%20thuong%20(3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T&#226;m%202024/A%20Nh&#226;n%20KTra/L&#432;&#417;ng%20th&#225;ng%2009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NH&#194;N%202024/Th&#225;ng%2008/SL%20T&#7892;/SL%20mu&#777;%20To&#770;&#777;%201%2027-8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NH&#194;N%202024/Th&#225;ng%2008/SL%20T&#7892;/SL%20mu&#777;%20To&#770;&#777;%202%2027-08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SL%20mu&#777;%20To&#770;&#777;%202%2030-08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SL%20mu&#777;%20To&#770;&#777;%201%20%2030-8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T&#226;m%202024/K&#7871;%20ho&#7841;ch%20-%20B&#225;o%20c&#225;o/KH-BC%20T1-2025/KHSX%20T1-2025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luong%202023/L&#432;&#417;ng%202023/l&#432;&#417;ng%20T10%2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NH&#194;N%202024/th&#225;ng%2007%20m&#7899;i/l&#432;&#417;ng%20t&#7841;m%20&#7913;ng%20t&#7893;%203%207422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ocuments/Zalo%20Received%20Files/LUONG%20GIA%20THUOC%20SEPON%20T1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AppData/Local/Temp/WPDNSE/%7b886BB286-0000-0000-0000-000000000000%7d/Users/Admin/Desktop/Ch&#7845;m%20c&#244;ng%20t&#7921;%20&#273;&#7897;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0727054\THANG%207.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0872FF8\l&#432;&#417;ng%208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T&#226;m%202024/2025/KH%20TH&#7892;I%20L&#193;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HATSINH"/>
      <sheetName val="THONG TIN"/>
      <sheetName val="MA HANG"/>
      <sheetName val="XNT"/>
      <sheetName val="THE HANG"/>
      <sheetName val="Phieu nhap kho Viet"/>
      <sheetName val="PHIEU XUAT KHO"/>
      <sheetName val="Phieu nhap kho Lao 2"/>
      <sheetName val="Chart1"/>
      <sheetName val="Sheet1"/>
      <sheetName val="NT1"/>
      <sheetName val="Phieu nhap kho Lao"/>
    </sheetNames>
    <sheetDataSet>
      <sheetData sheetId="0" refreshError="1">
        <row r="6">
          <cell r="B6" t="str">
            <v>PX.0001NN</v>
          </cell>
        </row>
        <row r="7">
          <cell r="B7" t="str">
            <v>PN.0001</v>
          </cell>
        </row>
        <row r="8">
          <cell r="B8" t="str">
            <v>PN.0001</v>
          </cell>
        </row>
        <row r="9">
          <cell r="B9" t="str">
            <v>PN.0002</v>
          </cell>
        </row>
        <row r="10">
          <cell r="B10" t="str">
            <v>PN.0002</v>
          </cell>
        </row>
        <row r="11">
          <cell r="B11" t="str">
            <v>PN.0003</v>
          </cell>
        </row>
        <row r="12">
          <cell r="B12" t="str">
            <v>PN.0004</v>
          </cell>
        </row>
        <row r="13">
          <cell r="B13" t="str">
            <v>PN.0005</v>
          </cell>
        </row>
        <row r="14">
          <cell r="B14" t="str">
            <v>PN.0006</v>
          </cell>
        </row>
        <row r="15">
          <cell r="B15" t="str">
            <v>PN.0006</v>
          </cell>
        </row>
        <row r="16">
          <cell r="B16" t="str">
            <v>PN.0006</v>
          </cell>
        </row>
        <row r="17">
          <cell r="B17" t="str">
            <v>PN.0007</v>
          </cell>
        </row>
        <row r="18">
          <cell r="B18" t="str">
            <v>PN.0007</v>
          </cell>
        </row>
        <row r="19">
          <cell r="B19" t="str">
            <v>PX.0001XM</v>
          </cell>
        </row>
        <row r="20">
          <cell r="B20" t="str">
            <v>PX.0001XM</v>
          </cell>
        </row>
        <row r="21">
          <cell r="B21" t="str">
            <v>PX.0002XM</v>
          </cell>
        </row>
        <row r="22">
          <cell r="B22" t="str">
            <v>PX.0002XM</v>
          </cell>
        </row>
        <row r="23">
          <cell r="B23" t="str">
            <v>PX.0003XM</v>
          </cell>
        </row>
        <row r="24">
          <cell r="B24" t="str">
            <v>PX.0003XM</v>
          </cell>
        </row>
        <row r="25">
          <cell r="B25" t="str">
            <v>PN.0008</v>
          </cell>
        </row>
        <row r="26">
          <cell r="B26" t="str">
            <v>PX.0001NL</v>
          </cell>
        </row>
        <row r="27">
          <cell r="B27" t="str">
            <v>PX.0003NL</v>
          </cell>
        </row>
        <row r="28">
          <cell r="B28" t="str">
            <v>PX.0002NL</v>
          </cell>
        </row>
        <row r="29">
          <cell r="B29" t="str">
            <v>PN.0009</v>
          </cell>
        </row>
        <row r="30">
          <cell r="B30" t="str">
            <v>PN.0010</v>
          </cell>
        </row>
        <row r="31">
          <cell r="B31" t="str">
            <v>PX.0004NL</v>
          </cell>
        </row>
        <row r="32">
          <cell r="B32" t="str">
            <v>PX.0004NL</v>
          </cell>
        </row>
        <row r="33">
          <cell r="B33" t="str">
            <v>PX.0004NL</v>
          </cell>
        </row>
        <row r="34">
          <cell r="B34" t="str">
            <v>PX.0005NL</v>
          </cell>
        </row>
        <row r="35">
          <cell r="B35" t="str">
            <v>PX.0005NL</v>
          </cell>
        </row>
        <row r="36">
          <cell r="B36" t="str">
            <v>PX.0006NL</v>
          </cell>
        </row>
        <row r="37">
          <cell r="B37" t="str">
            <v>PX.0006NL</v>
          </cell>
        </row>
        <row r="38">
          <cell r="B38" t="str">
            <v>PX.0006NL</v>
          </cell>
        </row>
        <row r="39">
          <cell r="B39" t="str">
            <v>PX.0007NL</v>
          </cell>
        </row>
        <row r="40">
          <cell r="B40" t="str">
            <v>PX.0007NL</v>
          </cell>
        </row>
        <row r="41">
          <cell r="B41" t="str">
            <v>PX.0007NL</v>
          </cell>
        </row>
        <row r="42">
          <cell r="B42" t="str">
            <v>PX.0008NL</v>
          </cell>
        </row>
        <row r="43">
          <cell r="B43" t="str">
            <v>PX.0008NL</v>
          </cell>
        </row>
        <row r="44">
          <cell r="B44" t="str">
            <v>PX.0009NL</v>
          </cell>
        </row>
        <row r="45">
          <cell r="B45" t="str">
            <v>PX.0009NL</v>
          </cell>
        </row>
        <row r="46">
          <cell r="B46" t="str">
            <v>PX.0009NL</v>
          </cell>
        </row>
        <row r="47">
          <cell r="B47" t="str">
            <v>PX.0001PB</v>
          </cell>
        </row>
        <row r="48">
          <cell r="B48" t="str">
            <v>PX.0001PB</v>
          </cell>
        </row>
        <row r="49">
          <cell r="B49" t="str">
            <v>PX.0001PB</v>
          </cell>
        </row>
        <row r="50">
          <cell r="B50" t="str">
            <v>PX.0001PB</v>
          </cell>
        </row>
        <row r="51">
          <cell r="B51" t="str">
            <v>PX.0001PB</v>
          </cell>
        </row>
        <row r="52">
          <cell r="B52" t="str">
            <v>PX.0002NN</v>
          </cell>
        </row>
        <row r="53">
          <cell r="B53" t="str">
            <v>PX.0002PB</v>
          </cell>
        </row>
        <row r="54">
          <cell r="B54" t="str">
            <v>PX.0002PB</v>
          </cell>
        </row>
        <row r="55">
          <cell r="B55" t="str">
            <v>PX.0002PB</v>
          </cell>
        </row>
        <row r="56">
          <cell r="B56" t="str">
            <v>PN.10A</v>
          </cell>
        </row>
        <row r="57">
          <cell r="B57" t="str">
            <v>PN.0011</v>
          </cell>
        </row>
        <row r="58">
          <cell r="B58" t="str">
            <v>PN.0011</v>
          </cell>
        </row>
        <row r="59">
          <cell r="B59" t="str">
            <v>PN.0011</v>
          </cell>
        </row>
        <row r="60">
          <cell r="B60" t="str">
            <v>PN.0012</v>
          </cell>
        </row>
        <row r="61">
          <cell r="B61" t="str">
            <v>PN.0012</v>
          </cell>
        </row>
        <row r="62">
          <cell r="B62" t="str">
            <v>PN.0012</v>
          </cell>
        </row>
        <row r="63">
          <cell r="B63" t="str">
            <v>PN.0013</v>
          </cell>
        </row>
        <row r="64">
          <cell r="B64" t="str">
            <v>PN.0014</v>
          </cell>
        </row>
        <row r="65">
          <cell r="B65" t="str">
            <v>PN.0014</v>
          </cell>
        </row>
        <row r="66">
          <cell r="B66" t="str">
            <v>PN.0015</v>
          </cell>
        </row>
        <row r="67">
          <cell r="B67" t="str">
            <v>PN.0016</v>
          </cell>
        </row>
        <row r="68">
          <cell r="B68" t="str">
            <v>PN.0017</v>
          </cell>
        </row>
        <row r="69">
          <cell r="B69" t="str">
            <v>PX.0010NL</v>
          </cell>
        </row>
        <row r="70">
          <cell r="B70" t="str">
            <v>PX.0010NL</v>
          </cell>
        </row>
        <row r="71">
          <cell r="B71" t="str">
            <v>PX.0010NL</v>
          </cell>
        </row>
        <row r="72">
          <cell r="B72" t="str">
            <v>PX.0011NL</v>
          </cell>
        </row>
        <row r="73">
          <cell r="B73" t="str">
            <v>PX.0012NL</v>
          </cell>
        </row>
        <row r="74">
          <cell r="B74" t="str">
            <v>PX.0012NL</v>
          </cell>
        </row>
        <row r="75">
          <cell r="B75" t="str">
            <v>PX.0012NL</v>
          </cell>
        </row>
        <row r="76">
          <cell r="B76" t="str">
            <v>PX.0013NL</v>
          </cell>
        </row>
        <row r="77">
          <cell r="B77" t="str">
            <v>PX.0013NL</v>
          </cell>
        </row>
        <row r="78">
          <cell r="B78" t="str">
            <v>PX.0013NL</v>
          </cell>
        </row>
        <row r="79">
          <cell r="B79" t="str">
            <v>PX.0014NL</v>
          </cell>
        </row>
        <row r="80">
          <cell r="B80" t="str">
            <v>PX.0014NL</v>
          </cell>
        </row>
        <row r="81">
          <cell r="B81" t="str">
            <v>PX.0015NL</v>
          </cell>
        </row>
        <row r="82">
          <cell r="B82" t="str">
            <v>PX.0016NL</v>
          </cell>
        </row>
        <row r="83">
          <cell r="B83" t="str">
            <v>PX.0017NL</v>
          </cell>
        </row>
        <row r="84">
          <cell r="B84" t="str">
            <v>PX.0018NL</v>
          </cell>
        </row>
        <row r="85">
          <cell r="B85" t="str">
            <v>PX.0018NL</v>
          </cell>
        </row>
        <row r="86">
          <cell r="B86" t="str">
            <v>PX.0018NL</v>
          </cell>
        </row>
        <row r="87">
          <cell r="B87" t="str">
            <v>PX.0003PB</v>
          </cell>
        </row>
        <row r="88">
          <cell r="B88" t="str">
            <v>PX.0003PB</v>
          </cell>
        </row>
        <row r="89">
          <cell r="B89" t="str">
            <v>PX.0004PB</v>
          </cell>
        </row>
        <row r="90">
          <cell r="B90" t="str">
            <v>PX.0004PB</v>
          </cell>
        </row>
        <row r="91">
          <cell r="B91" t="str">
            <v>PN.0018</v>
          </cell>
        </row>
        <row r="92">
          <cell r="B92" t="str">
            <v>PN.0019</v>
          </cell>
        </row>
        <row r="93">
          <cell r="B93" t="str">
            <v>PN.0019</v>
          </cell>
        </row>
        <row r="94">
          <cell r="B94" t="str">
            <v>PN.0020</v>
          </cell>
        </row>
        <row r="95">
          <cell r="B95" t="str">
            <v>PN.0020</v>
          </cell>
        </row>
        <row r="96">
          <cell r="B96" t="str">
            <v>PN.0021</v>
          </cell>
        </row>
        <row r="97">
          <cell r="B97" t="str">
            <v>PN.0021</v>
          </cell>
        </row>
        <row r="98">
          <cell r="B98" t="str">
            <v>PN.0021</v>
          </cell>
        </row>
        <row r="99">
          <cell r="B99" t="str">
            <v>PN.0022</v>
          </cell>
        </row>
        <row r="100">
          <cell r="B100" t="str">
            <v>PN.0022</v>
          </cell>
        </row>
        <row r="101">
          <cell r="B101" t="str">
            <v>PN.0022</v>
          </cell>
        </row>
        <row r="102">
          <cell r="B102" t="str">
            <v>PN.0023</v>
          </cell>
        </row>
        <row r="103">
          <cell r="B103" t="str">
            <v>PN.0023</v>
          </cell>
        </row>
        <row r="104">
          <cell r="B104" t="str">
            <v>PN.0023</v>
          </cell>
        </row>
        <row r="105">
          <cell r="B105" t="str">
            <v>PN.0024</v>
          </cell>
        </row>
        <row r="106">
          <cell r="B106" t="str">
            <v>PN.0025</v>
          </cell>
        </row>
        <row r="107">
          <cell r="B107" t="str">
            <v>PN.0026</v>
          </cell>
        </row>
        <row r="108">
          <cell r="B108" t="str">
            <v>PN.0027</v>
          </cell>
        </row>
        <row r="109">
          <cell r="B109" t="str">
            <v>PX.0001VP</v>
          </cell>
        </row>
        <row r="110">
          <cell r="B110" t="str">
            <v>PX.0003NN</v>
          </cell>
        </row>
        <row r="111">
          <cell r="B111" t="str">
            <v>PX.0004XM</v>
          </cell>
        </row>
        <row r="112">
          <cell r="B112" t="str">
            <v>PX.0004XM</v>
          </cell>
        </row>
        <row r="113">
          <cell r="B113" t="str">
            <v>PX.0005XM</v>
          </cell>
        </row>
        <row r="114">
          <cell r="B114" t="str">
            <v>PX.0019NL</v>
          </cell>
        </row>
        <row r="115">
          <cell r="B115" t="str">
            <v>PX.0019NL</v>
          </cell>
        </row>
        <row r="116">
          <cell r="B116" t="str">
            <v>PX.0019NL</v>
          </cell>
        </row>
        <row r="117">
          <cell r="B117" t="str">
            <v>PX.0020NL</v>
          </cell>
        </row>
        <row r="118">
          <cell r="B118" t="str">
            <v>PX.0021NL</v>
          </cell>
        </row>
        <row r="119">
          <cell r="B119" t="str">
            <v>PX.0022NL</v>
          </cell>
        </row>
        <row r="120">
          <cell r="B120" t="str">
            <v>PX.0023NL</v>
          </cell>
        </row>
        <row r="121">
          <cell r="B121" t="str">
            <v>PX.0006XM</v>
          </cell>
        </row>
        <row r="122">
          <cell r="B122" t="str">
            <v>PX.0006XM</v>
          </cell>
        </row>
        <row r="123">
          <cell r="B123" t="str">
            <v>PX.0006XM</v>
          </cell>
        </row>
        <row r="124">
          <cell r="B124" t="str">
            <v>PX.0006XM</v>
          </cell>
        </row>
        <row r="125">
          <cell r="B125" t="str">
            <v>PX.0006XM</v>
          </cell>
        </row>
        <row r="126">
          <cell r="B126" t="str">
            <v>PX.0006XM</v>
          </cell>
        </row>
        <row r="127">
          <cell r="B127" t="str">
            <v>PX.0006XM</v>
          </cell>
        </row>
        <row r="128">
          <cell r="B128" t="str">
            <v>PX.0006XM</v>
          </cell>
        </row>
        <row r="129">
          <cell r="B129" t="str">
            <v>PX.0006XM</v>
          </cell>
        </row>
        <row r="130">
          <cell r="B130" t="str">
            <v>PX.0006XM</v>
          </cell>
        </row>
        <row r="131">
          <cell r="B131" t="str">
            <v>PX.0004NN</v>
          </cell>
        </row>
        <row r="132">
          <cell r="B132" t="str">
            <v>PX.0004NN</v>
          </cell>
        </row>
        <row r="133">
          <cell r="B133" t="str">
            <v>PX.0004NN</v>
          </cell>
        </row>
        <row r="134">
          <cell r="B134" t="str">
            <v>PX.0004NN</v>
          </cell>
        </row>
        <row r="135">
          <cell r="B135" t="str">
            <v>PX.0004PB</v>
          </cell>
        </row>
        <row r="136">
          <cell r="B136" t="str">
            <v>PX.0004PB</v>
          </cell>
        </row>
        <row r="137">
          <cell r="B137" t="str">
            <v>PX.0004PB</v>
          </cell>
        </row>
        <row r="138">
          <cell r="B138" t="str">
            <v>PX.0004PB</v>
          </cell>
        </row>
        <row r="139">
          <cell r="B139" t="str">
            <v>PX.0002VP</v>
          </cell>
        </row>
        <row r="140">
          <cell r="B140" t="str">
            <v>PX.0006PB</v>
          </cell>
        </row>
        <row r="141">
          <cell r="B141" t="str">
            <v>PX.0006PB</v>
          </cell>
        </row>
        <row r="142">
          <cell r="B142" t="str">
            <v>PX.0006PB</v>
          </cell>
        </row>
        <row r="143">
          <cell r="B143" t="str">
            <v>PX.0006PB</v>
          </cell>
        </row>
        <row r="144">
          <cell r="B144" t="str">
            <v>PX.0024NL</v>
          </cell>
        </row>
        <row r="145">
          <cell r="B145" t="str">
            <v>PX.0024NL</v>
          </cell>
        </row>
        <row r="146">
          <cell r="B146" t="str">
            <v>PX.0024NL</v>
          </cell>
        </row>
        <row r="147">
          <cell r="B147" t="str">
            <v>PX.0005NN</v>
          </cell>
        </row>
        <row r="148">
          <cell r="B148" t="str">
            <v>PX.0025NL</v>
          </cell>
        </row>
        <row r="149">
          <cell r="B149" t="str">
            <v>PX.0025NL</v>
          </cell>
        </row>
        <row r="150">
          <cell r="B150" t="str">
            <v>PX.0025NL</v>
          </cell>
        </row>
        <row r="151">
          <cell r="B151" t="str">
            <v>PX.0007PB</v>
          </cell>
        </row>
        <row r="152">
          <cell r="B152" t="str">
            <v>PX.0007PB</v>
          </cell>
        </row>
        <row r="153">
          <cell r="B153" t="str">
            <v>PX.0026NL</v>
          </cell>
        </row>
        <row r="154">
          <cell r="B154" t="str">
            <v>PX.0026NL</v>
          </cell>
        </row>
        <row r="155">
          <cell r="B155" t="str">
            <v>PX.0026NL</v>
          </cell>
        </row>
        <row r="156">
          <cell r="B156" t="str">
            <v>PX.0008PB</v>
          </cell>
        </row>
        <row r="157">
          <cell r="B157" t="str">
            <v>PX.0008PB</v>
          </cell>
        </row>
        <row r="158">
          <cell r="B158" t="str">
            <v>PX.0008PB</v>
          </cell>
        </row>
        <row r="159">
          <cell r="B159" t="str">
            <v>PX.0008PB</v>
          </cell>
        </row>
        <row r="160">
          <cell r="B160" t="str">
            <v>PX.0006NN</v>
          </cell>
        </row>
        <row r="161">
          <cell r="B161" t="str">
            <v>PX.0006NN</v>
          </cell>
        </row>
        <row r="162">
          <cell r="B162" t="str">
            <v>PX.0007NN</v>
          </cell>
        </row>
        <row r="163">
          <cell r="B163" t="str">
            <v>PX.0027NL</v>
          </cell>
        </row>
        <row r="164">
          <cell r="B164" t="str">
            <v>PX.0027NL</v>
          </cell>
        </row>
        <row r="165">
          <cell r="B165" t="str">
            <v>PN.0028</v>
          </cell>
        </row>
        <row r="166">
          <cell r="B166" t="str">
            <v>PN.0028</v>
          </cell>
        </row>
        <row r="167">
          <cell r="B167" t="str">
            <v>PN.0028</v>
          </cell>
        </row>
        <row r="168">
          <cell r="B168" t="str">
            <v>PN.0029</v>
          </cell>
        </row>
        <row r="169">
          <cell r="B169" t="str">
            <v>PN.0030</v>
          </cell>
        </row>
        <row r="170">
          <cell r="B170" t="str">
            <v>PN.0030</v>
          </cell>
        </row>
        <row r="171">
          <cell r="B171" t="str">
            <v>PN.0031</v>
          </cell>
        </row>
        <row r="172">
          <cell r="B172" t="str">
            <v>PN.0031</v>
          </cell>
        </row>
        <row r="173">
          <cell r="B173" t="str">
            <v>PN.0031</v>
          </cell>
        </row>
        <row r="174">
          <cell r="B174" t="str">
            <v>PN.0032</v>
          </cell>
        </row>
        <row r="175">
          <cell r="B175" t="str">
            <v>PN.0033</v>
          </cell>
        </row>
        <row r="176">
          <cell r="B176" t="str">
            <v>PN.0034</v>
          </cell>
        </row>
        <row r="177">
          <cell r="B177" t="str">
            <v>PX.0008NN</v>
          </cell>
        </row>
        <row r="178">
          <cell r="B178" t="str">
            <v>PX.0009NN</v>
          </cell>
        </row>
        <row r="179">
          <cell r="B179" t="str">
            <v>PX.0028NL</v>
          </cell>
        </row>
        <row r="180">
          <cell r="B180" t="str">
            <v>PX.0029NL</v>
          </cell>
        </row>
        <row r="181">
          <cell r="B181" t="str">
            <v>PX.0030NL</v>
          </cell>
        </row>
        <row r="182">
          <cell r="B182" t="str">
            <v>PX.0031NL</v>
          </cell>
        </row>
        <row r="183">
          <cell r="B183" t="str">
            <v>PX.0031NL</v>
          </cell>
        </row>
        <row r="184">
          <cell r="B184" t="str">
            <v>PX.0031NL</v>
          </cell>
        </row>
        <row r="185">
          <cell r="B185" t="str">
            <v>PX.0032NL</v>
          </cell>
        </row>
        <row r="186">
          <cell r="B186" t="str">
            <v>PX.0033NL</v>
          </cell>
        </row>
        <row r="187">
          <cell r="B187" t="str">
            <v>PX.0033NL</v>
          </cell>
        </row>
        <row r="188">
          <cell r="B188" t="str">
            <v>PX.0033NL</v>
          </cell>
        </row>
        <row r="189">
          <cell r="B189" t="str">
            <v>PX.0034NL</v>
          </cell>
        </row>
        <row r="190">
          <cell r="B190" t="str">
            <v>PX.0034NL</v>
          </cell>
        </row>
        <row r="191">
          <cell r="B191" t="str">
            <v>PX.0034NL</v>
          </cell>
        </row>
        <row r="192">
          <cell r="B192" t="str">
            <v>PX.0009PB</v>
          </cell>
        </row>
        <row r="193">
          <cell r="B193" t="str">
            <v>PX.0010NN</v>
          </cell>
        </row>
        <row r="194">
          <cell r="B194" t="str">
            <v>PX.0010NN</v>
          </cell>
        </row>
        <row r="195">
          <cell r="B195" t="str">
            <v>PX.0010NN</v>
          </cell>
        </row>
        <row r="196">
          <cell r="B196" t="str">
            <v>PX.0010PB</v>
          </cell>
        </row>
        <row r="197">
          <cell r="B197" t="str">
            <v>PX.0010PB</v>
          </cell>
        </row>
        <row r="198">
          <cell r="B198" t="str">
            <v>PX.0011PB</v>
          </cell>
        </row>
        <row r="199">
          <cell r="B199" t="str">
            <v>PX.0011PB</v>
          </cell>
        </row>
        <row r="200">
          <cell r="B200" t="str">
            <v>PX.0011PB</v>
          </cell>
        </row>
        <row r="201">
          <cell r="B201" t="str">
            <v>PN.0035</v>
          </cell>
        </row>
        <row r="202">
          <cell r="B202" t="str">
            <v>PN.0036</v>
          </cell>
        </row>
        <row r="203">
          <cell r="B203" t="str">
            <v>PN.0036</v>
          </cell>
        </row>
        <row r="204">
          <cell r="B204" t="str">
            <v>PN.0037</v>
          </cell>
        </row>
        <row r="205">
          <cell r="B205" t="str">
            <v>PN.0037</v>
          </cell>
        </row>
        <row r="206">
          <cell r="B206" t="str">
            <v>PN.0037</v>
          </cell>
        </row>
        <row r="207">
          <cell r="B207" t="str">
            <v>PN.0038</v>
          </cell>
        </row>
        <row r="208">
          <cell r="B208" t="str">
            <v>PN.0038</v>
          </cell>
        </row>
        <row r="209">
          <cell r="B209" t="str">
            <v>PN.0039</v>
          </cell>
        </row>
        <row r="210">
          <cell r="B210" t="str">
            <v>PN.0039</v>
          </cell>
        </row>
        <row r="211">
          <cell r="B211" t="str">
            <v>PN.0039</v>
          </cell>
        </row>
        <row r="212">
          <cell r="B212" t="str">
            <v>PN.0040</v>
          </cell>
        </row>
        <row r="213">
          <cell r="B213" t="str">
            <v>PN.0040</v>
          </cell>
        </row>
        <row r="214">
          <cell r="B214" t="str">
            <v>PN.0040</v>
          </cell>
        </row>
        <row r="215">
          <cell r="B215" t="str">
            <v>PN.0041</v>
          </cell>
        </row>
        <row r="216">
          <cell r="B216" t="str">
            <v>PN.0042</v>
          </cell>
        </row>
        <row r="217">
          <cell r="B217" t="str">
            <v>PN.0043</v>
          </cell>
        </row>
        <row r="218">
          <cell r="B218" t="str">
            <v>PN.0044</v>
          </cell>
        </row>
        <row r="219">
          <cell r="B219" t="str">
            <v>PN.0045</v>
          </cell>
        </row>
        <row r="220">
          <cell r="B220" t="str">
            <v>PN.0045</v>
          </cell>
        </row>
        <row r="221">
          <cell r="B221" t="str">
            <v>PX.0011NN</v>
          </cell>
        </row>
        <row r="222">
          <cell r="B222" t="str">
            <v>PX.0035NL</v>
          </cell>
        </row>
        <row r="223">
          <cell r="B223" t="str">
            <v>PX.0036NL</v>
          </cell>
        </row>
        <row r="224">
          <cell r="B224" t="str">
            <v>PX.0037NL</v>
          </cell>
        </row>
        <row r="225">
          <cell r="B225" t="str">
            <v>PN.0046</v>
          </cell>
        </row>
        <row r="226">
          <cell r="B226" t="str">
            <v>PN.0046</v>
          </cell>
        </row>
        <row r="227">
          <cell r="B227" t="str">
            <v>PN.0047</v>
          </cell>
        </row>
        <row r="228">
          <cell r="B228" t="str">
            <v>PN.0047</v>
          </cell>
        </row>
        <row r="229">
          <cell r="B229" t="str">
            <v>PX.0012NN</v>
          </cell>
        </row>
        <row r="230">
          <cell r="B230" t="str">
            <v>PX.0012NN</v>
          </cell>
        </row>
        <row r="231">
          <cell r="B231" t="str">
            <v>PX.0038NL</v>
          </cell>
        </row>
        <row r="232">
          <cell r="B232" t="str">
            <v>PX.0039NL</v>
          </cell>
        </row>
        <row r="233">
          <cell r="B233" t="str">
            <v>PX.0040NL</v>
          </cell>
        </row>
        <row r="234">
          <cell r="B234" t="str">
            <v>PX.0041NL</v>
          </cell>
        </row>
        <row r="235">
          <cell r="B235" t="str">
            <v>PX.0041NL</v>
          </cell>
        </row>
        <row r="236">
          <cell r="B236" t="str">
            <v>PX.0041NL</v>
          </cell>
        </row>
        <row r="237">
          <cell r="B237" t="str">
            <v>PX.0012PB</v>
          </cell>
        </row>
        <row r="238">
          <cell r="B238" t="str">
            <v>PX.0012PB</v>
          </cell>
        </row>
        <row r="239">
          <cell r="B239" t="str">
            <v>PX.0042NL</v>
          </cell>
        </row>
        <row r="240">
          <cell r="B240" t="str">
            <v>PX.0042NL</v>
          </cell>
        </row>
        <row r="241">
          <cell r="B241" t="str">
            <v>PX.0042NL</v>
          </cell>
        </row>
        <row r="242">
          <cell r="B242" t="str">
            <v>PX.0013NN</v>
          </cell>
        </row>
        <row r="243">
          <cell r="B243" t="str">
            <v>PX.0013NN</v>
          </cell>
        </row>
        <row r="244">
          <cell r="B244" t="str">
            <v>PX.0013NN</v>
          </cell>
        </row>
        <row r="245">
          <cell r="B245" t="str">
            <v>PX.0013NN</v>
          </cell>
        </row>
        <row r="246">
          <cell r="B246" t="str">
            <v>PX.0013NN</v>
          </cell>
        </row>
        <row r="247">
          <cell r="B247" t="str">
            <v>PX.0013NN</v>
          </cell>
        </row>
        <row r="248">
          <cell r="B248" t="str">
            <v>PX.0013NN</v>
          </cell>
        </row>
        <row r="249">
          <cell r="B249" t="str">
            <v>PX.0013NN</v>
          </cell>
        </row>
        <row r="250">
          <cell r="B250" t="str">
            <v>PX.0013PB</v>
          </cell>
        </row>
        <row r="251">
          <cell r="B251" t="str">
            <v>PX.0013PB</v>
          </cell>
        </row>
        <row r="252">
          <cell r="B252" t="str">
            <v>PX.0013PB</v>
          </cell>
        </row>
        <row r="253">
          <cell r="B253" t="str">
            <v>PX.0013PB</v>
          </cell>
        </row>
        <row r="254">
          <cell r="B254" t="str">
            <v>PX.0013PB</v>
          </cell>
        </row>
        <row r="255">
          <cell r="B255" t="str">
            <v/>
          </cell>
        </row>
        <row r="256">
          <cell r="B256" t="str">
            <v/>
          </cell>
        </row>
        <row r="976">
          <cell r="B976" t="str">
            <v/>
          </cell>
        </row>
        <row r="978">
          <cell r="B978" t="str">
            <v/>
          </cell>
        </row>
        <row r="979">
          <cell r="B979" t="str">
            <v/>
          </cell>
        </row>
        <row r="980">
          <cell r="B980" t="str">
            <v/>
          </cell>
        </row>
        <row r="981">
          <cell r="B981" t="str">
            <v/>
          </cell>
        </row>
        <row r="982">
          <cell r="B982" t="str">
            <v/>
          </cell>
        </row>
        <row r="983">
          <cell r="B983" t="str">
            <v/>
          </cell>
        </row>
        <row r="984">
          <cell r="B984" t="str">
            <v/>
          </cell>
        </row>
        <row r="985">
          <cell r="B985" t="str">
            <v/>
          </cell>
        </row>
        <row r="986">
          <cell r="B986" t="str">
            <v/>
          </cell>
        </row>
        <row r="987">
          <cell r="B987" t="str">
            <v/>
          </cell>
        </row>
        <row r="988">
          <cell r="B988" t="str">
            <v/>
          </cell>
        </row>
        <row r="989">
          <cell r="B989" t="str">
            <v/>
          </cell>
        </row>
        <row r="990">
          <cell r="B990" t="str">
            <v/>
          </cell>
        </row>
        <row r="991">
          <cell r="B991" t="str">
            <v/>
          </cell>
        </row>
        <row r="992">
          <cell r="B992" t="str">
            <v/>
          </cell>
        </row>
        <row r="993">
          <cell r="B993" t="str">
            <v/>
          </cell>
        </row>
        <row r="994">
          <cell r="B994" t="str">
            <v/>
          </cell>
        </row>
        <row r="995">
          <cell r="B995" t="str">
            <v/>
          </cell>
        </row>
        <row r="996">
          <cell r="B996" t="str">
            <v/>
          </cell>
        </row>
        <row r="997">
          <cell r="B997" t="str">
            <v/>
          </cell>
        </row>
        <row r="998">
          <cell r="B998" t="str">
            <v/>
          </cell>
        </row>
        <row r="999">
          <cell r="B999" t="str">
            <v/>
          </cell>
        </row>
        <row r="1000">
          <cell r="B1000" t="str">
            <v/>
          </cell>
        </row>
        <row r="1001">
          <cell r="B1001" t="str">
            <v/>
          </cell>
        </row>
        <row r="1002">
          <cell r="B1002" t="str">
            <v/>
          </cell>
        </row>
        <row r="1003">
          <cell r="B1003" t="str">
            <v/>
          </cell>
        </row>
        <row r="1004">
          <cell r="B1004" t="str">
            <v/>
          </cell>
        </row>
        <row r="1005">
          <cell r="B1005" t="str">
            <v/>
          </cell>
        </row>
        <row r="1006">
          <cell r="B1006" t="str">
            <v/>
          </cell>
        </row>
        <row r="1007">
          <cell r="B1007" t="str">
            <v/>
          </cell>
        </row>
        <row r="1008">
          <cell r="B1008" t="str">
            <v/>
          </cell>
        </row>
        <row r="1009">
          <cell r="B1009" t="str">
            <v/>
          </cell>
        </row>
        <row r="1010">
          <cell r="B1010" t="str">
            <v/>
          </cell>
        </row>
        <row r="1011">
          <cell r="B1011" t="str">
            <v/>
          </cell>
        </row>
        <row r="1012">
          <cell r="B1012" t="str">
            <v/>
          </cell>
        </row>
        <row r="1013">
          <cell r="B1013" t="str">
            <v/>
          </cell>
        </row>
        <row r="1014">
          <cell r="B1014" t="str">
            <v/>
          </cell>
        </row>
        <row r="1015">
          <cell r="B1015" t="str">
            <v/>
          </cell>
        </row>
        <row r="1016">
          <cell r="B1016" t="str">
            <v/>
          </cell>
        </row>
        <row r="1017">
          <cell r="B1017" t="str">
            <v/>
          </cell>
        </row>
        <row r="1018">
          <cell r="B1018" t="str">
            <v/>
          </cell>
        </row>
        <row r="1019">
          <cell r="B1019" t="str">
            <v/>
          </cell>
        </row>
        <row r="1020">
          <cell r="B1020" t="str">
            <v/>
          </cell>
        </row>
        <row r="1021">
          <cell r="B1021" t="str">
            <v/>
          </cell>
        </row>
        <row r="1022">
          <cell r="B1022" t="str">
            <v/>
          </cell>
        </row>
        <row r="1023">
          <cell r="B1023" t="str">
            <v/>
          </cell>
        </row>
        <row r="1024">
          <cell r="B1024" t="str">
            <v/>
          </cell>
        </row>
        <row r="1025">
          <cell r="B1025" t="str">
            <v/>
          </cell>
        </row>
        <row r="1026">
          <cell r="B1026" t="str">
            <v/>
          </cell>
        </row>
        <row r="1027">
          <cell r="B1027" t="str">
            <v/>
          </cell>
        </row>
        <row r="1028">
          <cell r="B1028" t="str">
            <v/>
          </cell>
        </row>
        <row r="1029">
          <cell r="B1029" t="str">
            <v/>
          </cell>
        </row>
        <row r="1030">
          <cell r="B1030" t="str">
            <v/>
          </cell>
        </row>
        <row r="1031">
          <cell r="B1031" t="str">
            <v/>
          </cell>
        </row>
        <row r="1032">
          <cell r="B1032" t="str">
            <v/>
          </cell>
        </row>
        <row r="1033">
          <cell r="B1033" t="str">
            <v/>
          </cell>
        </row>
        <row r="1034">
          <cell r="B1034" t="str">
            <v/>
          </cell>
        </row>
        <row r="1035">
          <cell r="B1035" t="str">
            <v/>
          </cell>
        </row>
        <row r="1036">
          <cell r="B1036" t="str">
            <v/>
          </cell>
        </row>
        <row r="1037">
          <cell r="B1037" t="str">
            <v/>
          </cell>
        </row>
        <row r="1038">
          <cell r="B1038" t="str">
            <v/>
          </cell>
        </row>
        <row r="1039">
          <cell r="B1039" t="str">
            <v/>
          </cell>
        </row>
        <row r="1040">
          <cell r="B1040" t="str">
            <v/>
          </cell>
        </row>
        <row r="1041">
          <cell r="B1041" t="str">
            <v/>
          </cell>
        </row>
        <row r="1042">
          <cell r="B1042" t="str">
            <v/>
          </cell>
        </row>
        <row r="1043">
          <cell r="B1043" t="str">
            <v/>
          </cell>
        </row>
        <row r="1044">
          <cell r="B1044" t="str">
            <v/>
          </cell>
        </row>
        <row r="1045">
          <cell r="B1045" t="str">
            <v/>
          </cell>
        </row>
        <row r="1046">
          <cell r="B1046" t="str">
            <v/>
          </cell>
        </row>
        <row r="1047">
          <cell r="B1047" t="str">
            <v/>
          </cell>
        </row>
        <row r="1048">
          <cell r="B1048" t="str">
            <v/>
          </cell>
        </row>
        <row r="1049">
          <cell r="B1049" t="str">
            <v/>
          </cell>
        </row>
        <row r="1050">
          <cell r="B1050" t="str">
            <v/>
          </cell>
        </row>
        <row r="1051">
          <cell r="B1051" t="str">
            <v/>
          </cell>
        </row>
        <row r="1052">
          <cell r="B1052" t="str">
            <v/>
          </cell>
        </row>
        <row r="1053">
          <cell r="B1053" t="str">
            <v/>
          </cell>
        </row>
        <row r="1054">
          <cell r="B1054" t="str">
            <v/>
          </cell>
        </row>
        <row r="1055">
          <cell r="B1055" t="str">
            <v/>
          </cell>
        </row>
        <row r="1056">
          <cell r="B1056" t="str">
            <v/>
          </cell>
        </row>
        <row r="1057">
          <cell r="B1057" t="str">
            <v/>
          </cell>
        </row>
        <row r="1058">
          <cell r="B1058" t="str">
            <v/>
          </cell>
        </row>
        <row r="1059">
          <cell r="B1059" t="str">
            <v/>
          </cell>
        </row>
        <row r="1060">
          <cell r="B1060" t="str">
            <v/>
          </cell>
        </row>
        <row r="1061">
          <cell r="B1061" t="str">
            <v/>
          </cell>
        </row>
        <row r="1062">
          <cell r="B1062" t="str">
            <v/>
          </cell>
        </row>
        <row r="1063">
          <cell r="B1063" t="str">
            <v/>
          </cell>
        </row>
        <row r="1064">
          <cell r="B1064" t="str">
            <v/>
          </cell>
        </row>
        <row r="1065">
          <cell r="B1065" t="str">
            <v/>
          </cell>
        </row>
        <row r="1066">
          <cell r="B1066" t="str">
            <v/>
          </cell>
        </row>
        <row r="1067">
          <cell r="B1067" t="str">
            <v/>
          </cell>
        </row>
        <row r="1068">
          <cell r="B1068" t="str">
            <v/>
          </cell>
        </row>
        <row r="1069">
          <cell r="B1069" t="str">
            <v/>
          </cell>
        </row>
        <row r="1070">
          <cell r="B1070" t="str">
            <v/>
          </cell>
        </row>
        <row r="1071">
          <cell r="B1071" t="str">
            <v/>
          </cell>
        </row>
        <row r="1072">
          <cell r="B1072" t="str">
            <v/>
          </cell>
        </row>
        <row r="1073">
          <cell r="B1073" t="str">
            <v/>
          </cell>
        </row>
        <row r="1074">
          <cell r="B1074" t="str">
            <v/>
          </cell>
        </row>
        <row r="1075">
          <cell r="B1075" t="str">
            <v/>
          </cell>
        </row>
        <row r="1076">
          <cell r="B1076" t="str">
            <v/>
          </cell>
        </row>
        <row r="1077">
          <cell r="B1077" t="str">
            <v/>
          </cell>
        </row>
        <row r="1078">
          <cell r="B1078" t="str">
            <v/>
          </cell>
        </row>
        <row r="1079">
          <cell r="B1079" t="str">
            <v/>
          </cell>
        </row>
        <row r="1080">
          <cell r="B1080" t="str">
            <v/>
          </cell>
        </row>
        <row r="1081">
          <cell r="B1081" t="str">
            <v/>
          </cell>
        </row>
        <row r="1082">
          <cell r="B1082" t="str">
            <v/>
          </cell>
        </row>
        <row r="1083">
          <cell r="B1083" t="str">
            <v/>
          </cell>
        </row>
        <row r="1084">
          <cell r="B1084" t="str">
            <v/>
          </cell>
        </row>
        <row r="1085">
          <cell r="B1085" t="str">
            <v/>
          </cell>
        </row>
        <row r="1086">
          <cell r="B1086" t="str">
            <v/>
          </cell>
        </row>
        <row r="1087">
          <cell r="B1087" t="str">
            <v/>
          </cell>
        </row>
        <row r="1088">
          <cell r="B1088" t="str">
            <v/>
          </cell>
        </row>
        <row r="1089">
          <cell r="B1089" t="str">
            <v/>
          </cell>
        </row>
        <row r="1090">
          <cell r="B1090" t="str">
            <v/>
          </cell>
        </row>
        <row r="1091">
          <cell r="B1091" t="str">
            <v/>
          </cell>
        </row>
        <row r="1092">
          <cell r="B1092" t="str">
            <v/>
          </cell>
        </row>
        <row r="1093">
          <cell r="B1093" t="str">
            <v/>
          </cell>
        </row>
        <row r="1094">
          <cell r="B1094" t="str">
            <v/>
          </cell>
        </row>
        <row r="1095">
          <cell r="B1095" t="str">
            <v/>
          </cell>
        </row>
        <row r="1096">
          <cell r="B1096" t="str">
            <v/>
          </cell>
        </row>
        <row r="1097">
          <cell r="B1097" t="str">
            <v/>
          </cell>
        </row>
        <row r="1098">
          <cell r="B1098" t="str">
            <v/>
          </cell>
        </row>
        <row r="1099">
          <cell r="B1099" t="str">
            <v/>
          </cell>
        </row>
        <row r="1100">
          <cell r="B1100" t="str">
            <v/>
          </cell>
        </row>
        <row r="1101">
          <cell r="B1101" t="str">
            <v/>
          </cell>
        </row>
        <row r="1102">
          <cell r="B1102" t="str">
            <v/>
          </cell>
        </row>
        <row r="1103">
          <cell r="B1103" t="str">
            <v/>
          </cell>
        </row>
        <row r="1104">
          <cell r="B1104" t="str">
            <v/>
          </cell>
        </row>
        <row r="1105">
          <cell r="B1105" t="str">
            <v/>
          </cell>
        </row>
        <row r="1106">
          <cell r="B1106" t="str">
            <v/>
          </cell>
        </row>
        <row r="1107">
          <cell r="B1107" t="str">
            <v/>
          </cell>
        </row>
        <row r="1108">
          <cell r="B1108" t="str">
            <v/>
          </cell>
        </row>
        <row r="1109">
          <cell r="B1109" t="str">
            <v/>
          </cell>
        </row>
        <row r="1110">
          <cell r="B1110" t="str">
            <v/>
          </cell>
        </row>
        <row r="1111">
          <cell r="B1111" t="str">
            <v/>
          </cell>
        </row>
        <row r="1112">
          <cell r="B1112" t="str">
            <v/>
          </cell>
        </row>
        <row r="1113">
          <cell r="B1113" t="str">
            <v/>
          </cell>
        </row>
        <row r="1114">
          <cell r="B1114" t="str">
            <v/>
          </cell>
        </row>
        <row r="1115">
          <cell r="B1115" t="str">
            <v/>
          </cell>
        </row>
        <row r="1116">
          <cell r="B1116" t="str">
            <v/>
          </cell>
        </row>
        <row r="1117">
          <cell r="B1117" t="str">
            <v/>
          </cell>
        </row>
        <row r="1118">
          <cell r="B1118" t="str">
            <v/>
          </cell>
        </row>
        <row r="1119">
          <cell r="B1119" t="str">
            <v/>
          </cell>
        </row>
        <row r="1120">
          <cell r="B1120" t="str">
            <v/>
          </cell>
        </row>
        <row r="1121">
          <cell r="B1121" t="str">
            <v/>
          </cell>
        </row>
        <row r="1122">
          <cell r="B1122" t="str">
            <v/>
          </cell>
        </row>
        <row r="1123">
          <cell r="B1123" t="str">
            <v/>
          </cell>
        </row>
        <row r="1124">
          <cell r="B1124" t="str">
            <v/>
          </cell>
        </row>
        <row r="1125">
          <cell r="B1125" t="str">
            <v/>
          </cell>
        </row>
        <row r="1126">
          <cell r="B1126" t="str">
            <v/>
          </cell>
        </row>
        <row r="1127">
          <cell r="B1127" t="str">
            <v/>
          </cell>
        </row>
        <row r="1128">
          <cell r="B1128" t="str">
            <v/>
          </cell>
        </row>
        <row r="1129">
          <cell r="B1129" t="str">
            <v/>
          </cell>
        </row>
        <row r="1130">
          <cell r="B1130" t="str">
            <v/>
          </cell>
        </row>
        <row r="1131">
          <cell r="B1131" t="str">
            <v/>
          </cell>
        </row>
        <row r="1132">
          <cell r="B1132" t="str">
            <v/>
          </cell>
        </row>
        <row r="1133">
          <cell r="B1133" t="str">
            <v/>
          </cell>
        </row>
        <row r="1134">
          <cell r="B1134" t="str">
            <v/>
          </cell>
        </row>
        <row r="1135">
          <cell r="B1135" t="str">
            <v/>
          </cell>
        </row>
        <row r="1136">
          <cell r="B1136" t="str">
            <v/>
          </cell>
        </row>
        <row r="1137">
          <cell r="B1137" t="str">
            <v/>
          </cell>
        </row>
        <row r="1138">
          <cell r="B1138" t="str">
            <v/>
          </cell>
        </row>
        <row r="1139">
          <cell r="B1139" t="str">
            <v/>
          </cell>
        </row>
        <row r="1140">
          <cell r="B1140" t="str">
            <v/>
          </cell>
        </row>
        <row r="1141">
          <cell r="B1141" t="str">
            <v/>
          </cell>
        </row>
        <row r="1142">
          <cell r="B1142" t="str">
            <v/>
          </cell>
        </row>
        <row r="1143">
          <cell r="B1143" t="str">
            <v/>
          </cell>
        </row>
        <row r="1144">
          <cell r="B1144" t="str">
            <v/>
          </cell>
        </row>
        <row r="1145">
          <cell r="B1145" t="str">
            <v/>
          </cell>
        </row>
        <row r="1146">
          <cell r="B1146" t="str">
            <v/>
          </cell>
        </row>
        <row r="1147">
          <cell r="B1147" t="str">
            <v/>
          </cell>
        </row>
        <row r="1148">
          <cell r="B1148" t="str">
            <v/>
          </cell>
        </row>
        <row r="1149">
          <cell r="B1149" t="str">
            <v/>
          </cell>
        </row>
        <row r="1150">
          <cell r="B1150" t="str">
            <v/>
          </cell>
        </row>
        <row r="1151">
          <cell r="B1151" t="str">
            <v/>
          </cell>
        </row>
        <row r="1152">
          <cell r="B1152" t="str">
            <v/>
          </cell>
        </row>
        <row r="1153">
          <cell r="B1153" t="str">
            <v/>
          </cell>
        </row>
        <row r="1154">
          <cell r="B1154" t="str">
            <v/>
          </cell>
        </row>
        <row r="1155">
          <cell r="B1155" t="str">
            <v/>
          </cell>
        </row>
        <row r="1156">
          <cell r="B1156" t="str">
            <v/>
          </cell>
        </row>
        <row r="1157">
          <cell r="B1157" t="str">
            <v/>
          </cell>
        </row>
        <row r="1158">
          <cell r="B1158" t="str">
            <v/>
          </cell>
        </row>
        <row r="1159">
          <cell r="B1159" t="str">
            <v/>
          </cell>
        </row>
        <row r="1160">
          <cell r="B1160" t="str">
            <v/>
          </cell>
        </row>
        <row r="1161">
          <cell r="B1161" t="str">
            <v/>
          </cell>
        </row>
        <row r="1162">
          <cell r="B1162" t="str">
            <v/>
          </cell>
        </row>
        <row r="1163">
          <cell r="B1163" t="str">
            <v/>
          </cell>
        </row>
        <row r="1164">
          <cell r="B1164" t="str">
            <v/>
          </cell>
        </row>
        <row r="1165">
          <cell r="B1165" t="str">
            <v/>
          </cell>
        </row>
        <row r="1166">
          <cell r="B1166" t="str">
            <v/>
          </cell>
        </row>
        <row r="1167">
          <cell r="B1167" t="str">
            <v/>
          </cell>
        </row>
        <row r="1168">
          <cell r="B1168" t="str">
            <v/>
          </cell>
        </row>
        <row r="1169">
          <cell r="B1169" t="str">
            <v/>
          </cell>
        </row>
        <row r="1170">
          <cell r="B1170" t="str">
            <v/>
          </cell>
        </row>
        <row r="1171">
          <cell r="B1171" t="str">
            <v/>
          </cell>
        </row>
        <row r="1172">
          <cell r="B1172" t="str">
            <v/>
          </cell>
        </row>
        <row r="1173">
          <cell r="B1173" t="str">
            <v/>
          </cell>
        </row>
        <row r="1174">
          <cell r="B1174" t="str">
            <v/>
          </cell>
        </row>
        <row r="1175">
          <cell r="B1175" t="str">
            <v/>
          </cell>
        </row>
        <row r="1176">
          <cell r="B1176" t="str">
            <v/>
          </cell>
        </row>
        <row r="1177">
          <cell r="B1177" t="str">
            <v/>
          </cell>
        </row>
        <row r="1178">
          <cell r="B1178" t="str">
            <v/>
          </cell>
        </row>
        <row r="1179">
          <cell r="B1179" t="str">
            <v/>
          </cell>
        </row>
        <row r="1180">
          <cell r="B1180" t="str">
            <v/>
          </cell>
        </row>
        <row r="1181">
          <cell r="B1181" t="str">
            <v/>
          </cell>
        </row>
        <row r="1182">
          <cell r="B1182" t="str">
            <v/>
          </cell>
        </row>
        <row r="1183">
          <cell r="B1183" t="str">
            <v/>
          </cell>
        </row>
        <row r="1184">
          <cell r="B1184" t="str">
            <v/>
          </cell>
        </row>
        <row r="1185">
          <cell r="B1185" t="str">
            <v/>
          </cell>
        </row>
        <row r="1186">
          <cell r="B1186" t="str">
            <v/>
          </cell>
        </row>
        <row r="1187">
          <cell r="B1187" t="str">
            <v/>
          </cell>
        </row>
        <row r="1188">
          <cell r="B1188" t="str">
            <v/>
          </cell>
        </row>
        <row r="1189">
          <cell r="B1189" t="str">
            <v/>
          </cell>
        </row>
        <row r="1190">
          <cell r="B1190" t="str">
            <v/>
          </cell>
        </row>
        <row r="1191">
          <cell r="B1191" t="str">
            <v/>
          </cell>
        </row>
        <row r="1192">
          <cell r="B1192" t="str">
            <v/>
          </cell>
        </row>
        <row r="1193">
          <cell r="B1193" t="str">
            <v/>
          </cell>
        </row>
        <row r="1194">
          <cell r="B1194" t="str">
            <v/>
          </cell>
        </row>
        <row r="1195">
          <cell r="B1195" t="str">
            <v/>
          </cell>
        </row>
        <row r="1196">
          <cell r="B1196" t="str">
            <v/>
          </cell>
        </row>
        <row r="1197">
          <cell r="B1197" t="str">
            <v/>
          </cell>
        </row>
        <row r="1198">
          <cell r="B1198" t="str">
            <v/>
          </cell>
        </row>
        <row r="1199">
          <cell r="B1199" t="str">
            <v/>
          </cell>
        </row>
        <row r="1200">
          <cell r="B1200" t="str">
            <v/>
          </cell>
        </row>
        <row r="1201">
          <cell r="B1201" t="str">
            <v/>
          </cell>
        </row>
        <row r="1202">
          <cell r="B1202" t="str">
            <v/>
          </cell>
        </row>
        <row r="1203">
          <cell r="B1203" t="str">
            <v/>
          </cell>
        </row>
        <row r="1204">
          <cell r="B1204" t="str">
            <v/>
          </cell>
        </row>
        <row r="1205">
          <cell r="B1205" t="str">
            <v/>
          </cell>
        </row>
        <row r="1206">
          <cell r="B1206" t="str">
            <v/>
          </cell>
        </row>
        <row r="1207">
          <cell r="B1207" t="str">
            <v/>
          </cell>
        </row>
        <row r="1208">
          <cell r="B1208" t="str">
            <v/>
          </cell>
        </row>
        <row r="1209">
          <cell r="B1209" t="str">
            <v/>
          </cell>
        </row>
        <row r="1210">
          <cell r="B1210" t="str">
            <v/>
          </cell>
        </row>
        <row r="1211">
          <cell r="B1211" t="str">
            <v/>
          </cell>
        </row>
        <row r="1212">
          <cell r="B1212" t="str">
            <v/>
          </cell>
        </row>
        <row r="1213">
          <cell r="B1213" t="str">
            <v/>
          </cell>
        </row>
        <row r="1214">
          <cell r="B1214" t="str">
            <v/>
          </cell>
        </row>
        <row r="1215">
          <cell r="B1215" t="str">
            <v/>
          </cell>
        </row>
        <row r="1216">
          <cell r="B1216" t="str">
            <v/>
          </cell>
        </row>
        <row r="1217">
          <cell r="B1217" t="str">
            <v/>
          </cell>
        </row>
        <row r="1218">
          <cell r="B1218" t="str">
            <v/>
          </cell>
        </row>
        <row r="1219">
          <cell r="B1219" t="str">
            <v/>
          </cell>
        </row>
        <row r="1220">
          <cell r="B1220" t="str">
            <v/>
          </cell>
        </row>
        <row r="1221">
          <cell r="B1221" t="str">
            <v/>
          </cell>
        </row>
        <row r="1222">
          <cell r="B1222" t="str">
            <v/>
          </cell>
        </row>
        <row r="1223">
          <cell r="B1223" t="str">
            <v/>
          </cell>
        </row>
        <row r="1224">
          <cell r="B1224" t="str">
            <v/>
          </cell>
        </row>
        <row r="1225">
          <cell r="B1225" t="str">
            <v/>
          </cell>
        </row>
        <row r="1226">
          <cell r="B1226" t="str">
            <v/>
          </cell>
        </row>
        <row r="1227">
          <cell r="B1227" t="str">
            <v/>
          </cell>
        </row>
        <row r="1228">
          <cell r="B1228" t="str">
            <v/>
          </cell>
        </row>
        <row r="1229">
          <cell r="B1229" t="str">
            <v/>
          </cell>
        </row>
        <row r="1230">
          <cell r="B1230" t="str">
            <v/>
          </cell>
        </row>
        <row r="1231">
          <cell r="B1231" t="str">
            <v/>
          </cell>
        </row>
        <row r="1232">
          <cell r="B1232" t="str">
            <v/>
          </cell>
        </row>
        <row r="1233">
          <cell r="B1233" t="str">
            <v/>
          </cell>
        </row>
        <row r="1234">
          <cell r="B1234" t="str">
            <v/>
          </cell>
        </row>
        <row r="1235">
          <cell r="B1235" t="str">
            <v/>
          </cell>
        </row>
        <row r="1236">
          <cell r="B1236" t="str">
            <v/>
          </cell>
        </row>
        <row r="1237">
          <cell r="B1237" t="str">
            <v/>
          </cell>
        </row>
        <row r="1238">
          <cell r="B1238" t="str">
            <v/>
          </cell>
        </row>
        <row r="1239">
          <cell r="B1239" t="str">
            <v/>
          </cell>
        </row>
        <row r="1240">
          <cell r="B1240" t="str">
            <v/>
          </cell>
        </row>
        <row r="1241">
          <cell r="B1241" t="str">
            <v/>
          </cell>
        </row>
        <row r="1242">
          <cell r="B1242" t="str">
            <v/>
          </cell>
        </row>
        <row r="1243">
          <cell r="B1243" t="str">
            <v/>
          </cell>
        </row>
        <row r="1244">
          <cell r="B1244" t="str">
            <v/>
          </cell>
        </row>
        <row r="1245">
          <cell r="B1245" t="str">
            <v/>
          </cell>
        </row>
        <row r="1246">
          <cell r="B1246" t="str">
            <v/>
          </cell>
        </row>
        <row r="1247">
          <cell r="B1247" t="str">
            <v/>
          </cell>
        </row>
        <row r="1248">
          <cell r="B1248" t="str">
            <v/>
          </cell>
        </row>
        <row r="1249">
          <cell r="B1249" t="str">
            <v/>
          </cell>
        </row>
        <row r="1250">
          <cell r="B1250" t="str">
            <v/>
          </cell>
        </row>
        <row r="1251">
          <cell r="B1251" t="str">
            <v/>
          </cell>
        </row>
        <row r="1252">
          <cell r="B1252" t="str">
            <v/>
          </cell>
        </row>
        <row r="1253">
          <cell r="B1253" t="str">
            <v/>
          </cell>
        </row>
        <row r="1254">
          <cell r="B1254" t="str">
            <v/>
          </cell>
        </row>
        <row r="1255">
          <cell r="B1255" t="str">
            <v/>
          </cell>
        </row>
        <row r="1256">
          <cell r="B1256" t="str">
            <v/>
          </cell>
        </row>
        <row r="1257">
          <cell r="B1257" t="str">
            <v/>
          </cell>
        </row>
        <row r="1258">
          <cell r="B1258" t="str">
            <v/>
          </cell>
        </row>
        <row r="1259">
          <cell r="B1259" t="str">
            <v/>
          </cell>
        </row>
        <row r="1260">
          <cell r="B1260" t="str">
            <v/>
          </cell>
        </row>
        <row r="1261">
          <cell r="B1261" t="str">
            <v/>
          </cell>
        </row>
        <row r="1262">
          <cell r="B1262" t="str">
            <v/>
          </cell>
        </row>
        <row r="1263">
          <cell r="B1263" t="str">
            <v/>
          </cell>
        </row>
        <row r="1264">
          <cell r="B1264" t="str">
            <v/>
          </cell>
        </row>
        <row r="1265">
          <cell r="B1265" t="str">
            <v/>
          </cell>
        </row>
        <row r="1266">
          <cell r="B1266" t="str">
            <v/>
          </cell>
        </row>
        <row r="1267">
          <cell r="B1267" t="str">
            <v/>
          </cell>
        </row>
        <row r="1268">
          <cell r="B1268" t="str">
            <v/>
          </cell>
        </row>
        <row r="1269">
          <cell r="B1269" t="str">
            <v/>
          </cell>
        </row>
        <row r="1270">
          <cell r="B1270" t="str">
            <v/>
          </cell>
        </row>
        <row r="1271">
          <cell r="B1271" t="str">
            <v/>
          </cell>
        </row>
        <row r="1272">
          <cell r="B1272" t="str">
            <v/>
          </cell>
        </row>
        <row r="1273">
          <cell r="B1273" t="str">
            <v/>
          </cell>
        </row>
        <row r="1274">
          <cell r="B1274" t="str">
            <v/>
          </cell>
        </row>
        <row r="1275">
          <cell r="B1275" t="str">
            <v/>
          </cell>
        </row>
        <row r="1276">
          <cell r="B1276" t="str">
            <v/>
          </cell>
        </row>
        <row r="1277">
          <cell r="B1277" t="str">
            <v/>
          </cell>
        </row>
        <row r="1278">
          <cell r="B1278" t="str">
            <v/>
          </cell>
        </row>
        <row r="1279">
          <cell r="B1279" t="str">
            <v/>
          </cell>
        </row>
        <row r="1280">
          <cell r="B1280" t="str">
            <v/>
          </cell>
        </row>
        <row r="1281">
          <cell r="B1281" t="str">
            <v/>
          </cell>
        </row>
        <row r="1282">
          <cell r="B1282" t="str">
            <v/>
          </cell>
        </row>
        <row r="1283">
          <cell r="B1283" t="str">
            <v/>
          </cell>
        </row>
        <row r="1284">
          <cell r="B1284" t="str">
            <v/>
          </cell>
        </row>
        <row r="1285">
          <cell r="B1285" t="str">
            <v/>
          </cell>
        </row>
        <row r="1286">
          <cell r="B1286" t="str">
            <v/>
          </cell>
        </row>
        <row r="1287">
          <cell r="B1287" t="str">
            <v/>
          </cell>
        </row>
        <row r="1288">
          <cell r="B1288" t="str">
            <v/>
          </cell>
        </row>
        <row r="1289">
          <cell r="B1289" t="str">
            <v/>
          </cell>
        </row>
        <row r="1290">
          <cell r="B1290" t="str">
            <v/>
          </cell>
        </row>
        <row r="1291">
          <cell r="B1291" t="str">
            <v/>
          </cell>
        </row>
        <row r="1292">
          <cell r="B1292" t="str">
            <v/>
          </cell>
        </row>
        <row r="1293">
          <cell r="B1293" t="str">
            <v/>
          </cell>
        </row>
        <row r="1294">
          <cell r="B1294" t="str">
            <v/>
          </cell>
        </row>
        <row r="1295">
          <cell r="B1295" t="str">
            <v/>
          </cell>
        </row>
        <row r="1296">
          <cell r="B1296" t="str">
            <v/>
          </cell>
        </row>
        <row r="1297">
          <cell r="B1297" t="str">
            <v/>
          </cell>
        </row>
        <row r="1298">
          <cell r="B1298" t="str">
            <v/>
          </cell>
        </row>
        <row r="1299">
          <cell r="B1299" t="str">
            <v/>
          </cell>
        </row>
        <row r="1300">
          <cell r="B1300" t="str">
            <v/>
          </cell>
        </row>
        <row r="1301">
          <cell r="B1301" t="str">
            <v/>
          </cell>
        </row>
        <row r="1302">
          <cell r="B1302" t="str">
            <v/>
          </cell>
        </row>
        <row r="1303">
          <cell r="B1303" t="str">
            <v/>
          </cell>
        </row>
        <row r="1304">
          <cell r="B1304" t="str">
            <v/>
          </cell>
        </row>
        <row r="1305">
          <cell r="B1305" t="str">
            <v/>
          </cell>
        </row>
        <row r="1306">
          <cell r="B1306" t="str">
            <v/>
          </cell>
        </row>
        <row r="1307">
          <cell r="B1307" t="str">
            <v/>
          </cell>
        </row>
        <row r="1308">
          <cell r="B1308" t="str">
            <v/>
          </cell>
        </row>
        <row r="1309">
          <cell r="B1309" t="str">
            <v/>
          </cell>
        </row>
        <row r="1310">
          <cell r="B1310" t="str">
            <v/>
          </cell>
        </row>
        <row r="1311">
          <cell r="B1311" t="str">
            <v/>
          </cell>
        </row>
        <row r="1312">
          <cell r="B1312" t="str">
            <v/>
          </cell>
        </row>
        <row r="1313">
          <cell r="B1313" t="str">
            <v/>
          </cell>
        </row>
        <row r="1314">
          <cell r="B1314" t="str">
            <v/>
          </cell>
        </row>
        <row r="1315">
          <cell r="B1315" t="str">
            <v/>
          </cell>
        </row>
        <row r="1316">
          <cell r="B1316" t="str">
            <v/>
          </cell>
        </row>
        <row r="1317">
          <cell r="B1317" t="str">
            <v/>
          </cell>
        </row>
        <row r="1318">
          <cell r="B1318" t="str">
            <v/>
          </cell>
        </row>
        <row r="1319">
          <cell r="B1319" t="str">
            <v/>
          </cell>
        </row>
        <row r="1320">
          <cell r="B1320" t="str">
            <v/>
          </cell>
        </row>
        <row r="1321">
          <cell r="B1321" t="str">
            <v/>
          </cell>
        </row>
        <row r="1322">
          <cell r="B1322" t="str">
            <v/>
          </cell>
        </row>
        <row r="1323">
          <cell r="B1323" t="str">
            <v/>
          </cell>
        </row>
        <row r="1324">
          <cell r="B1324" t="str">
            <v/>
          </cell>
        </row>
        <row r="1325">
          <cell r="B1325" t="str">
            <v/>
          </cell>
        </row>
        <row r="1326">
          <cell r="B1326" t="str">
            <v/>
          </cell>
        </row>
        <row r="1327">
          <cell r="B1327" t="str">
            <v/>
          </cell>
        </row>
        <row r="1328">
          <cell r="B1328" t="str">
            <v/>
          </cell>
        </row>
        <row r="1329">
          <cell r="B1329" t="str">
            <v/>
          </cell>
        </row>
        <row r="1330">
          <cell r="B1330" t="str">
            <v/>
          </cell>
        </row>
        <row r="1331">
          <cell r="B1331" t="str">
            <v/>
          </cell>
        </row>
        <row r="1332">
          <cell r="B1332" t="str">
            <v/>
          </cell>
        </row>
        <row r="1333">
          <cell r="B1333" t="str">
            <v/>
          </cell>
        </row>
        <row r="1334">
          <cell r="B1334" t="str">
            <v/>
          </cell>
        </row>
        <row r="1335">
          <cell r="B1335" t="str">
            <v/>
          </cell>
        </row>
        <row r="1336">
          <cell r="B1336" t="str">
            <v/>
          </cell>
        </row>
        <row r="1337">
          <cell r="B1337" t="str">
            <v/>
          </cell>
        </row>
        <row r="1338">
          <cell r="B1338" t="str">
            <v/>
          </cell>
        </row>
        <row r="1339">
          <cell r="B1339" t="str">
            <v/>
          </cell>
        </row>
        <row r="1340">
          <cell r="B1340" t="str">
            <v/>
          </cell>
        </row>
        <row r="1341">
          <cell r="B1341" t="str">
            <v/>
          </cell>
        </row>
        <row r="1342">
          <cell r="B1342" t="str">
            <v/>
          </cell>
        </row>
        <row r="1343">
          <cell r="B1343" t="str">
            <v/>
          </cell>
        </row>
        <row r="1344">
          <cell r="B1344" t="str">
            <v/>
          </cell>
        </row>
        <row r="1345">
          <cell r="B1345" t="str">
            <v/>
          </cell>
        </row>
        <row r="1346">
          <cell r="B1346" t="str">
            <v/>
          </cell>
        </row>
        <row r="1347">
          <cell r="B1347" t="str">
            <v/>
          </cell>
        </row>
        <row r="1348">
          <cell r="B1348" t="str">
            <v/>
          </cell>
        </row>
        <row r="1349">
          <cell r="B1349" t="str">
            <v/>
          </cell>
        </row>
        <row r="1350">
          <cell r="B1350" t="str">
            <v/>
          </cell>
        </row>
        <row r="1351">
          <cell r="B1351" t="str">
            <v/>
          </cell>
        </row>
        <row r="1352">
          <cell r="B1352" t="str">
            <v/>
          </cell>
        </row>
        <row r="1353">
          <cell r="B1353" t="str">
            <v/>
          </cell>
        </row>
        <row r="1354">
          <cell r="B1354" t="str">
            <v/>
          </cell>
        </row>
        <row r="1355">
          <cell r="B1355" t="str">
            <v/>
          </cell>
        </row>
        <row r="1356">
          <cell r="B1356" t="str">
            <v/>
          </cell>
        </row>
        <row r="1357">
          <cell r="B1357" t="str">
            <v/>
          </cell>
        </row>
        <row r="1358">
          <cell r="B1358" t="str">
            <v/>
          </cell>
        </row>
        <row r="1359">
          <cell r="B1359" t="str">
            <v/>
          </cell>
        </row>
        <row r="1360">
          <cell r="B1360" t="str">
            <v/>
          </cell>
        </row>
        <row r="1361">
          <cell r="B1361" t="str">
            <v/>
          </cell>
        </row>
        <row r="1362">
          <cell r="B1362" t="str">
            <v/>
          </cell>
        </row>
        <row r="1363">
          <cell r="B1363" t="str">
            <v/>
          </cell>
        </row>
        <row r="1364">
          <cell r="B1364" t="str">
            <v/>
          </cell>
        </row>
        <row r="1365">
          <cell r="B1365" t="str">
            <v/>
          </cell>
        </row>
        <row r="1366">
          <cell r="B1366" t="str">
            <v/>
          </cell>
        </row>
        <row r="1367">
          <cell r="B1367" t="str">
            <v/>
          </cell>
        </row>
        <row r="1368">
          <cell r="B1368" t="str">
            <v/>
          </cell>
        </row>
        <row r="1369">
          <cell r="B1369" t="str">
            <v/>
          </cell>
        </row>
        <row r="1370">
          <cell r="B1370" t="str">
            <v/>
          </cell>
        </row>
        <row r="1371">
          <cell r="B1371" t="str">
            <v/>
          </cell>
        </row>
        <row r="1372">
          <cell r="B1372" t="str">
            <v/>
          </cell>
        </row>
        <row r="1373">
          <cell r="B1373" t="str">
            <v/>
          </cell>
        </row>
        <row r="1374">
          <cell r="B1374" t="str">
            <v/>
          </cell>
        </row>
        <row r="1375">
          <cell r="B1375" t="str">
            <v/>
          </cell>
        </row>
        <row r="1376">
          <cell r="B1376" t="str">
            <v/>
          </cell>
        </row>
        <row r="1377">
          <cell r="B1377" t="str">
            <v/>
          </cell>
        </row>
        <row r="1378">
          <cell r="B1378" t="str">
            <v/>
          </cell>
        </row>
        <row r="1379">
          <cell r="B1379" t="str">
            <v/>
          </cell>
        </row>
        <row r="1380">
          <cell r="B1380" t="str">
            <v/>
          </cell>
        </row>
        <row r="1381">
          <cell r="B1381" t="str">
            <v/>
          </cell>
        </row>
        <row r="1382">
          <cell r="B1382" t="str">
            <v/>
          </cell>
        </row>
        <row r="1383">
          <cell r="B1383" t="str">
            <v/>
          </cell>
        </row>
        <row r="1384">
          <cell r="B1384" t="str">
            <v/>
          </cell>
        </row>
        <row r="1385">
          <cell r="B1385" t="str">
            <v/>
          </cell>
        </row>
        <row r="1386">
          <cell r="B1386" t="str">
            <v/>
          </cell>
        </row>
        <row r="1387">
          <cell r="B1387" t="str">
            <v/>
          </cell>
        </row>
        <row r="1388">
          <cell r="B1388" t="str">
            <v/>
          </cell>
        </row>
        <row r="1389">
          <cell r="B1389" t="str">
            <v/>
          </cell>
        </row>
        <row r="1390">
          <cell r="B1390" t="str">
            <v/>
          </cell>
        </row>
        <row r="1391">
          <cell r="B1391" t="str">
            <v/>
          </cell>
        </row>
        <row r="1392">
          <cell r="B1392" t="str">
            <v/>
          </cell>
        </row>
        <row r="1393">
          <cell r="B1393" t="str">
            <v/>
          </cell>
        </row>
        <row r="1394">
          <cell r="B1394" t="str">
            <v/>
          </cell>
        </row>
        <row r="1395">
          <cell r="B1395" t="str">
            <v/>
          </cell>
        </row>
        <row r="1396">
          <cell r="B1396" t="str">
            <v/>
          </cell>
        </row>
        <row r="1397">
          <cell r="B1397" t="str">
            <v/>
          </cell>
        </row>
        <row r="1398">
          <cell r="B1398" t="str">
            <v/>
          </cell>
        </row>
        <row r="1399">
          <cell r="B1399" t="str">
            <v/>
          </cell>
        </row>
        <row r="1400">
          <cell r="B1400" t="str">
            <v/>
          </cell>
        </row>
        <row r="1401">
          <cell r="B1401" t="str">
            <v/>
          </cell>
        </row>
        <row r="1402">
          <cell r="B1402" t="str">
            <v/>
          </cell>
        </row>
        <row r="1403">
          <cell r="B1403" t="str">
            <v/>
          </cell>
        </row>
        <row r="1404">
          <cell r="B1404" t="str">
            <v/>
          </cell>
        </row>
        <row r="1405">
          <cell r="B1405" t="str">
            <v/>
          </cell>
        </row>
        <row r="1406">
          <cell r="B1406" t="str">
            <v/>
          </cell>
        </row>
        <row r="1407">
          <cell r="B1407" t="str">
            <v/>
          </cell>
        </row>
        <row r="1408">
          <cell r="B1408" t="str">
            <v/>
          </cell>
        </row>
        <row r="1409">
          <cell r="B1409" t="str">
            <v/>
          </cell>
        </row>
        <row r="1410">
          <cell r="B1410" t="str">
            <v/>
          </cell>
        </row>
        <row r="1411">
          <cell r="B1411" t="str">
            <v/>
          </cell>
        </row>
        <row r="1412">
          <cell r="B1412" t="str">
            <v/>
          </cell>
        </row>
        <row r="1413">
          <cell r="B1413" t="str">
            <v/>
          </cell>
        </row>
        <row r="1414">
          <cell r="B1414" t="str">
            <v/>
          </cell>
        </row>
        <row r="1415">
          <cell r="B1415" t="str">
            <v/>
          </cell>
        </row>
        <row r="1416">
          <cell r="B1416" t="str">
            <v/>
          </cell>
        </row>
        <row r="1417">
          <cell r="B1417" t="str">
            <v/>
          </cell>
        </row>
        <row r="1418">
          <cell r="B1418" t="str">
            <v/>
          </cell>
        </row>
        <row r="1419">
          <cell r="B1419" t="str">
            <v/>
          </cell>
        </row>
        <row r="1420">
          <cell r="B1420" t="str">
            <v/>
          </cell>
        </row>
        <row r="1421">
          <cell r="B1421" t="str">
            <v/>
          </cell>
        </row>
        <row r="1422">
          <cell r="B1422" t="str">
            <v/>
          </cell>
        </row>
        <row r="1423">
          <cell r="B1423" t="str">
            <v/>
          </cell>
        </row>
        <row r="1424">
          <cell r="B1424" t="str">
            <v/>
          </cell>
        </row>
        <row r="1425">
          <cell r="B1425" t="str">
            <v/>
          </cell>
        </row>
        <row r="1426">
          <cell r="B1426" t="str">
            <v/>
          </cell>
        </row>
        <row r="1427">
          <cell r="B1427" t="str">
            <v/>
          </cell>
        </row>
        <row r="1428">
          <cell r="B1428" t="str">
            <v/>
          </cell>
        </row>
        <row r="1429">
          <cell r="B1429" t="str">
            <v/>
          </cell>
        </row>
        <row r="1430">
          <cell r="B1430" t="str">
            <v/>
          </cell>
        </row>
        <row r="1431">
          <cell r="B1431" t="str">
            <v/>
          </cell>
        </row>
        <row r="1432">
          <cell r="B1432" t="str">
            <v/>
          </cell>
        </row>
        <row r="1433">
          <cell r="B1433" t="str">
            <v/>
          </cell>
        </row>
        <row r="1434">
          <cell r="B1434" t="str">
            <v/>
          </cell>
        </row>
        <row r="1435">
          <cell r="B1435" t="str">
            <v/>
          </cell>
        </row>
        <row r="1436">
          <cell r="B1436" t="str">
            <v/>
          </cell>
        </row>
        <row r="1437">
          <cell r="B1437" t="str">
            <v/>
          </cell>
        </row>
        <row r="1438">
          <cell r="B1438" t="str">
            <v/>
          </cell>
        </row>
        <row r="1439">
          <cell r="B1439" t="str">
            <v/>
          </cell>
        </row>
        <row r="1440">
          <cell r="B1440" t="str">
            <v/>
          </cell>
        </row>
        <row r="1441">
          <cell r="B1441" t="str">
            <v/>
          </cell>
        </row>
        <row r="1442">
          <cell r="B1442" t="str">
            <v/>
          </cell>
        </row>
        <row r="1443">
          <cell r="B1443" t="str">
            <v/>
          </cell>
        </row>
        <row r="1444">
          <cell r="B1444" t="str">
            <v/>
          </cell>
        </row>
        <row r="1445">
          <cell r="B1445" t="str">
            <v/>
          </cell>
        </row>
        <row r="1446">
          <cell r="B1446" t="str">
            <v/>
          </cell>
        </row>
        <row r="1447">
          <cell r="B1447" t="str">
            <v/>
          </cell>
        </row>
        <row r="1448">
          <cell r="B1448" t="str">
            <v/>
          </cell>
        </row>
        <row r="1449">
          <cell r="B1449" t="str">
            <v/>
          </cell>
        </row>
        <row r="1450">
          <cell r="B1450" t="str">
            <v/>
          </cell>
        </row>
        <row r="1451">
          <cell r="B1451" t="str">
            <v/>
          </cell>
        </row>
        <row r="1452">
          <cell r="B1452" t="str">
            <v/>
          </cell>
        </row>
        <row r="1453">
          <cell r="B1453" t="str">
            <v/>
          </cell>
        </row>
        <row r="1454">
          <cell r="B1454" t="str">
            <v/>
          </cell>
        </row>
        <row r="1455">
          <cell r="B1455" t="str">
            <v/>
          </cell>
        </row>
        <row r="1456">
          <cell r="B1456" t="str">
            <v/>
          </cell>
        </row>
        <row r="1457">
          <cell r="B1457" t="str">
            <v/>
          </cell>
        </row>
        <row r="1458">
          <cell r="B1458" t="str">
            <v/>
          </cell>
        </row>
        <row r="1459">
          <cell r="B1459" t="str">
            <v/>
          </cell>
        </row>
        <row r="1460">
          <cell r="B1460" t="str">
            <v/>
          </cell>
        </row>
        <row r="1461">
          <cell r="B1461" t="str">
            <v/>
          </cell>
        </row>
        <row r="1462">
          <cell r="B1462" t="str">
            <v/>
          </cell>
        </row>
        <row r="1463">
          <cell r="B1463" t="str">
            <v/>
          </cell>
        </row>
        <row r="1464">
          <cell r="B1464" t="str">
            <v/>
          </cell>
        </row>
        <row r="1465">
          <cell r="B1465" t="str">
            <v/>
          </cell>
        </row>
        <row r="1466">
          <cell r="B1466" t="str">
            <v/>
          </cell>
        </row>
        <row r="1467">
          <cell r="B1467" t="str">
            <v/>
          </cell>
        </row>
        <row r="1468">
          <cell r="B1468" t="str">
            <v/>
          </cell>
        </row>
        <row r="1469">
          <cell r="B1469" t="str">
            <v/>
          </cell>
        </row>
        <row r="1470">
          <cell r="B1470" t="str">
            <v/>
          </cell>
        </row>
        <row r="1471">
          <cell r="B1471" t="str">
            <v/>
          </cell>
        </row>
        <row r="1472">
          <cell r="B1472" t="str">
            <v/>
          </cell>
        </row>
        <row r="1473">
          <cell r="B1473" t="str">
            <v/>
          </cell>
        </row>
        <row r="1474">
          <cell r="B1474" t="str">
            <v/>
          </cell>
        </row>
        <row r="1475">
          <cell r="B1475" t="str">
            <v/>
          </cell>
        </row>
        <row r="1476">
          <cell r="B1476" t="str">
            <v/>
          </cell>
        </row>
        <row r="1477">
          <cell r="B1477" t="str">
            <v/>
          </cell>
        </row>
        <row r="1478">
          <cell r="B1478" t="str">
            <v/>
          </cell>
        </row>
        <row r="1479">
          <cell r="B1479" t="str">
            <v/>
          </cell>
        </row>
        <row r="1480">
          <cell r="B1480" t="str">
            <v/>
          </cell>
        </row>
        <row r="1481">
          <cell r="B1481" t="str">
            <v/>
          </cell>
        </row>
        <row r="1482">
          <cell r="B1482" t="str">
            <v/>
          </cell>
        </row>
        <row r="1483">
          <cell r="B1483" t="str">
            <v/>
          </cell>
        </row>
        <row r="1484">
          <cell r="B1484" t="str">
            <v/>
          </cell>
        </row>
        <row r="1485">
          <cell r="B1485" t="str">
            <v/>
          </cell>
        </row>
        <row r="1486">
          <cell r="B1486" t="str">
            <v/>
          </cell>
        </row>
        <row r="1487">
          <cell r="B1487" t="str">
            <v/>
          </cell>
        </row>
        <row r="1488">
          <cell r="B1488" t="str">
            <v/>
          </cell>
        </row>
        <row r="1489">
          <cell r="B1489" t="str">
            <v/>
          </cell>
        </row>
        <row r="1490">
          <cell r="B1490" t="str">
            <v/>
          </cell>
        </row>
        <row r="1491">
          <cell r="B1491" t="str">
            <v/>
          </cell>
        </row>
        <row r="1492">
          <cell r="B1492" t="str">
            <v/>
          </cell>
        </row>
        <row r="1493">
          <cell r="B1493" t="str">
            <v/>
          </cell>
        </row>
        <row r="1494">
          <cell r="B1494" t="str">
            <v/>
          </cell>
        </row>
        <row r="1495">
          <cell r="B1495" t="str">
            <v/>
          </cell>
        </row>
        <row r="1496">
          <cell r="B1496" t="str">
            <v/>
          </cell>
        </row>
        <row r="1497">
          <cell r="B1497" t="str">
            <v/>
          </cell>
        </row>
        <row r="1498">
          <cell r="B1498" t="str">
            <v/>
          </cell>
        </row>
        <row r="1499">
          <cell r="B1499" t="str">
            <v/>
          </cell>
        </row>
        <row r="1500">
          <cell r="B1500" t="str">
            <v/>
          </cell>
        </row>
        <row r="1501">
          <cell r="B1501" t="str">
            <v/>
          </cell>
        </row>
        <row r="1502">
          <cell r="B1502" t="str">
            <v/>
          </cell>
        </row>
        <row r="1503">
          <cell r="B1503" t="str">
            <v/>
          </cell>
        </row>
        <row r="1504">
          <cell r="B1504" t="str">
            <v/>
          </cell>
        </row>
        <row r="1505">
          <cell r="B1505" t="str">
            <v/>
          </cell>
        </row>
        <row r="1506">
          <cell r="B1506" t="str">
            <v/>
          </cell>
        </row>
        <row r="1507">
          <cell r="B1507" t="str">
            <v/>
          </cell>
        </row>
        <row r="1508">
          <cell r="B1508" t="str">
            <v/>
          </cell>
        </row>
        <row r="1509">
          <cell r="B1509" t="str">
            <v/>
          </cell>
        </row>
        <row r="1510">
          <cell r="B1510" t="str">
            <v/>
          </cell>
        </row>
        <row r="1511">
          <cell r="B1511" t="str">
            <v/>
          </cell>
        </row>
        <row r="1512">
          <cell r="B1512" t="str">
            <v/>
          </cell>
        </row>
        <row r="1513">
          <cell r="B1513" t="str">
            <v/>
          </cell>
        </row>
        <row r="1514">
          <cell r="B1514" t="str">
            <v/>
          </cell>
        </row>
        <row r="1515">
          <cell r="B1515" t="str">
            <v/>
          </cell>
        </row>
        <row r="1516">
          <cell r="B1516" t="str">
            <v/>
          </cell>
        </row>
        <row r="1517">
          <cell r="B1517" t="str">
            <v/>
          </cell>
        </row>
        <row r="1518">
          <cell r="B1518" t="str">
            <v/>
          </cell>
        </row>
        <row r="1519">
          <cell r="B1519" t="str">
            <v/>
          </cell>
        </row>
        <row r="1520">
          <cell r="B1520" t="str">
            <v/>
          </cell>
        </row>
        <row r="1521">
          <cell r="B1521" t="str">
            <v/>
          </cell>
        </row>
        <row r="1522">
          <cell r="B1522" t="str">
            <v/>
          </cell>
        </row>
        <row r="1523">
          <cell r="B1523" t="str">
            <v/>
          </cell>
        </row>
        <row r="1524">
          <cell r="B1524" t="str">
            <v/>
          </cell>
        </row>
        <row r="1525">
          <cell r="B1525" t="str">
            <v/>
          </cell>
        </row>
        <row r="1526">
          <cell r="B1526" t="str">
            <v/>
          </cell>
        </row>
        <row r="1527">
          <cell r="B1527" t="str">
            <v/>
          </cell>
        </row>
        <row r="1528">
          <cell r="B1528" t="str">
            <v/>
          </cell>
        </row>
        <row r="1529">
          <cell r="B1529" t="str">
            <v/>
          </cell>
        </row>
        <row r="1530">
          <cell r="B1530" t="str">
            <v/>
          </cell>
        </row>
        <row r="1531">
          <cell r="B1531" t="str">
            <v/>
          </cell>
        </row>
        <row r="1532">
          <cell r="B1532" t="str">
            <v/>
          </cell>
        </row>
        <row r="1533">
          <cell r="B1533" t="str">
            <v/>
          </cell>
        </row>
        <row r="1534">
          <cell r="B1534" t="str">
            <v/>
          </cell>
        </row>
        <row r="1535">
          <cell r="B1535" t="str">
            <v/>
          </cell>
        </row>
        <row r="1536">
          <cell r="B1536" t="str">
            <v/>
          </cell>
        </row>
        <row r="1537">
          <cell r="B1537" t="str">
            <v/>
          </cell>
        </row>
        <row r="1538">
          <cell r="B1538" t="str">
            <v/>
          </cell>
        </row>
        <row r="1539">
          <cell r="B1539" t="str">
            <v/>
          </cell>
        </row>
        <row r="1540">
          <cell r="B1540" t="str">
            <v/>
          </cell>
        </row>
        <row r="1541">
          <cell r="B1541" t="str">
            <v/>
          </cell>
        </row>
        <row r="1542">
          <cell r="B1542" t="str">
            <v/>
          </cell>
        </row>
        <row r="1543">
          <cell r="B1543" t="str">
            <v/>
          </cell>
        </row>
        <row r="1544">
          <cell r="B1544" t="str">
            <v/>
          </cell>
        </row>
        <row r="1545">
          <cell r="B1545" t="str">
            <v/>
          </cell>
        </row>
        <row r="1546">
          <cell r="B1546" t="str">
            <v/>
          </cell>
        </row>
        <row r="1547">
          <cell r="B1547" t="str">
            <v/>
          </cell>
        </row>
        <row r="1548">
          <cell r="B1548" t="str">
            <v/>
          </cell>
        </row>
        <row r="1549">
          <cell r="B1549" t="str">
            <v/>
          </cell>
        </row>
        <row r="1550">
          <cell r="B1550" t="str">
            <v/>
          </cell>
        </row>
        <row r="1551">
          <cell r="B1551" t="str">
            <v/>
          </cell>
        </row>
        <row r="1552">
          <cell r="B1552" t="str">
            <v/>
          </cell>
        </row>
        <row r="1553">
          <cell r="B1553" t="str">
            <v/>
          </cell>
        </row>
        <row r="1554">
          <cell r="B1554" t="str">
            <v/>
          </cell>
        </row>
        <row r="1555">
          <cell r="B1555" t="str">
            <v/>
          </cell>
        </row>
        <row r="1556">
          <cell r="B1556" t="str">
            <v/>
          </cell>
        </row>
        <row r="1557">
          <cell r="B1557" t="str">
            <v/>
          </cell>
        </row>
        <row r="1558">
          <cell r="B1558" t="str">
            <v/>
          </cell>
        </row>
        <row r="1559">
          <cell r="B1559" t="str">
            <v/>
          </cell>
        </row>
        <row r="1560">
          <cell r="B1560" t="str">
            <v/>
          </cell>
        </row>
        <row r="1561">
          <cell r="B1561" t="str">
            <v/>
          </cell>
        </row>
        <row r="1562">
          <cell r="B1562" t="str">
            <v/>
          </cell>
        </row>
        <row r="1563">
          <cell r="B1563" t="str">
            <v/>
          </cell>
        </row>
        <row r="1564">
          <cell r="B1564" t="str">
            <v/>
          </cell>
        </row>
        <row r="1565">
          <cell r="B1565" t="str">
            <v/>
          </cell>
        </row>
        <row r="1566">
          <cell r="B1566" t="str">
            <v/>
          </cell>
        </row>
        <row r="1567">
          <cell r="B1567" t="str">
            <v/>
          </cell>
        </row>
        <row r="1568">
          <cell r="B1568" t="str">
            <v/>
          </cell>
        </row>
        <row r="1569">
          <cell r="B1569" t="str">
            <v/>
          </cell>
        </row>
        <row r="1570">
          <cell r="B1570" t="str">
            <v/>
          </cell>
        </row>
        <row r="1571">
          <cell r="B1571" t="str">
            <v/>
          </cell>
        </row>
        <row r="1572">
          <cell r="B1572" t="str">
            <v/>
          </cell>
        </row>
        <row r="1573">
          <cell r="B1573" t="str">
            <v/>
          </cell>
        </row>
        <row r="1574">
          <cell r="B1574" t="str">
            <v/>
          </cell>
        </row>
        <row r="1575">
          <cell r="B1575" t="str">
            <v/>
          </cell>
        </row>
        <row r="1576">
          <cell r="B1576" t="str">
            <v/>
          </cell>
        </row>
        <row r="1577">
          <cell r="B1577" t="str">
            <v/>
          </cell>
        </row>
        <row r="1578">
          <cell r="B1578" t="str">
            <v/>
          </cell>
        </row>
        <row r="1579">
          <cell r="B1579" t="str">
            <v/>
          </cell>
        </row>
        <row r="1580">
          <cell r="B1580" t="str">
            <v/>
          </cell>
        </row>
        <row r="1581">
          <cell r="B1581" t="str">
            <v/>
          </cell>
        </row>
        <row r="1582">
          <cell r="B1582" t="str">
            <v/>
          </cell>
        </row>
        <row r="1583">
          <cell r="B1583" t="str">
            <v/>
          </cell>
        </row>
        <row r="1584">
          <cell r="B1584" t="str">
            <v/>
          </cell>
        </row>
        <row r="1585">
          <cell r="B1585" t="str">
            <v/>
          </cell>
        </row>
        <row r="1586">
          <cell r="B1586" t="str">
            <v/>
          </cell>
        </row>
        <row r="1587">
          <cell r="B1587" t="str">
            <v/>
          </cell>
        </row>
        <row r="1588">
          <cell r="B1588" t="str">
            <v/>
          </cell>
        </row>
        <row r="1589">
          <cell r="B1589" t="str">
            <v/>
          </cell>
        </row>
        <row r="1590">
          <cell r="B1590" t="str">
            <v/>
          </cell>
        </row>
        <row r="1591">
          <cell r="B1591" t="str">
            <v/>
          </cell>
        </row>
        <row r="1592">
          <cell r="B1592" t="str">
            <v/>
          </cell>
        </row>
        <row r="1593">
          <cell r="B1593" t="str">
            <v/>
          </cell>
        </row>
        <row r="1594">
          <cell r="B1594" t="str">
            <v/>
          </cell>
        </row>
        <row r="1595">
          <cell r="B1595" t="str">
            <v/>
          </cell>
        </row>
        <row r="1596">
          <cell r="B1596" t="str">
            <v/>
          </cell>
        </row>
        <row r="1597">
          <cell r="B1597" t="str">
            <v/>
          </cell>
        </row>
        <row r="1598">
          <cell r="B1598" t="str">
            <v/>
          </cell>
        </row>
        <row r="1599">
          <cell r="B1599" t="str">
            <v/>
          </cell>
        </row>
        <row r="1600">
          <cell r="B1600" t="str">
            <v/>
          </cell>
        </row>
        <row r="1601">
          <cell r="B1601" t="str">
            <v/>
          </cell>
        </row>
        <row r="1602">
          <cell r="B1602" t="str">
            <v/>
          </cell>
        </row>
        <row r="1603">
          <cell r="B1603" t="str">
            <v/>
          </cell>
        </row>
        <row r="1604">
          <cell r="B1604" t="str">
            <v/>
          </cell>
        </row>
        <row r="1605">
          <cell r="B1605" t="str">
            <v/>
          </cell>
        </row>
        <row r="1606">
          <cell r="B1606" t="str">
            <v/>
          </cell>
        </row>
        <row r="1607">
          <cell r="B1607" t="str">
            <v/>
          </cell>
        </row>
        <row r="1608">
          <cell r="B1608" t="str">
            <v/>
          </cell>
        </row>
        <row r="1609">
          <cell r="B1609" t="str">
            <v/>
          </cell>
        </row>
        <row r="1610">
          <cell r="B1610" t="str">
            <v/>
          </cell>
        </row>
        <row r="1611">
          <cell r="B1611" t="str">
            <v/>
          </cell>
        </row>
        <row r="1612">
          <cell r="B1612" t="str">
            <v/>
          </cell>
        </row>
        <row r="1613">
          <cell r="B1613" t="str">
            <v/>
          </cell>
        </row>
        <row r="1614">
          <cell r="B1614" t="str">
            <v/>
          </cell>
        </row>
        <row r="1615">
          <cell r="B1615" t="str">
            <v/>
          </cell>
        </row>
        <row r="1616">
          <cell r="B1616" t="str">
            <v/>
          </cell>
        </row>
        <row r="1617">
          <cell r="B1617" t="str">
            <v/>
          </cell>
        </row>
        <row r="1618">
          <cell r="B1618" t="str">
            <v/>
          </cell>
        </row>
        <row r="1619">
          <cell r="B1619" t="str">
            <v/>
          </cell>
        </row>
        <row r="1620">
          <cell r="B1620" t="str">
            <v/>
          </cell>
        </row>
        <row r="1621">
          <cell r="B1621" t="str">
            <v/>
          </cell>
        </row>
        <row r="1622">
          <cell r="B1622" t="str">
            <v/>
          </cell>
        </row>
        <row r="1623">
          <cell r="B1623" t="str">
            <v/>
          </cell>
        </row>
        <row r="1624">
          <cell r="B1624" t="str">
            <v/>
          </cell>
        </row>
        <row r="1625">
          <cell r="B1625" t="str">
            <v/>
          </cell>
        </row>
        <row r="1626">
          <cell r="B1626" t="str">
            <v/>
          </cell>
        </row>
        <row r="1627">
          <cell r="B1627" t="str">
            <v/>
          </cell>
        </row>
        <row r="1628">
          <cell r="B1628" t="str">
            <v/>
          </cell>
        </row>
        <row r="1629">
          <cell r="B1629" t="str">
            <v/>
          </cell>
        </row>
        <row r="1630">
          <cell r="B1630" t="str">
            <v/>
          </cell>
        </row>
        <row r="1631">
          <cell r="B1631" t="str">
            <v/>
          </cell>
        </row>
        <row r="1632">
          <cell r="B1632" t="str">
            <v/>
          </cell>
        </row>
        <row r="1633">
          <cell r="B1633" t="str">
            <v/>
          </cell>
        </row>
        <row r="1634">
          <cell r="B1634" t="str">
            <v/>
          </cell>
        </row>
        <row r="1635">
          <cell r="B1635" t="str">
            <v/>
          </cell>
        </row>
        <row r="1636">
          <cell r="B1636" t="str">
            <v/>
          </cell>
        </row>
        <row r="1637">
          <cell r="B1637" t="str">
            <v/>
          </cell>
        </row>
        <row r="1638">
          <cell r="B1638" t="str">
            <v/>
          </cell>
        </row>
        <row r="1639">
          <cell r="B1639" t="str">
            <v/>
          </cell>
        </row>
        <row r="1640">
          <cell r="B1640" t="str">
            <v/>
          </cell>
        </row>
        <row r="1641">
          <cell r="B1641" t="str">
            <v/>
          </cell>
        </row>
        <row r="1642">
          <cell r="B1642" t="str">
            <v/>
          </cell>
        </row>
        <row r="1643">
          <cell r="B1643" t="str">
            <v/>
          </cell>
        </row>
        <row r="1644">
          <cell r="B1644" t="str">
            <v/>
          </cell>
        </row>
        <row r="1645">
          <cell r="B1645" t="str">
            <v/>
          </cell>
        </row>
        <row r="1646">
          <cell r="B1646" t="str">
            <v/>
          </cell>
        </row>
        <row r="1647">
          <cell r="B1647" t="str">
            <v/>
          </cell>
        </row>
        <row r="1648">
          <cell r="B1648" t="str">
            <v/>
          </cell>
        </row>
        <row r="1649">
          <cell r="B1649" t="str">
            <v/>
          </cell>
        </row>
        <row r="1650">
          <cell r="B1650" t="str">
            <v/>
          </cell>
        </row>
        <row r="1651">
          <cell r="B1651" t="str">
            <v/>
          </cell>
        </row>
        <row r="1652">
          <cell r="B1652" t="str">
            <v/>
          </cell>
        </row>
        <row r="1653">
          <cell r="B1653" t="str">
            <v/>
          </cell>
        </row>
        <row r="1654">
          <cell r="B1654" t="str">
            <v/>
          </cell>
        </row>
        <row r="1655">
          <cell r="B1655" t="str">
            <v/>
          </cell>
        </row>
        <row r="1656">
          <cell r="B1656" t="str">
            <v/>
          </cell>
        </row>
        <row r="1657">
          <cell r="B1657" t="str">
            <v/>
          </cell>
        </row>
        <row r="1658">
          <cell r="B1658" t="str">
            <v/>
          </cell>
        </row>
        <row r="1659">
          <cell r="B1659" t="str">
            <v/>
          </cell>
        </row>
        <row r="1660">
          <cell r="B1660" t="str">
            <v/>
          </cell>
        </row>
        <row r="1661">
          <cell r="B1661" t="str">
            <v/>
          </cell>
        </row>
        <row r="1662">
          <cell r="B1662" t="str">
            <v/>
          </cell>
        </row>
        <row r="1663">
          <cell r="B1663" t="str">
            <v/>
          </cell>
        </row>
        <row r="1664">
          <cell r="B1664" t="str">
            <v/>
          </cell>
        </row>
        <row r="1665">
          <cell r="B1665" t="str">
            <v/>
          </cell>
        </row>
        <row r="1666">
          <cell r="B1666" t="str">
            <v/>
          </cell>
        </row>
        <row r="1667">
          <cell r="B1667" t="str">
            <v/>
          </cell>
        </row>
        <row r="1668">
          <cell r="B1668" t="str">
            <v/>
          </cell>
        </row>
        <row r="1669">
          <cell r="B1669" t="str">
            <v/>
          </cell>
        </row>
        <row r="1670">
          <cell r="B1670" t="str">
            <v/>
          </cell>
        </row>
        <row r="1671">
          <cell r="B1671" t="str">
            <v/>
          </cell>
        </row>
        <row r="1672">
          <cell r="B1672" t="str">
            <v/>
          </cell>
        </row>
        <row r="1673">
          <cell r="B1673" t="str">
            <v/>
          </cell>
        </row>
        <row r="1674">
          <cell r="B1674" t="str">
            <v/>
          </cell>
        </row>
        <row r="1675">
          <cell r="B1675" t="str">
            <v/>
          </cell>
        </row>
        <row r="1676">
          <cell r="B1676" t="str">
            <v/>
          </cell>
        </row>
        <row r="1677">
          <cell r="B1677" t="str">
            <v/>
          </cell>
        </row>
        <row r="1678">
          <cell r="B1678" t="str">
            <v/>
          </cell>
        </row>
        <row r="1679">
          <cell r="B1679" t="str">
            <v/>
          </cell>
        </row>
        <row r="1680">
          <cell r="B1680" t="str">
            <v/>
          </cell>
        </row>
        <row r="1681">
          <cell r="B1681" t="str">
            <v/>
          </cell>
        </row>
        <row r="1682">
          <cell r="B1682" t="str">
            <v/>
          </cell>
        </row>
        <row r="1683">
          <cell r="B1683" t="str">
            <v/>
          </cell>
        </row>
        <row r="1684">
          <cell r="B1684" t="str">
            <v/>
          </cell>
        </row>
        <row r="1685">
          <cell r="B1685" t="str">
            <v/>
          </cell>
        </row>
        <row r="1686">
          <cell r="B1686" t="str">
            <v/>
          </cell>
        </row>
        <row r="1687">
          <cell r="B1687" t="str">
            <v/>
          </cell>
        </row>
        <row r="1688">
          <cell r="B1688" t="str">
            <v/>
          </cell>
        </row>
        <row r="1689">
          <cell r="B1689" t="str">
            <v/>
          </cell>
        </row>
        <row r="1690">
          <cell r="B1690" t="str">
            <v/>
          </cell>
        </row>
        <row r="1691">
          <cell r="B1691" t="str">
            <v/>
          </cell>
        </row>
        <row r="1692">
          <cell r="B1692" t="str">
            <v/>
          </cell>
        </row>
        <row r="1693">
          <cell r="B1693" t="str">
            <v/>
          </cell>
        </row>
        <row r="1694">
          <cell r="B1694" t="str">
            <v/>
          </cell>
        </row>
        <row r="1695">
          <cell r="B1695" t="str">
            <v/>
          </cell>
        </row>
        <row r="1696">
          <cell r="B1696" t="str">
            <v/>
          </cell>
        </row>
        <row r="1697">
          <cell r="B1697" t="str">
            <v/>
          </cell>
        </row>
        <row r="1698">
          <cell r="B1698" t="str">
            <v/>
          </cell>
        </row>
        <row r="1699">
          <cell r="B1699" t="str">
            <v/>
          </cell>
        </row>
        <row r="1700">
          <cell r="B1700" t="str">
            <v/>
          </cell>
        </row>
        <row r="1701">
          <cell r="B1701" t="str">
            <v/>
          </cell>
        </row>
        <row r="1702">
          <cell r="B1702" t="str">
            <v/>
          </cell>
        </row>
        <row r="1703">
          <cell r="B1703" t="str">
            <v/>
          </cell>
        </row>
        <row r="1704">
          <cell r="B1704" t="str">
            <v/>
          </cell>
        </row>
        <row r="1705">
          <cell r="B1705" t="str">
            <v/>
          </cell>
        </row>
        <row r="1706">
          <cell r="B1706" t="str">
            <v/>
          </cell>
        </row>
        <row r="1707">
          <cell r="B1707" t="str">
            <v/>
          </cell>
        </row>
        <row r="1708">
          <cell r="B1708" t="str">
            <v/>
          </cell>
        </row>
        <row r="1709">
          <cell r="B1709" t="str">
            <v/>
          </cell>
        </row>
        <row r="1710">
          <cell r="B1710" t="str">
            <v/>
          </cell>
        </row>
        <row r="1711">
          <cell r="B1711" t="str">
            <v/>
          </cell>
        </row>
        <row r="1712">
          <cell r="B1712" t="str">
            <v/>
          </cell>
        </row>
        <row r="1713">
          <cell r="B1713" t="str">
            <v/>
          </cell>
        </row>
        <row r="1714">
          <cell r="B1714" t="str">
            <v/>
          </cell>
        </row>
        <row r="1715">
          <cell r="B1715" t="str">
            <v/>
          </cell>
        </row>
        <row r="1716">
          <cell r="B1716" t="str">
            <v/>
          </cell>
        </row>
        <row r="1717">
          <cell r="B1717" t="str">
            <v/>
          </cell>
        </row>
        <row r="1718">
          <cell r="B1718" t="str">
            <v/>
          </cell>
        </row>
        <row r="1719">
          <cell r="B1719" t="str">
            <v/>
          </cell>
        </row>
        <row r="1720">
          <cell r="B1720" t="str">
            <v/>
          </cell>
        </row>
        <row r="1721">
          <cell r="B1721" t="str">
            <v/>
          </cell>
        </row>
        <row r="1722">
          <cell r="B1722" t="str">
            <v/>
          </cell>
        </row>
        <row r="1723">
          <cell r="B1723" t="str">
            <v/>
          </cell>
        </row>
        <row r="1724">
          <cell r="B1724" t="str">
            <v/>
          </cell>
        </row>
        <row r="1725">
          <cell r="B1725" t="str">
            <v/>
          </cell>
        </row>
        <row r="1726">
          <cell r="B1726" t="str">
            <v/>
          </cell>
        </row>
        <row r="1727">
          <cell r="B1727" t="str">
            <v/>
          </cell>
        </row>
        <row r="1728">
          <cell r="B1728" t="str">
            <v/>
          </cell>
        </row>
        <row r="1729">
          <cell r="B1729" t="str">
            <v/>
          </cell>
        </row>
        <row r="1730">
          <cell r="B1730" t="str">
            <v/>
          </cell>
        </row>
        <row r="1731">
          <cell r="B1731" t="str">
            <v/>
          </cell>
        </row>
        <row r="1732">
          <cell r="B1732" t="str">
            <v/>
          </cell>
        </row>
        <row r="1733">
          <cell r="B1733" t="str">
            <v/>
          </cell>
        </row>
        <row r="1734">
          <cell r="B1734" t="str">
            <v/>
          </cell>
        </row>
        <row r="1735">
          <cell r="B1735" t="str">
            <v/>
          </cell>
        </row>
        <row r="1736">
          <cell r="B1736" t="str">
            <v/>
          </cell>
        </row>
        <row r="1737">
          <cell r="B1737" t="str">
            <v/>
          </cell>
        </row>
        <row r="1738">
          <cell r="B1738" t="str">
            <v/>
          </cell>
        </row>
        <row r="1739">
          <cell r="B1739" t="str">
            <v/>
          </cell>
        </row>
        <row r="1740">
          <cell r="B1740" t="str">
            <v/>
          </cell>
        </row>
        <row r="1741">
          <cell r="B1741" t="str">
            <v/>
          </cell>
        </row>
        <row r="1742">
          <cell r="B1742" t="str">
            <v/>
          </cell>
        </row>
        <row r="1743">
          <cell r="B1743" t="str">
            <v/>
          </cell>
        </row>
        <row r="1744">
          <cell r="B1744" t="str">
            <v/>
          </cell>
        </row>
        <row r="1745">
          <cell r="B1745" t="str">
            <v/>
          </cell>
        </row>
        <row r="1746">
          <cell r="B1746" t="str">
            <v/>
          </cell>
        </row>
        <row r="1747">
          <cell r="B1747" t="str">
            <v/>
          </cell>
        </row>
        <row r="1748">
          <cell r="B1748" t="str">
            <v/>
          </cell>
        </row>
        <row r="1749">
          <cell r="B1749" t="str">
            <v/>
          </cell>
        </row>
        <row r="1750">
          <cell r="B1750" t="str">
            <v/>
          </cell>
        </row>
        <row r="1751">
          <cell r="B1751" t="str">
            <v/>
          </cell>
        </row>
        <row r="1752">
          <cell r="B1752" t="str">
            <v/>
          </cell>
        </row>
        <row r="1753">
          <cell r="B1753" t="str">
            <v/>
          </cell>
        </row>
        <row r="1754">
          <cell r="B1754" t="str">
            <v/>
          </cell>
        </row>
        <row r="1755">
          <cell r="B1755" t="str">
            <v/>
          </cell>
        </row>
        <row r="1756">
          <cell r="B1756" t="str">
            <v/>
          </cell>
        </row>
        <row r="1757">
          <cell r="B1757" t="str">
            <v/>
          </cell>
        </row>
        <row r="1758">
          <cell r="B1758" t="str">
            <v/>
          </cell>
        </row>
        <row r="1759">
          <cell r="B1759" t="str">
            <v/>
          </cell>
        </row>
        <row r="1760">
          <cell r="B1760" t="str">
            <v/>
          </cell>
        </row>
        <row r="1761">
          <cell r="B1761" t="str">
            <v/>
          </cell>
        </row>
        <row r="1762">
          <cell r="B1762" t="str">
            <v/>
          </cell>
        </row>
        <row r="1763">
          <cell r="B1763" t="str">
            <v/>
          </cell>
        </row>
        <row r="1764">
          <cell r="B1764" t="str">
            <v/>
          </cell>
        </row>
        <row r="1765">
          <cell r="B1765" t="str">
            <v/>
          </cell>
        </row>
        <row r="1766">
          <cell r="B1766" t="str">
            <v/>
          </cell>
        </row>
        <row r="1767">
          <cell r="B1767" t="str">
            <v/>
          </cell>
        </row>
        <row r="1768">
          <cell r="B1768" t="str">
            <v/>
          </cell>
        </row>
        <row r="1769">
          <cell r="B1769" t="str">
            <v/>
          </cell>
        </row>
        <row r="1770">
          <cell r="B1770" t="str">
            <v/>
          </cell>
        </row>
        <row r="1771">
          <cell r="B1771" t="str">
            <v/>
          </cell>
        </row>
        <row r="1772">
          <cell r="B1772" t="str">
            <v/>
          </cell>
        </row>
        <row r="1773">
          <cell r="B1773" t="str">
            <v/>
          </cell>
        </row>
        <row r="1774">
          <cell r="B1774" t="str">
            <v/>
          </cell>
        </row>
        <row r="1775">
          <cell r="B1775" t="str">
            <v/>
          </cell>
        </row>
        <row r="1776">
          <cell r="B1776" t="str">
            <v/>
          </cell>
        </row>
        <row r="1777">
          <cell r="B1777" t="str">
            <v/>
          </cell>
        </row>
        <row r="1778">
          <cell r="B1778" t="str">
            <v/>
          </cell>
        </row>
        <row r="1779">
          <cell r="B1779" t="str">
            <v/>
          </cell>
        </row>
        <row r="1780">
          <cell r="B1780" t="str">
            <v/>
          </cell>
        </row>
        <row r="1781">
          <cell r="B1781" t="str">
            <v/>
          </cell>
        </row>
        <row r="1782">
          <cell r="B1782" t="str">
            <v/>
          </cell>
        </row>
        <row r="1783">
          <cell r="B1783" t="str">
            <v/>
          </cell>
        </row>
        <row r="1784">
          <cell r="B1784" t="str">
            <v/>
          </cell>
        </row>
        <row r="1785">
          <cell r="B1785" t="str">
            <v/>
          </cell>
        </row>
        <row r="1786">
          <cell r="B1786" t="str">
            <v/>
          </cell>
        </row>
        <row r="1787">
          <cell r="B1787" t="str">
            <v/>
          </cell>
        </row>
        <row r="1788">
          <cell r="B1788" t="str">
            <v/>
          </cell>
        </row>
        <row r="1789">
          <cell r="B1789" t="str">
            <v/>
          </cell>
        </row>
        <row r="1790">
          <cell r="B1790" t="str">
            <v/>
          </cell>
        </row>
        <row r="1791">
          <cell r="B1791" t="str">
            <v/>
          </cell>
        </row>
        <row r="1792">
          <cell r="B1792" t="str">
            <v/>
          </cell>
        </row>
        <row r="1793">
          <cell r="B1793" t="str">
            <v/>
          </cell>
        </row>
        <row r="1794">
          <cell r="B1794" t="str">
            <v/>
          </cell>
        </row>
        <row r="1795">
          <cell r="B1795" t="str">
            <v/>
          </cell>
        </row>
        <row r="1796">
          <cell r="B1796" t="str">
            <v/>
          </cell>
        </row>
        <row r="1797">
          <cell r="B1797" t="str">
            <v/>
          </cell>
        </row>
        <row r="1798">
          <cell r="B1798" t="str">
            <v/>
          </cell>
        </row>
        <row r="1799">
          <cell r="B1799" t="str">
            <v/>
          </cell>
        </row>
        <row r="1800">
          <cell r="B1800" t="str">
            <v/>
          </cell>
        </row>
        <row r="1801">
          <cell r="B1801" t="str">
            <v/>
          </cell>
        </row>
        <row r="1802">
          <cell r="B1802" t="str">
            <v/>
          </cell>
        </row>
        <row r="1803">
          <cell r="B1803" t="str">
            <v/>
          </cell>
        </row>
        <row r="1804">
          <cell r="B1804" t="str">
            <v/>
          </cell>
        </row>
        <row r="1805">
          <cell r="B1805" t="str">
            <v/>
          </cell>
        </row>
        <row r="1806">
          <cell r="B1806" t="str">
            <v/>
          </cell>
        </row>
        <row r="1807">
          <cell r="B1807" t="str">
            <v/>
          </cell>
        </row>
        <row r="1808">
          <cell r="B1808" t="str">
            <v/>
          </cell>
        </row>
        <row r="1809">
          <cell r="B1809" t="str">
            <v/>
          </cell>
        </row>
        <row r="1810">
          <cell r="B1810" t="str">
            <v/>
          </cell>
        </row>
        <row r="1811">
          <cell r="B1811" t="str">
            <v/>
          </cell>
        </row>
        <row r="1812">
          <cell r="B1812" t="str">
            <v/>
          </cell>
        </row>
        <row r="1813">
          <cell r="B1813" t="str">
            <v/>
          </cell>
        </row>
        <row r="1814">
          <cell r="B1814" t="str">
            <v/>
          </cell>
        </row>
        <row r="1815">
          <cell r="B1815" t="str">
            <v/>
          </cell>
        </row>
        <row r="1816">
          <cell r="B1816" t="str">
            <v/>
          </cell>
        </row>
        <row r="1817">
          <cell r="B1817" t="str">
            <v/>
          </cell>
        </row>
        <row r="1818">
          <cell r="B1818" t="str">
            <v/>
          </cell>
        </row>
        <row r="1819">
          <cell r="B1819" t="str">
            <v/>
          </cell>
        </row>
        <row r="1820">
          <cell r="B1820" t="str">
            <v/>
          </cell>
        </row>
        <row r="1821">
          <cell r="B1821" t="str">
            <v/>
          </cell>
        </row>
        <row r="1822">
          <cell r="B1822" t="str">
            <v/>
          </cell>
        </row>
        <row r="1823">
          <cell r="B1823" t="str">
            <v/>
          </cell>
        </row>
        <row r="1824">
          <cell r="B1824" t="str">
            <v/>
          </cell>
        </row>
        <row r="1825">
          <cell r="B1825" t="str">
            <v/>
          </cell>
        </row>
        <row r="1826">
          <cell r="B1826" t="str">
            <v/>
          </cell>
        </row>
        <row r="1827">
          <cell r="B1827" t="str">
            <v/>
          </cell>
        </row>
        <row r="1828">
          <cell r="B1828" t="str">
            <v/>
          </cell>
        </row>
        <row r="1829">
          <cell r="B1829" t="str">
            <v/>
          </cell>
        </row>
        <row r="1830">
          <cell r="B1830" t="str">
            <v/>
          </cell>
        </row>
        <row r="1831">
          <cell r="B1831" t="str">
            <v/>
          </cell>
        </row>
        <row r="1832">
          <cell r="B1832" t="str">
            <v/>
          </cell>
        </row>
        <row r="1833">
          <cell r="B1833" t="str">
            <v/>
          </cell>
        </row>
        <row r="1834">
          <cell r="B1834" t="str">
            <v/>
          </cell>
        </row>
        <row r="1835">
          <cell r="B1835" t="str">
            <v/>
          </cell>
        </row>
        <row r="1836">
          <cell r="B1836" t="str">
            <v/>
          </cell>
        </row>
        <row r="1837">
          <cell r="B1837" t="str">
            <v/>
          </cell>
        </row>
        <row r="1838">
          <cell r="B1838" t="str">
            <v/>
          </cell>
        </row>
        <row r="1839">
          <cell r="B1839" t="str">
            <v/>
          </cell>
        </row>
        <row r="1840">
          <cell r="B1840" t="str">
            <v/>
          </cell>
        </row>
        <row r="1841">
          <cell r="B1841" t="str">
            <v/>
          </cell>
        </row>
        <row r="1842">
          <cell r="B1842" t="str">
            <v/>
          </cell>
        </row>
        <row r="1843">
          <cell r="B1843" t="str">
            <v/>
          </cell>
        </row>
        <row r="1844">
          <cell r="B1844" t="str">
            <v/>
          </cell>
        </row>
        <row r="1845">
          <cell r="B1845" t="str">
            <v/>
          </cell>
        </row>
        <row r="1846">
          <cell r="B1846" t="str">
            <v/>
          </cell>
        </row>
        <row r="1847">
          <cell r="B1847" t="str">
            <v/>
          </cell>
        </row>
        <row r="1848">
          <cell r="B1848" t="str">
            <v/>
          </cell>
        </row>
        <row r="1849">
          <cell r="B1849" t="str">
            <v/>
          </cell>
        </row>
        <row r="1850">
          <cell r="B1850" t="str">
            <v/>
          </cell>
        </row>
        <row r="1851">
          <cell r="B1851" t="str">
            <v/>
          </cell>
        </row>
        <row r="1852">
          <cell r="B1852" t="str">
            <v/>
          </cell>
        </row>
        <row r="1853">
          <cell r="B1853" t="str">
            <v/>
          </cell>
        </row>
        <row r="1854">
          <cell r="B1854" t="str">
            <v/>
          </cell>
        </row>
        <row r="1855">
          <cell r="B1855" t="str">
            <v/>
          </cell>
        </row>
        <row r="1856">
          <cell r="B1856" t="str">
            <v/>
          </cell>
        </row>
        <row r="1857">
          <cell r="B1857" t="str">
            <v/>
          </cell>
        </row>
        <row r="1858">
          <cell r="B1858" t="str">
            <v/>
          </cell>
        </row>
        <row r="1859">
          <cell r="B1859" t="str">
            <v/>
          </cell>
        </row>
        <row r="1860">
          <cell r="B1860" t="str">
            <v/>
          </cell>
        </row>
        <row r="1861">
          <cell r="B1861" t="str">
            <v/>
          </cell>
        </row>
        <row r="1862">
          <cell r="B1862" t="str">
            <v/>
          </cell>
        </row>
        <row r="1863">
          <cell r="B1863" t="str">
            <v/>
          </cell>
        </row>
        <row r="1864">
          <cell r="B1864" t="str">
            <v/>
          </cell>
        </row>
        <row r="1865">
          <cell r="B1865" t="str">
            <v/>
          </cell>
        </row>
        <row r="1866">
          <cell r="B1866" t="str">
            <v/>
          </cell>
        </row>
        <row r="1867">
          <cell r="B1867" t="str">
            <v/>
          </cell>
        </row>
        <row r="1868">
          <cell r="B1868" t="str">
            <v/>
          </cell>
        </row>
        <row r="1869">
          <cell r="B1869" t="str">
            <v/>
          </cell>
        </row>
        <row r="1870">
          <cell r="B1870" t="str">
            <v/>
          </cell>
        </row>
        <row r="1871">
          <cell r="B1871" t="str">
            <v/>
          </cell>
        </row>
        <row r="1872">
          <cell r="B1872" t="str">
            <v/>
          </cell>
        </row>
        <row r="1873">
          <cell r="B1873" t="str">
            <v/>
          </cell>
        </row>
        <row r="1874">
          <cell r="B1874" t="str">
            <v/>
          </cell>
        </row>
        <row r="1875">
          <cell r="B1875" t="str">
            <v/>
          </cell>
        </row>
        <row r="1876">
          <cell r="B1876" t="str">
            <v/>
          </cell>
        </row>
        <row r="1877">
          <cell r="B1877" t="str">
            <v/>
          </cell>
        </row>
        <row r="1878">
          <cell r="B1878" t="str">
            <v/>
          </cell>
        </row>
        <row r="1879">
          <cell r="B1879" t="str">
            <v/>
          </cell>
        </row>
        <row r="1880">
          <cell r="B1880" t="str">
            <v/>
          </cell>
        </row>
        <row r="1881">
          <cell r="B1881" t="str">
            <v/>
          </cell>
        </row>
        <row r="1882">
          <cell r="B1882" t="str">
            <v/>
          </cell>
        </row>
        <row r="1883">
          <cell r="B1883" t="str">
            <v/>
          </cell>
        </row>
        <row r="1884">
          <cell r="B1884" t="str">
            <v/>
          </cell>
        </row>
        <row r="1885">
          <cell r="B1885" t="str">
            <v/>
          </cell>
        </row>
        <row r="1886">
          <cell r="B1886" t="str">
            <v/>
          </cell>
        </row>
        <row r="1887">
          <cell r="B1887" t="str">
            <v/>
          </cell>
        </row>
        <row r="1888">
          <cell r="B1888" t="str">
            <v/>
          </cell>
        </row>
        <row r="1889">
          <cell r="B1889" t="str">
            <v/>
          </cell>
        </row>
        <row r="1890">
          <cell r="B1890" t="str">
            <v/>
          </cell>
        </row>
        <row r="1891">
          <cell r="B1891" t="str">
            <v/>
          </cell>
        </row>
        <row r="1892">
          <cell r="B1892" t="str">
            <v/>
          </cell>
        </row>
        <row r="1893">
          <cell r="B1893" t="str">
            <v/>
          </cell>
        </row>
        <row r="1894">
          <cell r="B1894" t="str">
            <v/>
          </cell>
        </row>
        <row r="1895">
          <cell r="B1895" t="str">
            <v/>
          </cell>
        </row>
        <row r="1896">
          <cell r="B1896" t="str">
            <v/>
          </cell>
        </row>
        <row r="1897">
          <cell r="B1897" t="str">
            <v/>
          </cell>
        </row>
        <row r="1898">
          <cell r="B1898" t="str">
            <v/>
          </cell>
        </row>
        <row r="1899">
          <cell r="B1899" t="str">
            <v/>
          </cell>
        </row>
        <row r="1900">
          <cell r="B1900" t="str">
            <v/>
          </cell>
        </row>
        <row r="1901">
          <cell r="B1901" t="str">
            <v/>
          </cell>
        </row>
        <row r="1902">
          <cell r="B1902" t="str">
            <v/>
          </cell>
        </row>
        <row r="1903">
          <cell r="B1903" t="str">
            <v/>
          </cell>
        </row>
        <row r="1904">
          <cell r="B1904" t="str">
            <v/>
          </cell>
        </row>
        <row r="1905">
          <cell r="B1905" t="str">
            <v/>
          </cell>
        </row>
        <row r="1906">
          <cell r="B1906" t="str">
            <v/>
          </cell>
        </row>
        <row r="1907">
          <cell r="B1907" t="str">
            <v/>
          </cell>
        </row>
        <row r="1908">
          <cell r="B1908" t="str">
            <v/>
          </cell>
        </row>
        <row r="1909">
          <cell r="B1909" t="str">
            <v/>
          </cell>
        </row>
        <row r="1910">
          <cell r="B1910" t="str">
            <v/>
          </cell>
        </row>
        <row r="1911">
          <cell r="B1911" t="str">
            <v/>
          </cell>
        </row>
        <row r="1912">
          <cell r="B1912" t="str">
            <v/>
          </cell>
        </row>
        <row r="1913">
          <cell r="B1913" t="str">
            <v/>
          </cell>
        </row>
        <row r="1914">
          <cell r="B1914" t="str">
            <v/>
          </cell>
        </row>
        <row r="1915">
          <cell r="B1915" t="str">
            <v/>
          </cell>
        </row>
        <row r="1916">
          <cell r="B1916" t="str">
            <v/>
          </cell>
        </row>
        <row r="1917">
          <cell r="B1917" t="str">
            <v/>
          </cell>
        </row>
        <row r="1918">
          <cell r="B1918" t="str">
            <v/>
          </cell>
        </row>
        <row r="1919">
          <cell r="B1919" t="str">
            <v/>
          </cell>
        </row>
        <row r="1920">
          <cell r="B1920" t="str">
            <v/>
          </cell>
        </row>
        <row r="1921">
          <cell r="B1921" t="str">
            <v/>
          </cell>
        </row>
        <row r="1922">
          <cell r="B1922" t="str">
            <v/>
          </cell>
        </row>
        <row r="1923">
          <cell r="B1923" t="str">
            <v/>
          </cell>
        </row>
        <row r="1924">
          <cell r="B1924" t="str">
            <v/>
          </cell>
        </row>
        <row r="1925">
          <cell r="B1925" t="str">
            <v/>
          </cell>
        </row>
        <row r="1926">
          <cell r="B1926" t="str">
            <v/>
          </cell>
        </row>
        <row r="1927">
          <cell r="B1927" t="str">
            <v/>
          </cell>
        </row>
        <row r="1928">
          <cell r="B1928" t="str">
            <v/>
          </cell>
        </row>
        <row r="1929">
          <cell r="B1929" t="str">
            <v/>
          </cell>
        </row>
        <row r="1930">
          <cell r="B1930" t="str">
            <v/>
          </cell>
        </row>
        <row r="1931">
          <cell r="B1931" t="str">
            <v/>
          </cell>
        </row>
        <row r="1932">
          <cell r="B1932" t="str">
            <v/>
          </cell>
        </row>
        <row r="1933">
          <cell r="B1933" t="str">
            <v/>
          </cell>
        </row>
        <row r="1934">
          <cell r="B1934" t="str">
            <v/>
          </cell>
        </row>
        <row r="1935">
          <cell r="B1935" t="str">
            <v/>
          </cell>
        </row>
        <row r="1936">
          <cell r="B1936" t="str">
            <v/>
          </cell>
        </row>
        <row r="1937">
          <cell r="B1937" t="str">
            <v/>
          </cell>
        </row>
        <row r="1938">
          <cell r="B1938" t="str">
            <v/>
          </cell>
        </row>
        <row r="1939">
          <cell r="B1939" t="str">
            <v/>
          </cell>
        </row>
        <row r="1940">
          <cell r="B1940" t="str">
            <v/>
          </cell>
        </row>
        <row r="1941">
          <cell r="B1941" t="str">
            <v/>
          </cell>
        </row>
        <row r="1942">
          <cell r="B1942" t="str">
            <v/>
          </cell>
        </row>
        <row r="1943">
          <cell r="B1943" t="str">
            <v/>
          </cell>
        </row>
        <row r="1944">
          <cell r="B1944" t="str">
            <v/>
          </cell>
        </row>
        <row r="1945">
          <cell r="B1945" t="str">
            <v/>
          </cell>
        </row>
        <row r="1946">
          <cell r="B1946" t="str">
            <v/>
          </cell>
        </row>
        <row r="1947">
          <cell r="B1947" t="str">
            <v/>
          </cell>
        </row>
        <row r="1948">
          <cell r="B1948" t="str">
            <v/>
          </cell>
        </row>
        <row r="1949">
          <cell r="B1949" t="str">
            <v/>
          </cell>
        </row>
        <row r="1950">
          <cell r="B1950" t="str">
            <v/>
          </cell>
        </row>
        <row r="1951">
          <cell r="B1951" t="str">
            <v/>
          </cell>
        </row>
        <row r="1952">
          <cell r="B1952" t="str">
            <v/>
          </cell>
        </row>
        <row r="1953">
          <cell r="B1953" t="str">
            <v/>
          </cell>
        </row>
        <row r="1954">
          <cell r="B1954" t="str">
            <v/>
          </cell>
        </row>
        <row r="1955">
          <cell r="B1955" t="str">
            <v/>
          </cell>
        </row>
        <row r="1956">
          <cell r="B1956" t="str">
            <v/>
          </cell>
        </row>
        <row r="1957">
          <cell r="B1957" t="str">
            <v/>
          </cell>
        </row>
        <row r="1958">
          <cell r="B1958" t="str">
            <v/>
          </cell>
        </row>
        <row r="1959">
          <cell r="B1959" t="str">
            <v/>
          </cell>
        </row>
        <row r="1960">
          <cell r="B1960" t="str">
            <v/>
          </cell>
        </row>
        <row r="1961">
          <cell r="B1961" t="str">
            <v/>
          </cell>
        </row>
        <row r="1962">
          <cell r="B1962" t="str">
            <v/>
          </cell>
        </row>
        <row r="1963">
          <cell r="B1963" t="str">
            <v/>
          </cell>
        </row>
        <row r="1964">
          <cell r="B1964" t="str">
            <v/>
          </cell>
        </row>
        <row r="1965">
          <cell r="B1965" t="str">
            <v/>
          </cell>
        </row>
        <row r="1966">
          <cell r="B1966" t="str">
            <v/>
          </cell>
        </row>
        <row r="1967">
          <cell r="B1967" t="str">
            <v/>
          </cell>
        </row>
        <row r="1968">
          <cell r="B1968" t="str">
            <v/>
          </cell>
        </row>
        <row r="1969">
          <cell r="B1969" t="str">
            <v/>
          </cell>
        </row>
        <row r="1970">
          <cell r="B1970" t="str">
            <v/>
          </cell>
        </row>
        <row r="1971">
          <cell r="B1971" t="str">
            <v/>
          </cell>
        </row>
        <row r="1972">
          <cell r="B1972" t="str">
            <v/>
          </cell>
        </row>
        <row r="1973">
          <cell r="B1973" t="str">
            <v/>
          </cell>
        </row>
        <row r="1974">
          <cell r="B1974" t="str">
            <v/>
          </cell>
        </row>
        <row r="1975">
          <cell r="B1975" t="str">
            <v/>
          </cell>
        </row>
        <row r="1976">
          <cell r="B1976" t="str">
            <v/>
          </cell>
        </row>
        <row r="1977">
          <cell r="B1977" t="str">
            <v/>
          </cell>
        </row>
        <row r="1978">
          <cell r="B1978" t="str">
            <v/>
          </cell>
        </row>
        <row r="1979">
          <cell r="B1979" t="str">
            <v/>
          </cell>
        </row>
        <row r="1980">
          <cell r="B1980" t="str">
            <v/>
          </cell>
        </row>
        <row r="1981">
          <cell r="B1981" t="str">
            <v/>
          </cell>
        </row>
        <row r="1982">
          <cell r="B1982" t="str">
            <v/>
          </cell>
        </row>
        <row r="1983">
          <cell r="B1983" t="str">
            <v/>
          </cell>
        </row>
        <row r="1984">
          <cell r="B1984" t="str">
            <v/>
          </cell>
        </row>
        <row r="1985">
          <cell r="B1985" t="str">
            <v/>
          </cell>
        </row>
        <row r="1986">
          <cell r="B1986" t="str">
            <v/>
          </cell>
        </row>
        <row r="1987">
          <cell r="B1987" t="str">
            <v/>
          </cell>
        </row>
        <row r="1988">
          <cell r="B1988" t="str">
            <v/>
          </cell>
        </row>
        <row r="1989">
          <cell r="B1989" t="str">
            <v/>
          </cell>
        </row>
        <row r="1990">
          <cell r="B1990" t="str">
            <v/>
          </cell>
        </row>
        <row r="1991">
          <cell r="B1991" t="str">
            <v/>
          </cell>
        </row>
        <row r="1992">
          <cell r="B1992" t="str">
            <v/>
          </cell>
        </row>
        <row r="1993">
          <cell r="B1993" t="str">
            <v/>
          </cell>
        </row>
        <row r="1994">
          <cell r="B1994" t="str">
            <v/>
          </cell>
        </row>
        <row r="1995">
          <cell r="B1995" t="str">
            <v/>
          </cell>
        </row>
        <row r="1996">
          <cell r="B1996" t="str">
            <v/>
          </cell>
        </row>
        <row r="1997">
          <cell r="B1997" t="str">
            <v/>
          </cell>
        </row>
        <row r="1998">
          <cell r="B1998" t="str">
            <v/>
          </cell>
        </row>
        <row r="1999">
          <cell r="B1999" t="str">
            <v/>
          </cell>
        </row>
        <row r="2000">
          <cell r="B2000" t="str">
            <v/>
          </cell>
        </row>
        <row r="2001">
          <cell r="B2001" t="str">
            <v/>
          </cell>
        </row>
        <row r="2002">
          <cell r="B2002" t="str">
            <v/>
          </cell>
        </row>
        <row r="2003">
          <cell r="B2003" t="str">
            <v/>
          </cell>
        </row>
        <row r="2004">
          <cell r="B2004" t="str">
            <v/>
          </cell>
        </row>
        <row r="2005">
          <cell r="B2005" t="str">
            <v/>
          </cell>
        </row>
        <row r="2006">
          <cell r="B2006" t="str">
            <v/>
          </cell>
        </row>
        <row r="2007">
          <cell r="B2007" t="str">
            <v/>
          </cell>
        </row>
        <row r="2008">
          <cell r="B2008" t="str">
            <v/>
          </cell>
        </row>
        <row r="2009">
          <cell r="B2009" t="str">
            <v/>
          </cell>
        </row>
        <row r="2010">
          <cell r="B2010" t="str">
            <v/>
          </cell>
        </row>
        <row r="2011">
          <cell r="B2011" t="str">
            <v/>
          </cell>
        </row>
        <row r="2012">
          <cell r="B2012" t="str">
            <v/>
          </cell>
        </row>
        <row r="2013">
          <cell r="B2013" t="str">
            <v/>
          </cell>
        </row>
        <row r="2014">
          <cell r="B2014" t="str">
            <v/>
          </cell>
        </row>
        <row r="2015">
          <cell r="B2015" t="str">
            <v/>
          </cell>
        </row>
        <row r="2016">
          <cell r="B2016" t="str">
            <v/>
          </cell>
        </row>
        <row r="2017">
          <cell r="B2017" t="str">
            <v/>
          </cell>
        </row>
        <row r="2018">
          <cell r="B2018" t="str">
            <v/>
          </cell>
        </row>
        <row r="2019">
          <cell r="B2019" t="str">
            <v/>
          </cell>
        </row>
        <row r="2020">
          <cell r="B2020" t="str">
            <v/>
          </cell>
        </row>
        <row r="2021">
          <cell r="B2021" t="str">
            <v/>
          </cell>
        </row>
        <row r="2022">
          <cell r="B2022" t="str">
            <v/>
          </cell>
        </row>
        <row r="2023">
          <cell r="B2023" t="str">
            <v/>
          </cell>
        </row>
        <row r="2024">
          <cell r="B2024" t="str">
            <v/>
          </cell>
        </row>
        <row r="2025">
          <cell r="B2025" t="str">
            <v/>
          </cell>
        </row>
        <row r="2026">
          <cell r="B2026" t="str">
            <v/>
          </cell>
        </row>
        <row r="2027">
          <cell r="B2027" t="str">
            <v/>
          </cell>
        </row>
        <row r="2028">
          <cell r="B2028" t="str">
            <v/>
          </cell>
        </row>
        <row r="2029">
          <cell r="B2029" t="str">
            <v/>
          </cell>
        </row>
        <row r="2030">
          <cell r="B2030" t="str">
            <v/>
          </cell>
        </row>
        <row r="2031">
          <cell r="B2031" t="str">
            <v/>
          </cell>
        </row>
        <row r="2032">
          <cell r="B2032" t="str">
            <v/>
          </cell>
        </row>
        <row r="2033">
          <cell r="B2033" t="str">
            <v/>
          </cell>
        </row>
        <row r="2034">
          <cell r="B2034" t="str">
            <v/>
          </cell>
        </row>
        <row r="2035">
          <cell r="B2035" t="str">
            <v/>
          </cell>
        </row>
        <row r="2036">
          <cell r="B2036" t="str">
            <v/>
          </cell>
        </row>
        <row r="2037">
          <cell r="B2037" t="str">
            <v/>
          </cell>
        </row>
        <row r="2038">
          <cell r="B2038" t="str">
            <v/>
          </cell>
        </row>
        <row r="2039">
          <cell r="B2039" t="str">
            <v/>
          </cell>
        </row>
        <row r="2040">
          <cell r="B2040" t="str">
            <v/>
          </cell>
        </row>
        <row r="2041">
          <cell r="B2041" t="str">
            <v/>
          </cell>
        </row>
        <row r="2042">
          <cell r="B2042" t="str">
            <v/>
          </cell>
        </row>
        <row r="2043">
          <cell r="B2043" t="str">
            <v/>
          </cell>
        </row>
        <row r="2044">
          <cell r="B2044" t="str">
            <v/>
          </cell>
        </row>
        <row r="2045">
          <cell r="B2045" t="str">
            <v/>
          </cell>
        </row>
        <row r="2046">
          <cell r="B2046" t="str">
            <v/>
          </cell>
        </row>
        <row r="2047">
          <cell r="B2047" t="str">
            <v/>
          </cell>
        </row>
        <row r="2048">
          <cell r="B2048" t="str">
            <v/>
          </cell>
        </row>
        <row r="2049">
          <cell r="B2049" t="str">
            <v/>
          </cell>
        </row>
        <row r="2050">
          <cell r="B2050" t="str">
            <v/>
          </cell>
        </row>
        <row r="2051">
          <cell r="B2051" t="str">
            <v/>
          </cell>
        </row>
        <row r="2052">
          <cell r="B2052" t="str">
            <v/>
          </cell>
        </row>
        <row r="2053">
          <cell r="B2053" t="str">
            <v/>
          </cell>
        </row>
        <row r="2054">
          <cell r="B2054" t="str">
            <v/>
          </cell>
        </row>
        <row r="2055">
          <cell r="B2055" t="str">
            <v/>
          </cell>
        </row>
        <row r="2056">
          <cell r="B2056" t="str">
            <v/>
          </cell>
        </row>
        <row r="2057">
          <cell r="B2057" t="str">
            <v/>
          </cell>
        </row>
        <row r="2058">
          <cell r="B2058" t="str">
            <v/>
          </cell>
        </row>
        <row r="2059">
          <cell r="B2059" t="str">
            <v/>
          </cell>
        </row>
        <row r="2060">
          <cell r="B2060" t="str">
            <v/>
          </cell>
        </row>
        <row r="2061">
          <cell r="B2061" t="str">
            <v/>
          </cell>
        </row>
        <row r="2062">
          <cell r="B2062" t="str">
            <v/>
          </cell>
        </row>
        <row r="2063">
          <cell r="B2063" t="str">
            <v/>
          </cell>
        </row>
        <row r="2064">
          <cell r="B2064" t="str">
            <v/>
          </cell>
        </row>
        <row r="2065">
          <cell r="B2065" t="str">
            <v/>
          </cell>
        </row>
        <row r="2066">
          <cell r="B2066" t="str">
            <v/>
          </cell>
        </row>
        <row r="2067">
          <cell r="B2067" t="str">
            <v/>
          </cell>
        </row>
        <row r="2068">
          <cell r="B2068" t="str">
            <v/>
          </cell>
        </row>
        <row r="2069">
          <cell r="B2069" t="str">
            <v/>
          </cell>
        </row>
        <row r="2070">
          <cell r="B2070" t="str">
            <v/>
          </cell>
        </row>
        <row r="2071">
          <cell r="B2071" t="str">
            <v/>
          </cell>
        </row>
        <row r="2072">
          <cell r="B2072" t="str">
            <v/>
          </cell>
        </row>
        <row r="2073">
          <cell r="B2073" t="str">
            <v/>
          </cell>
        </row>
        <row r="2074">
          <cell r="B2074" t="str">
            <v/>
          </cell>
        </row>
        <row r="2075">
          <cell r="B2075" t="str">
            <v/>
          </cell>
        </row>
        <row r="2076">
          <cell r="B2076" t="str">
            <v/>
          </cell>
        </row>
        <row r="2077">
          <cell r="B2077" t="str">
            <v/>
          </cell>
        </row>
        <row r="2078">
          <cell r="B2078" t="str">
            <v/>
          </cell>
        </row>
        <row r="2079">
          <cell r="B2079" t="str">
            <v/>
          </cell>
        </row>
        <row r="2080">
          <cell r="B2080" t="str">
            <v/>
          </cell>
        </row>
        <row r="2081">
          <cell r="B2081" t="str">
            <v/>
          </cell>
        </row>
        <row r="2082">
          <cell r="B2082" t="str">
            <v/>
          </cell>
        </row>
        <row r="2083">
          <cell r="B2083" t="str">
            <v/>
          </cell>
        </row>
        <row r="2084">
          <cell r="B2084" t="str">
            <v/>
          </cell>
        </row>
        <row r="2085">
          <cell r="B2085" t="str">
            <v/>
          </cell>
        </row>
        <row r="2086">
          <cell r="B2086" t="str">
            <v/>
          </cell>
        </row>
        <row r="2087">
          <cell r="B2087" t="str">
            <v/>
          </cell>
        </row>
        <row r="2088">
          <cell r="B2088" t="str">
            <v/>
          </cell>
        </row>
        <row r="2089">
          <cell r="B2089" t="str">
            <v/>
          </cell>
        </row>
        <row r="2090">
          <cell r="B2090" t="str">
            <v/>
          </cell>
        </row>
        <row r="2091">
          <cell r="B2091" t="str">
            <v/>
          </cell>
        </row>
        <row r="2092">
          <cell r="B2092" t="str">
            <v/>
          </cell>
        </row>
        <row r="2093">
          <cell r="B2093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HƯỞNG SL"/>
      <sheetName val="QL LƯƠNG"/>
      <sheetName val="Tổ 1"/>
      <sheetName val="Tổ 2"/>
      <sheetName val="Tổ 3"/>
      <sheetName val="Tạp vụ"/>
      <sheetName val="BV"/>
      <sheetName val="Chấm công công nhân"/>
      <sheetName val="Mủ"/>
      <sheetName val="Tong hop cong"/>
      <sheetName val="BẢNG LƯƠNG KT"/>
      <sheetName val="1"/>
      <sheetName val="2"/>
      <sheetName val="3"/>
      <sheetName val="LƯƠNG TT"/>
      <sheetName val="Vươn KTCB"/>
      <sheetName val="KTCB"/>
      <sheetName val="Lương USD"/>
      <sheetName val="Bảng kê lương"/>
      <sheetName val="PC trực đêm"/>
      <sheetName val="Công CBNV"/>
      <sheetName val="Chấm công xăng)"/>
      <sheetName val="tt xăng"/>
      <sheetName val="Tính lương tổ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HẤM CÔNG BV"/>
      <sheetName val="CV KHAC"/>
      <sheetName val="BHXH"/>
      <sheetName val="NTNB"/>
      <sheetName val=" Công"/>
      <sheetName val="mẩu"/>
      <sheetName val="TRƯỞNG BẢN"/>
      <sheetName val="KHSX T8"/>
      <sheetName val="BCSXT7"/>
      <sheetName val="xã cạo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Sheet3"/>
      <sheetName val="MSNV"/>
      <sheetName val="TIỀN ĂN"/>
      <sheetName val="Thưởng tết dương lich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3">
          <cell r="AI13">
            <v>1045</v>
          </cell>
        </row>
        <row r="14">
          <cell r="AI14">
            <v>804</v>
          </cell>
        </row>
        <row r="15">
          <cell r="AI15">
            <v>1585</v>
          </cell>
        </row>
        <row r="16">
          <cell r="AI16">
            <v>1235</v>
          </cell>
        </row>
        <row r="17">
          <cell r="AI17">
            <v>1231</v>
          </cell>
        </row>
        <row r="18">
          <cell r="AI18">
            <v>773</v>
          </cell>
        </row>
        <row r="19">
          <cell r="AI19">
            <v>749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xit đánh đông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9">
          <cell r="B9" t="str">
            <v>Xom Chết</v>
          </cell>
          <cell r="C9" t="str">
            <v>ທ ສົມເຈດ</v>
          </cell>
        </row>
        <row r="10">
          <cell r="B10" t="str">
            <v>A Gô</v>
          </cell>
          <cell r="C10" t="str">
            <v>ທ ອາໂກ</v>
          </cell>
        </row>
        <row r="11">
          <cell r="B11" t="str">
            <v>A Ngen</v>
          </cell>
          <cell r="C11" t="str">
            <v>ທ ອາເງນ</v>
          </cell>
        </row>
        <row r="12">
          <cell r="B12" t="str">
            <v>Xà Ngái</v>
          </cell>
          <cell r="C12" t="str">
            <v>ທ ສະຫງາຍ</v>
          </cell>
        </row>
        <row r="13">
          <cell r="B13" t="str">
            <v>Thanh</v>
          </cell>
          <cell r="C13" t="str">
            <v>ທ ແທັງ</v>
          </cell>
        </row>
        <row r="14">
          <cell r="B14" t="str">
            <v>Tà Khơ</v>
          </cell>
          <cell r="C14" t="str">
            <v>ທ ຕາເຄີ</v>
          </cell>
        </row>
        <row r="15">
          <cell r="B15" t="str">
            <v>A Pan</v>
          </cell>
          <cell r="C15" t="str">
            <v>ທ ອາປານ</v>
          </cell>
        </row>
        <row r="16">
          <cell r="B16" t="str">
            <v>P Lo</v>
          </cell>
          <cell r="C16" t="str">
            <v>ພໍ່ລໍ</v>
          </cell>
        </row>
        <row r="17">
          <cell r="B17" t="str">
            <v>A Tiên</v>
          </cell>
          <cell r="C17" t="str">
            <v>ທ ອາຕຽນ</v>
          </cell>
        </row>
        <row r="18">
          <cell r="B18" t="str">
            <v>La Hơi</v>
          </cell>
          <cell r="C18" t="str">
            <v>ທ ລະເຫີຍ</v>
          </cell>
        </row>
        <row r="19">
          <cell r="B19" t="str">
            <v>Mao</v>
          </cell>
          <cell r="C19" t="str">
            <v>ທ ມາວ</v>
          </cell>
        </row>
        <row r="20">
          <cell r="B20" t="str">
            <v>A Len</v>
          </cell>
          <cell r="C20" t="str">
            <v>ທ ອາແລນ</v>
          </cell>
        </row>
        <row r="21">
          <cell r="B21" t="str">
            <v>Khai</v>
          </cell>
          <cell r="C21" t="str">
            <v>ທ ຕາຍ</v>
          </cell>
        </row>
        <row r="22">
          <cell r="B22" t="str">
            <v>Then</v>
          </cell>
          <cell r="C22" t="str">
            <v>ທ ແທນ</v>
          </cell>
        </row>
        <row r="23">
          <cell r="B23" t="str">
            <v>Xã Võ</v>
          </cell>
          <cell r="C23" t="str">
            <v>ທ ສາຫວໍ</v>
          </cell>
        </row>
        <row r="24">
          <cell r="B24" t="str">
            <v>A Pa Rơ</v>
          </cell>
          <cell r="C24" t="str">
            <v>ທ ອາປາເລີ</v>
          </cell>
        </row>
        <row r="25">
          <cell r="B25" t="str">
            <v>Bước</v>
          </cell>
          <cell r="C25" t="str">
            <v>ທ ເບືອກ</v>
          </cell>
        </row>
        <row r="26">
          <cell r="B26" t="str">
            <v>Banh</v>
          </cell>
          <cell r="C26" t="str">
            <v>ທ ແບັງ</v>
          </cell>
        </row>
        <row r="27">
          <cell r="B27" t="str">
            <v>Dã Lay</v>
          </cell>
          <cell r="C27" t="str">
            <v>ທ ຢາໄລ</v>
          </cell>
        </row>
        <row r="28">
          <cell r="B28" t="str">
            <v>A Chun</v>
          </cell>
          <cell r="C28" t="str">
            <v>ທ ຈູນ</v>
          </cell>
        </row>
        <row r="29">
          <cell r="B29" t="str">
            <v>A Cát</v>
          </cell>
          <cell r="C29" t="str">
            <v>ທ ກາດ</v>
          </cell>
        </row>
        <row r="30">
          <cell r="B30" t="str">
            <v>Bớp</v>
          </cell>
          <cell r="C30" t="str">
            <v>ທ ເບີບ</v>
          </cell>
        </row>
        <row r="31">
          <cell r="B31" t="str">
            <v>Phu Pha</v>
          </cell>
          <cell r="C31" t="str">
            <v>ທ ພູພະ</v>
          </cell>
        </row>
        <row r="32">
          <cell r="B32" t="str">
            <v>Khươn</v>
          </cell>
          <cell r="C32" t="str">
            <v>ທ ເຄື່ອນ</v>
          </cell>
        </row>
        <row r="33">
          <cell r="B33" t="str">
            <v>Cuôn Ngoc Sáng</v>
          </cell>
          <cell r="C33" t="str">
            <v>ທ ກ້ວນ ງັອກ ຊ້າງ</v>
          </cell>
        </row>
        <row r="34">
          <cell r="B34" t="str">
            <v>Nang En</v>
          </cell>
          <cell r="C34" t="str">
            <v>ນ ແອນ</v>
          </cell>
        </row>
        <row r="35">
          <cell r="B35" t="str">
            <v>A Luốc</v>
          </cell>
          <cell r="C35" t="str">
            <v>ທ ອາລວກ</v>
          </cell>
        </row>
        <row r="36">
          <cell r="B36" t="str">
            <v>A Têng</v>
          </cell>
          <cell r="C36" t="str">
            <v>ທ ອາເຕັງ</v>
          </cell>
        </row>
        <row r="37">
          <cell r="B37" t="str">
            <v>A Hui</v>
          </cell>
          <cell r="C37" t="str">
            <v>ທ ອາຮຸຍ</v>
          </cell>
        </row>
        <row r="38">
          <cell r="B38" t="str">
            <v>Hắc</v>
          </cell>
          <cell r="C38" t="str">
            <v>ທ ຮັກ</v>
          </cell>
        </row>
        <row r="39">
          <cell r="B39" t="str">
            <v>Khon Sa Văn</v>
          </cell>
          <cell r="C39" t="str">
            <v>ທ ຄອນສະຫວັນ</v>
          </cell>
        </row>
        <row r="40">
          <cell r="B40" t="str">
            <v>A Ra</v>
          </cell>
          <cell r="C40" t="str">
            <v>ທ ອາຣາ</v>
          </cell>
        </row>
        <row r="41">
          <cell r="B41" t="str">
            <v>Cha Phau</v>
          </cell>
          <cell r="C41" t="str">
            <v>ທ ຈາໂພ</v>
          </cell>
        </row>
        <row r="42">
          <cell r="B42" t="str">
            <v>A Lai</v>
          </cell>
          <cell r="C42" t="str">
            <v>ທ ອາລາຍ</v>
          </cell>
        </row>
        <row r="43">
          <cell r="B43" t="str">
            <v>A Mèo</v>
          </cell>
          <cell r="C43" t="str">
            <v>ທ ອາແມັວ</v>
          </cell>
        </row>
        <row r="44">
          <cell r="B44" t="str">
            <v>Keo</v>
          </cell>
          <cell r="C44" t="str">
            <v>ທ ແກ້ວ</v>
          </cell>
        </row>
        <row r="45">
          <cell r="B45" t="str">
            <v>Beo</v>
          </cell>
          <cell r="C45" t="str">
            <v>ທ ແບັວ</v>
          </cell>
        </row>
        <row r="46">
          <cell r="B46" t="str">
            <v>Xin Xay</v>
          </cell>
          <cell r="C46" t="str">
            <v>ທ ສິນໄຊ</v>
          </cell>
        </row>
        <row r="47">
          <cell r="B47" t="str">
            <v>Khăm Bun</v>
          </cell>
          <cell r="C47" t="str">
            <v>ທ ຄຳບູ່ນ</v>
          </cell>
        </row>
        <row r="48">
          <cell r="B48" t="str">
            <v>Manh A Sing</v>
          </cell>
          <cell r="C48" t="str">
            <v>ທ ແມັງ ອາສິງ</v>
          </cell>
        </row>
        <row r="49">
          <cell r="B49" t="str">
            <v>Đốt</v>
          </cell>
          <cell r="C49" t="str">
            <v>ທ ໂດດ</v>
          </cell>
        </row>
        <row r="50">
          <cell r="B50" t="str">
            <v>A Pên</v>
          </cell>
          <cell r="C50" t="str">
            <v>ທ ເປັນ</v>
          </cell>
        </row>
        <row r="51">
          <cell r="B51" t="str">
            <v>Ta Bươn</v>
          </cell>
          <cell r="C51" t="str">
            <v>ທ ຕະເບືອນ</v>
          </cell>
        </row>
        <row r="52">
          <cell r="B52" t="str">
            <v>Phò Nọi</v>
          </cell>
          <cell r="C52" t="str">
            <v>ທ ພໍ່ນ້ອຍ</v>
          </cell>
        </row>
        <row r="53">
          <cell r="B53" t="str">
            <v>Von</v>
          </cell>
          <cell r="C53" t="str">
            <v>ທ ວອນ</v>
          </cell>
        </row>
        <row r="54">
          <cell r="B54" t="str">
            <v xml:space="preserve"> Phò Khăm Xén</v>
          </cell>
          <cell r="C54" t="str">
            <v>ພໍ່ ຄຳແສນ</v>
          </cell>
        </row>
        <row r="55">
          <cell r="B55" t="str">
            <v>Khăm Xén</v>
          </cell>
          <cell r="C55" t="str">
            <v>ທ ຄຳແສນ</v>
          </cell>
        </row>
        <row r="56">
          <cell r="B56" t="str">
            <v>Pon</v>
          </cell>
          <cell r="C56" t="str">
            <v>ທ ປອນ</v>
          </cell>
        </row>
        <row r="57">
          <cell r="B57" t="str">
            <v>Săn Đây</v>
          </cell>
          <cell r="C57" t="str">
            <v>ທ ຊັນໄດ</v>
          </cell>
        </row>
        <row r="58">
          <cell r="B58" t="str">
            <v xml:space="preserve"> A Xinh</v>
          </cell>
          <cell r="C58" t="str">
            <v>ອາສິງ</v>
          </cell>
        </row>
        <row r="59">
          <cell r="B59" t="str">
            <v>Long</v>
          </cell>
          <cell r="C59" t="str">
            <v>ທ ລັອງ</v>
          </cell>
        </row>
        <row r="60">
          <cell r="B60" t="str">
            <v>B Têng</v>
          </cell>
          <cell r="C60" t="str">
            <v>ທ ບໍເຕັນ</v>
          </cell>
        </row>
        <row r="61">
          <cell r="B61" t="str">
            <v>Sâm Lết</v>
          </cell>
          <cell r="C61" t="str">
            <v>ທ ສຳເລັດ</v>
          </cell>
        </row>
        <row r="62">
          <cell r="B62" t="str">
            <v>Chết</v>
          </cell>
          <cell r="C62" t="str">
            <v>ທ ເຈດ</v>
          </cell>
        </row>
        <row r="63">
          <cell r="B63" t="str">
            <v>Phon</v>
          </cell>
          <cell r="C63" t="str">
            <v>ທ ພອນ</v>
          </cell>
        </row>
        <row r="64">
          <cell r="B64" t="str">
            <v>Việt</v>
          </cell>
          <cell r="C64" t="str">
            <v>ທ ຫວຽດ</v>
          </cell>
        </row>
        <row r="65">
          <cell r="B65" t="str">
            <v>A Roan</v>
          </cell>
          <cell r="C65" t="str">
            <v>ທ ອາຣອນ</v>
          </cell>
        </row>
        <row r="66">
          <cell r="B66" t="str">
            <v>A Cổ</v>
          </cell>
          <cell r="C66" t="str">
            <v>ອາໂກ້</v>
          </cell>
        </row>
        <row r="67">
          <cell r="B67" t="str">
            <v>Khăm Son</v>
          </cell>
          <cell r="C67" t="str">
            <v>ທ ຄຳສອນ</v>
          </cell>
        </row>
        <row r="68">
          <cell r="B68" t="str">
            <v>Chết C</v>
          </cell>
          <cell r="C68" t="str">
            <v>ທ ເຈດສີ</v>
          </cell>
        </row>
        <row r="69">
          <cell r="B69" t="str">
            <v>Ức</v>
          </cell>
          <cell r="C69" t="str">
            <v>ທ ອຶກ</v>
          </cell>
        </row>
        <row r="70">
          <cell r="B70" t="str">
            <v>A Nha</v>
          </cell>
          <cell r="C70" t="str">
            <v>ທ ອານາມ</v>
          </cell>
        </row>
        <row r="71">
          <cell r="B71" t="str">
            <v>Anh</v>
          </cell>
          <cell r="C71" t="str">
            <v>ທ ແອັງ</v>
          </cell>
        </row>
        <row r="72">
          <cell r="B72" t="str">
            <v>A Pan</v>
          </cell>
          <cell r="C72" t="str">
            <v>ທ ອາປານ</v>
          </cell>
        </row>
        <row r="73">
          <cell r="B73" t="str">
            <v>Khăm Pan</v>
          </cell>
          <cell r="C73" t="str">
            <v>ທ ຄຳປານ</v>
          </cell>
        </row>
        <row r="74">
          <cell r="B74" t="str">
            <v>A Lũa</v>
          </cell>
          <cell r="C74" t="str">
            <v>ທ ອາລົວ</v>
          </cell>
        </row>
        <row r="75">
          <cell r="B75" t="str">
            <v>A Chăng</v>
          </cell>
          <cell r="C75" t="str">
            <v>ທ ອາຈັງ</v>
          </cell>
        </row>
        <row r="76">
          <cell r="B76" t="str">
            <v>Thông</v>
          </cell>
          <cell r="C76" t="str">
            <v>ທ ທົງ</v>
          </cell>
        </row>
        <row r="77">
          <cell r="B77" t="str">
            <v>Tà Pệc</v>
          </cell>
          <cell r="C77" t="str">
            <v>ທ ຕາເປັກ</v>
          </cell>
        </row>
        <row r="78">
          <cell r="B78" t="str">
            <v>A Vở</v>
          </cell>
          <cell r="C78" t="str">
            <v>ທ ອາເວີ້</v>
          </cell>
        </row>
        <row r="79">
          <cell r="B79" t="str">
            <v>Phò Hôm</v>
          </cell>
          <cell r="C79" t="str">
            <v>ທ ພໍ່ໂຮມ</v>
          </cell>
        </row>
        <row r="80">
          <cell r="B80" t="str">
            <v>Keo B</v>
          </cell>
          <cell r="C80" t="str">
            <v>ທ ແກ້ວບໍ</v>
          </cell>
        </row>
        <row r="81">
          <cell r="B81" t="str">
            <v>Khăm</v>
          </cell>
          <cell r="C81" t="str">
            <v>ທ ຄຳ</v>
          </cell>
        </row>
        <row r="82">
          <cell r="B82" t="str">
            <v>Ói</v>
          </cell>
          <cell r="C82" t="str">
            <v>ທ ອ້ອຍ</v>
          </cell>
        </row>
        <row r="83">
          <cell r="B83" t="str">
            <v xml:space="preserve"> A Te</v>
          </cell>
          <cell r="C83" t="str">
            <v>ທ ອາແຕ</v>
          </cell>
        </row>
        <row r="84">
          <cell r="B84" t="str">
            <v>Lun</v>
          </cell>
          <cell r="C84" t="str">
            <v>ທ ລຸນ</v>
          </cell>
        </row>
        <row r="85">
          <cell r="B85" t="str">
            <v xml:space="preserve"> A Bười</v>
          </cell>
          <cell r="C85" t="str">
            <v>ອາເບື້ອຍ</v>
          </cell>
        </row>
        <row r="86">
          <cell r="B86" t="str">
            <v>Phò Xing</v>
          </cell>
          <cell r="C86" t="str">
            <v>ພໍ່ສິງ</v>
          </cell>
        </row>
        <row r="87">
          <cell r="B87" t="str">
            <v>Khăm Son</v>
          </cell>
          <cell r="C87" t="str">
            <v>ທ ຄຳສອນ</v>
          </cell>
        </row>
        <row r="88">
          <cell r="B88" t="str">
            <v>Vông Đươn</v>
          </cell>
          <cell r="C88" t="str">
            <v>ທ ວົງເດືອນ</v>
          </cell>
        </row>
        <row r="89">
          <cell r="B89" t="str">
            <v>Khăm</v>
          </cell>
          <cell r="C89" t="str">
            <v>ທ ຄຳ</v>
          </cell>
        </row>
        <row r="90">
          <cell r="B90" t="str">
            <v>Phiu</v>
          </cell>
          <cell r="C90" t="str">
            <v>ທ ຜີວ</v>
          </cell>
        </row>
        <row r="91">
          <cell r="B91" t="str">
            <v>Pho Têng</v>
          </cell>
          <cell r="C91" t="str">
            <v>ພໍ່ເຕັ່ງ</v>
          </cell>
        </row>
        <row r="92">
          <cell r="B92" t="str">
            <v>Tà Dũa</v>
          </cell>
          <cell r="C92" t="str">
            <v>ທ ຕາເຊື້ອ</v>
          </cell>
        </row>
        <row r="93">
          <cell r="B93" t="str">
            <v>Mo Ket</v>
          </cell>
          <cell r="C93" t="str">
            <v>ນ ມໍເກດ</v>
          </cell>
        </row>
        <row r="94">
          <cell r="B94" t="str">
            <v>A Môm</v>
          </cell>
          <cell r="C94" t="str">
            <v>ທ ອາໂມມ</v>
          </cell>
        </row>
        <row r="95">
          <cell r="B95" t="str">
            <v>Pa lăng</v>
          </cell>
          <cell r="C95" t="str">
            <v>ທ ປະລັງ</v>
          </cell>
        </row>
        <row r="96">
          <cell r="B96" t="str">
            <v>Sa Mối</v>
          </cell>
          <cell r="C96" t="str">
            <v>ທ ສະໂໝຍ</v>
          </cell>
        </row>
        <row r="97">
          <cell r="B97" t="str">
            <v>A Tốt</v>
          </cell>
          <cell r="C97" t="str">
            <v>ອາໂຕດ</v>
          </cell>
        </row>
        <row r="98">
          <cell r="B98" t="str">
            <v>Hắm</v>
          </cell>
          <cell r="C98" t="str">
            <v>ທ ຫຳ</v>
          </cell>
        </row>
        <row r="99">
          <cell r="B99" t="str">
            <v>Thon Đăm</v>
          </cell>
          <cell r="C99" t="str">
            <v>ທ ທອງດຳ</v>
          </cell>
        </row>
        <row r="100">
          <cell r="B100" t="str">
            <v>A Cô</v>
          </cell>
          <cell r="C100" t="str">
            <v>ທ ອາໂກ</v>
          </cell>
        </row>
        <row r="101">
          <cell r="B101" t="str">
            <v>A Căm</v>
          </cell>
          <cell r="C101" t="str">
            <v>ທ ກ່ຳ</v>
          </cell>
        </row>
        <row r="102">
          <cell r="B102" t="str">
            <v>Thảo Ly</v>
          </cell>
          <cell r="C102" t="str">
            <v>ທ ລີ</v>
          </cell>
        </row>
        <row r="103">
          <cell r="B103" t="str">
            <v>Phò Lay</v>
          </cell>
          <cell r="C103" t="str">
            <v>ພໍ່ໄລ</v>
          </cell>
        </row>
        <row r="104">
          <cell r="B104" t="str">
            <v>Phò Hung</v>
          </cell>
          <cell r="C104" t="str">
            <v>ທ ພໍ່ຮຸ່ງ</v>
          </cell>
        </row>
        <row r="105">
          <cell r="B105" t="str">
            <v>Phò Núi</v>
          </cell>
          <cell r="C105" t="str">
            <v>ພໍ່ນຸ້ຍ</v>
          </cell>
        </row>
        <row r="106">
          <cell r="B106" t="str">
            <v>Phò Linh</v>
          </cell>
          <cell r="C106" t="str">
            <v>ພໍ່ລິນ</v>
          </cell>
        </row>
        <row r="107">
          <cell r="B107" t="str">
            <v>Bun Ka</v>
          </cell>
          <cell r="C107" t="str">
            <v>ທ ບຸນກາ</v>
          </cell>
        </row>
        <row r="108">
          <cell r="B108" t="str">
            <v>Phò Bang</v>
          </cell>
          <cell r="C108" t="str">
            <v>ພໍ່ບາງ</v>
          </cell>
        </row>
        <row r="109">
          <cell r="B109" t="str">
            <v>Công Nhen</v>
          </cell>
          <cell r="C109" t="str">
            <v>ທ ກົງແຍນ</v>
          </cell>
        </row>
        <row r="110">
          <cell r="B110" t="str">
            <v>Phò Đắc</v>
          </cell>
          <cell r="C110" t="str">
            <v>ພໍ່ດັກ</v>
          </cell>
        </row>
        <row r="111">
          <cell r="B111" t="str">
            <v>Thảo Chay</v>
          </cell>
          <cell r="C111" t="str">
            <v>ທ ໄຈ</v>
          </cell>
        </row>
        <row r="112">
          <cell r="B112" t="str">
            <v>Thảo Mừng</v>
          </cell>
          <cell r="C112" t="str">
            <v>ທ ມຶ້ງ</v>
          </cell>
        </row>
        <row r="113">
          <cell r="B113" t="str">
            <v>Thảo Truy</v>
          </cell>
          <cell r="C113" t="str">
            <v>ທ ຈຸຍ</v>
          </cell>
        </row>
        <row r="114">
          <cell r="B114" t="str">
            <v>Phò Xăm</v>
          </cell>
          <cell r="C114" t="str">
            <v>ພໍ່ຊຳ</v>
          </cell>
        </row>
        <row r="115">
          <cell r="B115" t="str">
            <v>Thảo Đuông</v>
          </cell>
          <cell r="C115" t="str">
            <v>ທ ດວງ</v>
          </cell>
        </row>
      </sheetData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PHAN TOAN"/>
      <sheetName val="Thưởng SL"/>
      <sheetName val="Chấm công"/>
      <sheetName val="Báo cáoKL"/>
      <sheetName val="Báo cáoKL (2)"/>
      <sheetName val="LƯƠNG USD NGƯỜI VIỆT"/>
      <sheetName val="BẢNG KÊ LƯƠNG"/>
      <sheetName val="thu tiền bhxh Quyên"/>
      <sheetName val="Tỷ lê hoàn thành"/>
      <sheetName val="Lương Đội 1"/>
      <sheetName val="Tong luong NT (2)"/>
      <sheetName val="Lương Đội"/>
      <sheetName val="Tong luong NT"/>
      <sheetName val="VCKD"/>
      <sheetName val="BVNT"/>
      <sheetName val="DOI 3"/>
      <sheetName val="DOI 1"/>
      <sheetName val="DOI 2"/>
      <sheetName val="KTCB"/>
      <sheetName val="Vuon uom"/>
      <sheetName val="VCKD (2)"/>
      <sheetName val="lương con lào "/>
      <sheetName val="CC NT"/>
      <sheetName val="trồng mới"/>
      <sheetName val="NĐT"/>
      <sheetName val="PC xang xe"/>
      <sheetName val="TRạm Cán"/>
      <sheetName val="chăm sóc TT"/>
      <sheetName val="THSX"/>
      <sheetName val="CVK"/>
      <sheetName val="THKT"/>
      <sheetName val="KTCC"/>
      <sheetName val="HS bảo hiểm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CNCNKT"/>
      <sheetName val="MU"/>
      <sheetName val="Sheet1"/>
      <sheetName val="Phụ cấp cán mủ "/>
      <sheetName val="Sheet2"/>
      <sheetName val="Truy lãn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">
          <cell r="C7">
            <v>20599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5">
          <cell r="AD15">
            <v>158207710</v>
          </cell>
        </row>
        <row r="163">
          <cell r="AD163">
            <v>104551558</v>
          </cell>
        </row>
      </sheetData>
      <sheetData sheetId="15">
        <row r="14">
          <cell r="G14">
            <v>31</v>
          </cell>
        </row>
      </sheetData>
      <sheetData sheetId="16"/>
      <sheetData sheetId="17"/>
      <sheetData sheetId="18"/>
      <sheetData sheetId="19">
        <row r="8">
          <cell r="B8" t="str">
            <v>Nguyễn Thanh Sơn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>
        <row r="19">
          <cell r="E19" t="str">
            <v>Souliya Chanthakhot</v>
          </cell>
        </row>
        <row r="26">
          <cell r="V26">
            <v>28133235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BẢNG PHÂN TOÁN ĐÚNG"/>
      <sheetName val="Tạm tính BN"/>
      <sheetName val="Mủ BN D40"/>
      <sheetName val="THƯỞNG SL"/>
      <sheetName val="QL LƯƠNG"/>
      <sheetName val="Tổ 1"/>
      <sheetName val="Tổ 2"/>
      <sheetName val="Tổ 3"/>
      <sheetName val="Tạp vụ"/>
      <sheetName val="DANH SÁCH THUẾ"/>
      <sheetName val="BV"/>
      <sheetName val="Chấm công công nhân"/>
      <sheetName val="Mủ"/>
      <sheetName val="Tong hop cong"/>
      <sheetName val="BẢNG LƯƠNG KT"/>
      <sheetName val="PL con"/>
      <sheetName val="pl CBCNV"/>
      <sheetName val="1"/>
      <sheetName val="2"/>
      <sheetName val="3"/>
      <sheetName val="LƯƠNG TT"/>
      <sheetName val="Lương gia thuộc"/>
      <sheetName val="Phụ cấp"/>
      <sheetName val="Vươn KTCB"/>
      <sheetName val="KTCB"/>
      <sheetName val="Lương USD"/>
      <sheetName val="Bảng kê lương"/>
      <sheetName val="PC trực đêm"/>
      <sheetName val="Công CBNV"/>
      <sheetName val="Chấm công xăng)"/>
      <sheetName val="tt xăng"/>
      <sheetName val="Tính lương tổ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HẤM CÔNG BV"/>
      <sheetName val="CV KHAC"/>
      <sheetName val="BHXH"/>
      <sheetName val="NTNB"/>
      <sheetName val=" Công"/>
      <sheetName val="mẩu"/>
      <sheetName val="TRƯỞNG BẢN"/>
      <sheetName val="TỔNG HỢP CHI PHÍ KHÁC"/>
      <sheetName val="KHSX T8"/>
      <sheetName val="BCSXT7"/>
      <sheetName val="BCSX T8"/>
      <sheetName val="KHSX T9"/>
      <sheetName val="bcsx t9"/>
      <sheetName val="khsx t10"/>
      <sheetName val="xã cạo t1"/>
      <sheetName val="bcsx t10"/>
      <sheetName val="khsx t11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Hổ trợ 2421"/>
      <sheetName val="MSNV"/>
      <sheetName val="TIỀN ĂN"/>
      <sheetName val="Thưởng tết dương lich"/>
      <sheetName val="Sheet1"/>
    </sheetNames>
    <sheetDataSet>
      <sheetData sheetId="0"/>
      <sheetData sheetId="1"/>
      <sheetData sheetId="2"/>
      <sheetData sheetId="3">
        <row r="12">
          <cell r="C12" t="str">
            <v>Phò Đăm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6">
          <cell r="L66" t="str">
            <v>Phò Đăm</v>
          </cell>
        </row>
        <row r="67">
          <cell r="L67" t="str">
            <v>Thảo Mai</v>
          </cell>
        </row>
        <row r="68">
          <cell r="L68" t="str">
            <v>Thảo Tưng</v>
          </cell>
        </row>
        <row r="69">
          <cell r="L69" t="str">
            <v>Thảo Xay</v>
          </cell>
        </row>
        <row r="70">
          <cell r="L70" t="str">
            <v>Nàng Nọi</v>
          </cell>
        </row>
        <row r="71">
          <cell r="L71" t="str">
            <v>Thảo Đăm</v>
          </cell>
        </row>
        <row r="72">
          <cell r="L72" t="str">
            <v>Thảo Chăn</v>
          </cell>
        </row>
        <row r="73">
          <cell r="L73" t="str">
            <v>Thảo Cô</v>
          </cell>
        </row>
        <row r="74">
          <cell r="L74" t="str">
            <v>Thảo Nha</v>
          </cell>
        </row>
        <row r="75">
          <cell r="L75" t="str">
            <v>Thảo Đăm 2</v>
          </cell>
        </row>
        <row r="76">
          <cell r="L76" t="str">
            <v>Thảo Lay</v>
          </cell>
        </row>
        <row r="77">
          <cell r="L77" t="str">
            <v>Thảo Khên</v>
          </cell>
        </row>
        <row r="78">
          <cell r="L78" t="str">
            <v>Thảo Khon</v>
          </cell>
        </row>
        <row r="79">
          <cell r="L79" t="str">
            <v>Thảo Nga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64">
          <cell r="M64" t="str">
            <v>A</v>
          </cell>
        </row>
        <row r="65">
          <cell r="M65" t="str">
            <v>B</v>
          </cell>
        </row>
        <row r="66">
          <cell r="M66" t="str">
            <v>B</v>
          </cell>
        </row>
        <row r="67">
          <cell r="M67" t="str">
            <v>A</v>
          </cell>
        </row>
        <row r="68">
          <cell r="M68" t="str">
            <v>B</v>
          </cell>
        </row>
        <row r="69">
          <cell r="M69" t="str">
            <v>B</v>
          </cell>
        </row>
        <row r="70">
          <cell r="M70" t="str">
            <v>A</v>
          </cell>
        </row>
        <row r="71">
          <cell r="M71" t="str">
            <v>B</v>
          </cell>
        </row>
        <row r="72">
          <cell r="M72" t="str">
            <v>A</v>
          </cell>
        </row>
        <row r="73">
          <cell r="M73" t="str">
            <v>B</v>
          </cell>
        </row>
        <row r="74">
          <cell r="M74" t="str">
            <v>B</v>
          </cell>
        </row>
        <row r="75">
          <cell r="M75" t="str">
            <v>A</v>
          </cell>
        </row>
        <row r="76">
          <cell r="M76" t="str">
            <v>A</v>
          </cell>
        </row>
        <row r="77">
          <cell r="M77" t="str">
            <v>B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ÁT A"/>
      <sheetName val="LÁT B"/>
      <sheetName val="LÁT C"/>
      <sheetName val="LÁT D"/>
      <sheetName val="MỦ DÂY"/>
      <sheetName val="BẢNG CHẤM CÔNG + Lương KT"/>
    </sheetNames>
    <sheetDataSet>
      <sheetData sheetId="0" refreshError="1">
        <row r="9">
          <cell r="N9">
            <v>14</v>
          </cell>
        </row>
        <row r="11">
          <cell r="N11">
            <v>10</v>
          </cell>
        </row>
        <row r="12">
          <cell r="N12">
            <v>0</v>
          </cell>
        </row>
        <row r="13">
          <cell r="N13">
            <v>10</v>
          </cell>
        </row>
        <row r="14">
          <cell r="N14">
            <v>15</v>
          </cell>
        </row>
        <row r="15">
          <cell r="N15">
            <v>15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10</v>
          </cell>
        </row>
        <row r="19">
          <cell r="N19">
            <v>0</v>
          </cell>
        </row>
        <row r="20">
          <cell r="N20">
            <v>8</v>
          </cell>
        </row>
        <row r="21">
          <cell r="N21">
            <v>28</v>
          </cell>
        </row>
        <row r="22">
          <cell r="N22">
            <v>0</v>
          </cell>
        </row>
        <row r="23">
          <cell r="N23">
            <v>10</v>
          </cell>
        </row>
        <row r="33">
          <cell r="N33">
            <v>12</v>
          </cell>
        </row>
        <row r="34">
          <cell r="N34">
            <v>14</v>
          </cell>
        </row>
        <row r="35">
          <cell r="N35">
            <v>11</v>
          </cell>
        </row>
        <row r="36">
          <cell r="N36">
            <v>10</v>
          </cell>
        </row>
        <row r="37">
          <cell r="N37">
            <v>11</v>
          </cell>
        </row>
        <row r="38">
          <cell r="N38">
            <v>0</v>
          </cell>
        </row>
        <row r="39">
          <cell r="N39">
            <v>10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14</v>
          </cell>
        </row>
        <row r="44">
          <cell r="N44">
            <v>15</v>
          </cell>
        </row>
        <row r="45">
          <cell r="N45">
            <v>0</v>
          </cell>
        </row>
        <row r="46">
          <cell r="N46">
            <v>12</v>
          </cell>
        </row>
        <row r="47">
          <cell r="N47">
            <v>0</v>
          </cell>
        </row>
        <row r="48">
          <cell r="N48">
            <v>10</v>
          </cell>
        </row>
        <row r="49">
          <cell r="N49">
            <v>0</v>
          </cell>
        </row>
        <row r="50">
          <cell r="N50">
            <v>11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13</v>
          </cell>
        </row>
      </sheetData>
      <sheetData sheetId="1" refreshError="1">
        <row r="9">
          <cell r="N9">
            <v>14</v>
          </cell>
        </row>
        <row r="11">
          <cell r="N11">
            <v>10</v>
          </cell>
        </row>
        <row r="12">
          <cell r="N12">
            <v>0</v>
          </cell>
        </row>
        <row r="13">
          <cell r="N13">
            <v>10</v>
          </cell>
        </row>
        <row r="14">
          <cell r="N14">
            <v>15</v>
          </cell>
        </row>
        <row r="15">
          <cell r="N15">
            <v>15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10</v>
          </cell>
        </row>
        <row r="19">
          <cell r="N19">
            <v>0</v>
          </cell>
        </row>
        <row r="20">
          <cell r="N20">
            <v>8</v>
          </cell>
        </row>
        <row r="21">
          <cell r="N21">
            <v>28</v>
          </cell>
        </row>
        <row r="22">
          <cell r="N22">
            <v>0</v>
          </cell>
        </row>
        <row r="23">
          <cell r="N23">
            <v>10</v>
          </cell>
        </row>
        <row r="33">
          <cell r="N33">
            <v>12</v>
          </cell>
        </row>
        <row r="34">
          <cell r="N34">
            <v>14</v>
          </cell>
        </row>
        <row r="35">
          <cell r="N35">
            <v>11</v>
          </cell>
        </row>
        <row r="36">
          <cell r="N36">
            <v>10</v>
          </cell>
        </row>
        <row r="37">
          <cell r="N37">
            <v>11</v>
          </cell>
        </row>
        <row r="38">
          <cell r="N38">
            <v>0</v>
          </cell>
        </row>
        <row r="39">
          <cell r="N39">
            <v>10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14</v>
          </cell>
        </row>
        <row r="44">
          <cell r="N44">
            <v>15</v>
          </cell>
        </row>
        <row r="45">
          <cell r="N45">
            <v>0</v>
          </cell>
        </row>
        <row r="46">
          <cell r="N46">
            <v>12</v>
          </cell>
        </row>
        <row r="47">
          <cell r="N47">
            <v>0</v>
          </cell>
        </row>
        <row r="48">
          <cell r="N48">
            <v>10</v>
          </cell>
        </row>
        <row r="49">
          <cell r="N49">
            <v>0</v>
          </cell>
        </row>
        <row r="50">
          <cell r="N50">
            <v>11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13</v>
          </cell>
        </row>
      </sheetData>
      <sheetData sheetId="2" refreshError="1">
        <row r="9">
          <cell r="N9">
            <v>14</v>
          </cell>
        </row>
        <row r="11">
          <cell r="N11">
            <v>10</v>
          </cell>
        </row>
        <row r="12">
          <cell r="N12">
            <v>0</v>
          </cell>
        </row>
        <row r="13">
          <cell r="N13">
            <v>10</v>
          </cell>
        </row>
        <row r="14">
          <cell r="N14">
            <v>15</v>
          </cell>
        </row>
        <row r="15">
          <cell r="N15">
            <v>15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10</v>
          </cell>
        </row>
        <row r="19">
          <cell r="N19">
            <v>0</v>
          </cell>
        </row>
        <row r="20">
          <cell r="N20">
            <v>8</v>
          </cell>
        </row>
        <row r="21">
          <cell r="N21">
            <v>28</v>
          </cell>
        </row>
        <row r="22">
          <cell r="N22">
            <v>0</v>
          </cell>
        </row>
        <row r="23">
          <cell r="N23">
            <v>10</v>
          </cell>
        </row>
        <row r="33">
          <cell r="N33">
            <v>12</v>
          </cell>
        </row>
        <row r="34">
          <cell r="N34">
            <v>14</v>
          </cell>
        </row>
        <row r="35">
          <cell r="N35">
            <v>11</v>
          </cell>
        </row>
        <row r="36">
          <cell r="N36">
            <v>10</v>
          </cell>
        </row>
        <row r="37">
          <cell r="N37">
            <v>11</v>
          </cell>
        </row>
        <row r="38">
          <cell r="N38">
            <v>0</v>
          </cell>
        </row>
        <row r="39">
          <cell r="N39">
            <v>10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14</v>
          </cell>
        </row>
        <row r="44">
          <cell r="N44">
            <v>15</v>
          </cell>
        </row>
        <row r="45">
          <cell r="N45">
            <v>0</v>
          </cell>
        </row>
        <row r="46">
          <cell r="N46">
            <v>12</v>
          </cell>
        </row>
        <row r="47">
          <cell r="N47">
            <v>0</v>
          </cell>
        </row>
        <row r="48">
          <cell r="N48">
            <v>10</v>
          </cell>
        </row>
        <row r="49">
          <cell r="N49">
            <v>0</v>
          </cell>
        </row>
        <row r="50">
          <cell r="N50">
            <v>11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13</v>
          </cell>
        </row>
      </sheetData>
      <sheetData sheetId="3" refreshError="1">
        <row r="9">
          <cell r="N9">
            <v>14</v>
          </cell>
        </row>
        <row r="11">
          <cell r="N11">
            <v>10</v>
          </cell>
        </row>
        <row r="12">
          <cell r="N12">
            <v>0</v>
          </cell>
        </row>
        <row r="13">
          <cell r="N13">
            <v>10</v>
          </cell>
        </row>
        <row r="14">
          <cell r="N14">
            <v>15</v>
          </cell>
        </row>
        <row r="15">
          <cell r="N15">
            <v>15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10</v>
          </cell>
        </row>
        <row r="19">
          <cell r="N19">
            <v>0</v>
          </cell>
        </row>
        <row r="20">
          <cell r="N20">
            <v>8</v>
          </cell>
        </row>
        <row r="21">
          <cell r="N21">
            <v>28</v>
          </cell>
        </row>
        <row r="22">
          <cell r="N22">
            <v>0</v>
          </cell>
        </row>
        <row r="23">
          <cell r="N23">
            <v>10</v>
          </cell>
        </row>
        <row r="33">
          <cell r="N33">
            <v>12</v>
          </cell>
        </row>
        <row r="34">
          <cell r="N34">
            <v>14</v>
          </cell>
        </row>
        <row r="35">
          <cell r="N35">
            <v>11</v>
          </cell>
        </row>
        <row r="36">
          <cell r="N36">
            <v>10</v>
          </cell>
        </row>
        <row r="37">
          <cell r="N37">
            <v>11</v>
          </cell>
        </row>
        <row r="38">
          <cell r="N38">
            <v>0</v>
          </cell>
        </row>
        <row r="39">
          <cell r="N39">
            <v>10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14</v>
          </cell>
        </row>
        <row r="44">
          <cell r="N44">
            <v>15</v>
          </cell>
        </row>
        <row r="45">
          <cell r="N45">
            <v>0</v>
          </cell>
        </row>
        <row r="46">
          <cell r="N46">
            <v>12</v>
          </cell>
        </row>
        <row r="47">
          <cell r="N47">
            <v>0</v>
          </cell>
        </row>
        <row r="48">
          <cell r="N48">
            <v>10</v>
          </cell>
        </row>
        <row r="49">
          <cell r="N49">
            <v>0</v>
          </cell>
        </row>
        <row r="50">
          <cell r="N50">
            <v>11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13</v>
          </cell>
        </row>
      </sheetData>
      <sheetData sheetId="4" refreshError="1">
        <row r="9">
          <cell r="AH9">
            <v>0</v>
          </cell>
        </row>
        <row r="11">
          <cell r="AH11">
            <v>0</v>
          </cell>
        </row>
        <row r="12">
          <cell r="AH12">
            <v>0</v>
          </cell>
        </row>
        <row r="13">
          <cell r="AH13">
            <v>0</v>
          </cell>
        </row>
        <row r="14">
          <cell r="AH14">
            <v>0</v>
          </cell>
        </row>
        <row r="15">
          <cell r="AH15">
            <v>0</v>
          </cell>
        </row>
        <row r="16">
          <cell r="AH16">
            <v>0</v>
          </cell>
        </row>
        <row r="17">
          <cell r="AH17">
            <v>0</v>
          </cell>
        </row>
        <row r="18">
          <cell r="AH18">
            <v>0</v>
          </cell>
        </row>
        <row r="19">
          <cell r="AH19">
            <v>0</v>
          </cell>
        </row>
        <row r="20">
          <cell r="AH20">
            <v>0</v>
          </cell>
        </row>
        <row r="21">
          <cell r="AH21">
            <v>0</v>
          </cell>
        </row>
        <row r="22">
          <cell r="AH22">
            <v>0</v>
          </cell>
        </row>
        <row r="23">
          <cell r="AH23">
            <v>0</v>
          </cell>
        </row>
        <row r="33">
          <cell r="AH33">
            <v>0</v>
          </cell>
        </row>
        <row r="34">
          <cell r="AH34">
            <v>0</v>
          </cell>
        </row>
        <row r="35">
          <cell r="AH35">
            <v>0</v>
          </cell>
        </row>
        <row r="36">
          <cell r="AH36">
            <v>0</v>
          </cell>
        </row>
        <row r="37">
          <cell r="AH37">
            <v>0</v>
          </cell>
        </row>
        <row r="38">
          <cell r="AH38">
            <v>0</v>
          </cell>
        </row>
        <row r="39">
          <cell r="AH39">
            <v>0</v>
          </cell>
        </row>
        <row r="40">
          <cell r="AH40">
            <v>0</v>
          </cell>
        </row>
        <row r="41">
          <cell r="AH41">
            <v>0</v>
          </cell>
        </row>
        <row r="42">
          <cell r="AH42">
            <v>0</v>
          </cell>
        </row>
        <row r="43">
          <cell r="AH43">
            <v>0</v>
          </cell>
        </row>
        <row r="44">
          <cell r="AH44">
            <v>0</v>
          </cell>
        </row>
        <row r="45">
          <cell r="AH45">
            <v>0</v>
          </cell>
        </row>
        <row r="46">
          <cell r="AH46">
            <v>0</v>
          </cell>
        </row>
        <row r="47">
          <cell r="AH47">
            <v>0</v>
          </cell>
        </row>
        <row r="48">
          <cell r="AH48">
            <v>0</v>
          </cell>
        </row>
        <row r="49">
          <cell r="AH49">
            <v>0</v>
          </cell>
        </row>
        <row r="50">
          <cell r="AH50">
            <v>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0</v>
          </cell>
        </row>
        <row r="54">
          <cell r="AH54">
            <v>0</v>
          </cell>
        </row>
        <row r="55">
          <cell r="AH55">
            <v>0</v>
          </cell>
        </row>
        <row r="56">
          <cell r="AH56">
            <v>0</v>
          </cell>
        </row>
      </sheetData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HƯỞNG SL"/>
      <sheetName val="QL LƯƠNG"/>
      <sheetName val="Tổ 1"/>
      <sheetName val="Tổ 2"/>
      <sheetName val="Tổ 3"/>
      <sheetName val="Tạp vụ"/>
      <sheetName val="BV"/>
      <sheetName val="Chấm công công nhân"/>
      <sheetName val="Mủ"/>
      <sheetName val="Tong hop cong"/>
      <sheetName val="BẢNG LƯƠNG KT"/>
      <sheetName val="PL con"/>
      <sheetName val="1"/>
      <sheetName val="2"/>
      <sheetName val="3"/>
      <sheetName val="LƯƠNG TT"/>
      <sheetName val="Vươn KTCB"/>
      <sheetName val="KTCB"/>
      <sheetName val="Lương USD"/>
      <sheetName val="Bảng kê lương"/>
      <sheetName val="PC trực đêm"/>
      <sheetName val="Công CBNV"/>
      <sheetName val="Chấm công xăng)"/>
      <sheetName val="tt xăng"/>
      <sheetName val="Tính lương tổ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HẤM CÔNG BV"/>
      <sheetName val="CV KHAC"/>
      <sheetName val="BHXH"/>
      <sheetName val="NTNB"/>
      <sheetName val=" Công"/>
      <sheetName val="mẩu"/>
      <sheetName val="TRƯỞNG BẢN"/>
      <sheetName val="KHSX T8"/>
      <sheetName val="BCSXT7"/>
      <sheetName val="BCSX T8"/>
      <sheetName val="KHSX T9"/>
      <sheetName val="xã cạo t1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Hổ trợ 2421"/>
      <sheetName val="MSNV"/>
      <sheetName val="TIỀN ĂN"/>
      <sheetName val="Thưởng tết dương lich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3">
          <cell r="L13" t="str">
            <v>Vắt Đi</v>
          </cell>
        </row>
        <row r="50">
          <cell r="L50" t="str">
            <v>Thảo tít</v>
          </cell>
        </row>
        <row r="51">
          <cell r="L51" t="str">
            <v>Thảo ớt</v>
          </cell>
        </row>
        <row r="52">
          <cell r="L52" t="str">
            <v>Nàng Ọt</v>
          </cell>
        </row>
        <row r="53">
          <cell r="L53" t="str">
            <v>Thào Tòng</v>
          </cell>
        </row>
        <row r="54">
          <cell r="L54" t="str">
            <v>Nàng Nơm</v>
          </cell>
        </row>
        <row r="55">
          <cell r="L55" t="str">
            <v>Thảo Ây</v>
          </cell>
        </row>
        <row r="56">
          <cell r="L56" t="str">
            <v>Thảo Âm Thong</v>
          </cell>
        </row>
        <row r="57">
          <cell r="L57" t="str">
            <v>Nàng phon</v>
          </cell>
        </row>
        <row r="58">
          <cell r="L58" t="str">
            <v>Thảo phắt</v>
          </cell>
        </row>
        <row r="59">
          <cell r="L59" t="str">
            <v>Thảo Phon Say</v>
          </cell>
        </row>
        <row r="60">
          <cell r="L60" t="str">
            <v>Nàng Pít</v>
          </cell>
        </row>
        <row r="61">
          <cell r="L61" t="str">
            <v>Thảo út</v>
          </cell>
        </row>
        <row r="62">
          <cell r="L62" t="str">
            <v>Nàng ăm</v>
          </cell>
        </row>
        <row r="63">
          <cell r="L63" t="str">
            <v>Nàng Phìn</v>
          </cell>
        </row>
        <row r="64">
          <cell r="L64" t="str">
            <v>May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xit đánh đông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xit đánh đông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CHẤM CÔNG"/>
      <sheetName val="LÁT A"/>
      <sheetName val="LÁT B"/>
      <sheetName val="LÁT C"/>
      <sheetName val="LÁT D"/>
      <sheetName val="TH MỦ CN"/>
      <sheetName val="MỦ DÂY"/>
      <sheetName val="bôi thuốc"/>
      <sheetName val="kỷ thuật"/>
      <sheetName val="axit đánh đông"/>
      <sheetName val="phụ cấp gạo nếp"/>
      <sheetName val="CHẤM CÔNG BV"/>
      <sheetName val="LƯƠNG KT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CHẤM CÔNG"/>
      <sheetName val="LÁT A"/>
      <sheetName val="LÁT B"/>
      <sheetName val="LÁT C"/>
      <sheetName val="LÁT D"/>
      <sheetName val="TH MỦ CN"/>
      <sheetName val="MỦ DÂY"/>
      <sheetName val="bôi thuốc (2)"/>
      <sheetName val="kỷ thuật"/>
      <sheetName val="axit đánh đông"/>
      <sheetName val="phụ cấp gạo nếp"/>
      <sheetName val="CHẤM CÔNG BV"/>
      <sheetName val="LƯƠNG KT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t csu hiệu quả"/>
      <sheetName val="BCSX T3"/>
      <sheetName val="KH SX T3-2022"/>
      <sheetName val="BC SX T5"/>
      <sheetName val="bcsx t6"/>
      <sheetName val="kh SX T7"/>
      <sheetName val="Sheet1"/>
      <sheetName val="kh SX T8"/>
      <sheetName val="BCSX T8"/>
      <sheetName val="BCSX T8 (2)"/>
      <sheetName val="BC SX T9"/>
      <sheetName val="kh SX T10 (2)"/>
      <sheetName val="KHSX T11"/>
      <sheetName val="KHSX T11 (2)"/>
      <sheetName val="Sheet2"/>
      <sheetName val="KHSX T11 (3)"/>
      <sheetName val="KH phun bao lô chống cháy (2)"/>
      <sheetName val="t2"/>
      <sheetName val="KH phun bao lô chống cháy"/>
      <sheetName val="t1"/>
      <sheetName val="BCSX T11"/>
      <sheetName val="KHSX T11 bo sung"/>
      <sheetName val="KHSX T12 (3)"/>
      <sheetName val="KHSX T12 (2)"/>
      <sheetName val="KHSX T12"/>
      <sheetName val="KHSX T12 (4)"/>
      <sheetName val="KHSX T1"/>
      <sheetName val="phun"/>
      <sheetName val="BCSX T1 (2)"/>
      <sheetName val="BCSX T2 (2)"/>
      <sheetName val="KHSX T3"/>
      <sheetName val="BCSX T4"/>
      <sheetName val="KHSX t5"/>
      <sheetName val="BCSX T5"/>
      <sheetName val="BCSXT6"/>
      <sheetName val="BCSX T7"/>
      <sheetName val="BC SX T8"/>
      <sheetName val="BCSX T9"/>
      <sheetName val="BCSX T10"/>
      <sheetName val="BCKL T 11"/>
      <sheetName val="KHSXT12"/>
      <sheetName val="BCSXT4"/>
      <sheetName val="BC T6"/>
      <sheetName val="Sheet3"/>
      <sheetName val="KHSX7"/>
      <sheetName val="KHBS"/>
      <sheetName val="BCSX T7 "/>
      <sheetName val="KHSX8"/>
      <sheetName val="BCSX T08"/>
      <sheetName val="KHSX T9"/>
      <sheetName val="BCSX  T9"/>
      <sheetName val="KHSX T10"/>
      <sheetName val="BCSX  T10"/>
      <sheetName val="BCSX T10 sửa "/>
      <sheetName val="Sheet4"/>
      <sheetName val="KH Bổ sung T10"/>
      <sheetName val="KHSX  T11"/>
      <sheetName val=" BCSX T11  "/>
      <sheetName val="KHSX T12 "/>
      <sheetName val="KH BỔ SUNG t12"/>
      <sheetName val="KH BỔ SUNG KO BĂM CHỒI"/>
      <sheetName val="BCSX T12 ( 3m)"/>
      <sheetName val="BCSX T12( 2,6m) "/>
      <sheetName val="Chuyển đổi công"/>
      <sheetName val="Chuyển đổi công làm KH"/>
      <sheetName val="BCSX sau Chuyển đổi"/>
      <sheetName val="KH BỔ SUNG T12 "/>
      <sheetName val="KHSX T1-2025"/>
      <sheetName val="Sheet5"/>
      <sheetName val="Sheet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>
        <row r="11">
          <cell r="F11">
            <v>2080</v>
          </cell>
        </row>
      </sheetData>
      <sheetData sheetId="64"/>
      <sheetData sheetId="65">
        <row r="23">
          <cell r="S23" t="str">
            <v>ủi 2,6m</v>
          </cell>
          <cell r="W23" t="str">
            <v>bv</v>
          </cell>
          <cell r="X23" t="str">
            <v>dọn dẹp</v>
          </cell>
          <cell r="Y23" t="str">
            <v>TỔNG CÔNG</v>
          </cell>
        </row>
        <row r="24">
          <cell r="W24">
            <v>416</v>
          </cell>
        </row>
      </sheetData>
      <sheetData sheetId="66"/>
      <sheetData sheetId="67"/>
      <sheetData sheetId="68"/>
      <sheetData sheetId="6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 KTCB"/>
      <sheetName val="TH VC TC (2)"/>
      <sheetName val="Lương CVK "/>
      <sheetName val="Tổng Hợp CVK"/>
      <sheetName val="Hang KT"/>
      <sheetName val="Mã số nhân viên"/>
      <sheetName val="Chấm công KT"/>
      <sheetName val="TONGHOPCONGDOI"/>
      <sheetName val="tiền TB"/>
      <sheetName val="Bảng CC VP,BV"/>
      <sheetName val="CNKT"/>
      <sheetName val="Lương người việt"/>
      <sheetName val="Thi đua 3 tháng cuối năm"/>
      <sheetName val="Chấm công gạo nếp"/>
      <sheetName val="Hổ TRỢ NẾP"/>
      <sheetName val="Tổng lương NT"/>
      <sheetName val="Lương bảo vệ"/>
      <sheetName val="LƯƠNG USD VN"/>
      <sheetName val="BẢNG KÊ LƯƠNG"/>
      <sheetName val="Cánh tính lương"/>
      <sheetName val="Tỷ lệ hoàn thành"/>
      <sheetName val="Danh sách ứng lương"/>
      <sheetName val="Trạm cán"/>
      <sheetName val="PLcon"/>
      <sheetName val="PLcon NT"/>
      <sheetName val="BHXH "/>
      <sheetName val="Phân Toán"/>
      <sheetName val="KL cán "/>
      <sheetName val="Khối lượng TC"/>
      <sheetName val="XMNMCB"/>
      <sheetName val="Nhập mủ"/>
      <sheetName val="CC d1"/>
      <sheetName val="sl d1"/>
      <sheetName val="CC d2"/>
      <sheetName val="SL d2"/>
      <sheetName val="CC d3"/>
      <sheetName val="SL d3"/>
      <sheetName val="CC d4"/>
      <sheetName val="SL d4"/>
      <sheetName val="KT D1"/>
      <sheetName val="KT D2"/>
      <sheetName val="KT d3"/>
      <sheetName val="KT D4"/>
      <sheetName val="xăng xe"/>
      <sheetName val="Lể 2.9"/>
      <sheetName val="Sheet7"/>
      <sheetName val="Vệ sinh trạm cán"/>
      <sheetName val="Hổ trợ vi gô"/>
      <sheetName val="Báo cáo SX T09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AJ6">
            <v>26</v>
          </cell>
        </row>
      </sheetData>
      <sheetData sheetId="10">
        <row r="13">
          <cell r="D13" t="str">
            <v>Thảo Văn Vông</v>
          </cell>
        </row>
        <row r="18">
          <cell r="B18">
            <v>0</v>
          </cell>
        </row>
        <row r="19">
          <cell r="B19">
            <v>0</v>
          </cell>
        </row>
        <row r="20">
          <cell r="B20">
            <v>0</v>
          </cell>
        </row>
        <row r="21">
          <cell r="B21">
            <v>0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  <row r="26">
          <cell r="B26">
            <v>0</v>
          </cell>
        </row>
        <row r="27">
          <cell r="B27">
            <v>0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0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0</v>
          </cell>
        </row>
        <row r="40">
          <cell r="B40">
            <v>0</v>
          </cell>
        </row>
        <row r="41">
          <cell r="B41">
            <v>0</v>
          </cell>
        </row>
        <row r="42">
          <cell r="B42">
            <v>0</v>
          </cell>
        </row>
        <row r="43">
          <cell r="B43">
            <v>0</v>
          </cell>
        </row>
        <row r="44">
          <cell r="B44">
            <v>0</v>
          </cell>
        </row>
        <row r="45">
          <cell r="B45">
            <v>0</v>
          </cell>
        </row>
        <row r="46">
          <cell r="B46">
            <v>0</v>
          </cell>
        </row>
        <row r="47">
          <cell r="B47">
            <v>0</v>
          </cell>
        </row>
        <row r="48">
          <cell r="B48">
            <v>0</v>
          </cell>
        </row>
        <row r="49">
          <cell r="B49">
            <v>0</v>
          </cell>
        </row>
        <row r="50">
          <cell r="B50">
            <v>0</v>
          </cell>
        </row>
        <row r="51">
          <cell r="B51">
            <v>0</v>
          </cell>
        </row>
        <row r="52">
          <cell r="B52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>
        <row r="9">
          <cell r="C9">
            <v>20773</v>
          </cell>
        </row>
      </sheetData>
      <sheetData sheetId="19"/>
      <sheetData sheetId="20"/>
      <sheetData sheetId="21"/>
      <sheetData sheetId="22">
        <row r="15">
          <cell r="D15" t="str">
            <v>02358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HƯỞNG SL"/>
      <sheetName val="QL LƯƠNG"/>
      <sheetName val="Tổ 1"/>
      <sheetName val="Tổ 2"/>
      <sheetName val="Tổ 3"/>
      <sheetName val="Tạp vụ"/>
      <sheetName val="BV"/>
      <sheetName val="Chấm công công nhân"/>
      <sheetName val="Mủ"/>
      <sheetName val="Tong hop cong"/>
      <sheetName val="BẢNG LƯƠNG KT"/>
      <sheetName val="1"/>
      <sheetName val="2"/>
      <sheetName val="3"/>
      <sheetName val="LƯƠNG TT"/>
      <sheetName val="Vươn KTCB"/>
      <sheetName val="KTCB"/>
      <sheetName val="Lương USD"/>
      <sheetName val="Bảng kê lương"/>
      <sheetName val="PC trực đêm"/>
      <sheetName val="Công CBNV"/>
      <sheetName val="Chấm công xăng)"/>
      <sheetName val="tt xăng"/>
      <sheetName val="Tính lương tổ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HẤM CÔNG BV"/>
      <sheetName val="CV KHAC"/>
      <sheetName val="BHXH"/>
      <sheetName val="NTNB"/>
      <sheetName val=" Công"/>
      <sheetName val="mẩu"/>
      <sheetName val="TRƯỞNG BẢN"/>
      <sheetName val="KHSX T8"/>
      <sheetName val="BCSXT7"/>
      <sheetName val="xã cạo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Sheet3"/>
      <sheetName val="MSNV"/>
      <sheetName val="TIỀN ĂN"/>
      <sheetName val="Thưởng tết dương lich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8">
          <cell r="C8" t="str">
            <v>Phò Đăm</v>
          </cell>
          <cell r="H8">
            <v>0</v>
          </cell>
          <cell r="P8">
            <v>0</v>
          </cell>
          <cell r="Q8">
            <v>1045</v>
          </cell>
          <cell r="S8">
            <v>418</v>
          </cell>
          <cell r="T8">
            <v>0</v>
          </cell>
          <cell r="U8">
            <v>0</v>
          </cell>
        </row>
        <row r="9">
          <cell r="C9" t="str">
            <v>Thảo Mai</v>
          </cell>
          <cell r="H9">
            <v>0</v>
          </cell>
          <cell r="P9">
            <v>0</v>
          </cell>
          <cell r="Q9">
            <v>804</v>
          </cell>
          <cell r="S9">
            <v>321.60000000000002</v>
          </cell>
          <cell r="T9">
            <v>0</v>
          </cell>
          <cell r="U9">
            <v>0</v>
          </cell>
        </row>
        <row r="10">
          <cell r="C10" t="str">
            <v>Thảo Tưng</v>
          </cell>
          <cell r="H10">
            <v>0</v>
          </cell>
          <cell r="P10">
            <v>0</v>
          </cell>
          <cell r="Q10">
            <v>1585</v>
          </cell>
          <cell r="S10">
            <v>634</v>
          </cell>
          <cell r="T10">
            <v>0</v>
          </cell>
          <cell r="U10">
            <v>0</v>
          </cell>
        </row>
        <row r="11">
          <cell r="C11" t="str">
            <v>Thảo Xay</v>
          </cell>
          <cell r="H11">
            <v>0</v>
          </cell>
          <cell r="P11">
            <v>0</v>
          </cell>
          <cell r="Q11">
            <v>1235</v>
          </cell>
          <cell r="S11">
            <v>494</v>
          </cell>
          <cell r="T11">
            <v>0</v>
          </cell>
          <cell r="U11">
            <v>0</v>
          </cell>
        </row>
        <row r="12">
          <cell r="C12" t="str">
            <v>Nàng Nọi</v>
          </cell>
          <cell r="H12">
            <v>0</v>
          </cell>
          <cell r="P12">
            <v>0</v>
          </cell>
          <cell r="Q12">
            <v>1231</v>
          </cell>
          <cell r="S12">
            <v>492.40000000000003</v>
          </cell>
          <cell r="T12">
            <v>0</v>
          </cell>
          <cell r="U12">
            <v>0</v>
          </cell>
        </row>
        <row r="13">
          <cell r="C13" t="str">
            <v>Thảo Đăm</v>
          </cell>
          <cell r="H13">
            <v>0</v>
          </cell>
          <cell r="P13">
            <v>0</v>
          </cell>
          <cell r="Q13">
            <v>773</v>
          </cell>
          <cell r="S13">
            <v>309.20000000000005</v>
          </cell>
          <cell r="T13">
            <v>0</v>
          </cell>
          <cell r="U13">
            <v>0</v>
          </cell>
        </row>
        <row r="14">
          <cell r="C14" t="str">
            <v>Thảo Lơ</v>
          </cell>
          <cell r="H14">
            <v>0</v>
          </cell>
          <cell r="P14">
            <v>0</v>
          </cell>
          <cell r="Q14">
            <v>749</v>
          </cell>
          <cell r="S14">
            <v>299.60000000000002</v>
          </cell>
          <cell r="T14">
            <v>0</v>
          </cell>
          <cell r="U14">
            <v>0</v>
          </cell>
        </row>
        <row r="15">
          <cell r="C15" t="str">
            <v>Thảo Ê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7422</v>
          </cell>
          <cell r="R16">
            <v>0</v>
          </cell>
          <cell r="S16">
            <v>2968.7999999999997</v>
          </cell>
          <cell r="T16">
            <v>0</v>
          </cell>
          <cell r="U16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>
        <row r="6">
          <cell r="B6" t="str">
            <v>Văn Ma</v>
          </cell>
          <cell r="C6" t="str">
            <v>ວັນມາ</v>
          </cell>
          <cell r="D6" t="str">
            <v>01871</v>
          </cell>
        </row>
        <row r="7">
          <cell r="B7" t="str">
            <v>Thảo Xúc</v>
          </cell>
          <cell r="C7" t="str">
            <v>ທ ສຸກ</v>
          </cell>
          <cell r="D7" t="str">
            <v>01872</v>
          </cell>
        </row>
        <row r="8">
          <cell r="B8" t="str">
            <v>Phêng</v>
          </cell>
          <cell r="C8" t="str">
            <v>ເພັງ</v>
          </cell>
          <cell r="D8" t="str">
            <v>01873</v>
          </cell>
        </row>
        <row r="9">
          <cell r="B9" t="str">
            <v>Thảo Kok</v>
          </cell>
          <cell r="C9" t="str">
            <v>ທ ກອກ</v>
          </cell>
          <cell r="D9" t="str">
            <v>01874</v>
          </cell>
        </row>
        <row r="10">
          <cell r="B10" t="str">
            <v>Văt Đi</v>
          </cell>
          <cell r="C10" t="str">
            <v>ຫວັດດີ</v>
          </cell>
          <cell r="D10" t="str">
            <v>01875</v>
          </cell>
        </row>
        <row r="11">
          <cell r="B11" t="str">
            <v>Stoong</v>
          </cell>
          <cell r="C11" t="str">
            <v>ສະຕອງ</v>
          </cell>
          <cell r="D11" t="str">
            <v>01876</v>
          </cell>
        </row>
        <row r="12">
          <cell r="B12" t="str">
            <v>Mon</v>
          </cell>
          <cell r="C12" t="str">
            <v>ມອນ</v>
          </cell>
          <cell r="D12" t="str">
            <v>01877</v>
          </cell>
        </row>
        <row r="13">
          <cell r="B13" t="str">
            <v>Thảo Khăm Phẩy</v>
          </cell>
        </row>
        <row r="14">
          <cell r="B14" t="str">
            <v>Loon</v>
          </cell>
          <cell r="C14" t="str">
            <v>ລອນ</v>
          </cell>
          <cell r="D14" t="str">
            <v>01879</v>
          </cell>
        </row>
        <row r="15">
          <cell r="B15" t="str">
            <v>Thảo Kỉ</v>
          </cell>
          <cell r="C15" t="str">
            <v>ທ ກີ່</v>
          </cell>
          <cell r="D15" t="str">
            <v>01880</v>
          </cell>
        </row>
        <row r="16">
          <cell r="B16" t="str">
            <v>Nàng Khỏn</v>
          </cell>
        </row>
        <row r="17">
          <cell r="B17" t="str">
            <v>Thảo Sum</v>
          </cell>
          <cell r="C17" t="str">
            <v>ທ ສົມ</v>
          </cell>
          <cell r="D17" t="str">
            <v>01894</v>
          </cell>
        </row>
        <row r="18">
          <cell r="B18" t="str">
            <v>Thảo Đinh</v>
          </cell>
          <cell r="C18" t="str">
            <v>ທ ດິນ</v>
          </cell>
          <cell r="D18" t="str">
            <v>01895</v>
          </cell>
        </row>
        <row r="19">
          <cell r="B19" t="str">
            <v>Thảo Vàng</v>
          </cell>
          <cell r="C19" t="str">
            <v>ທ ຫວ່າງ</v>
          </cell>
          <cell r="D19" t="str">
            <v>01896</v>
          </cell>
        </row>
        <row r="20">
          <cell r="B20" t="str">
            <v>Thảo Chanh</v>
          </cell>
          <cell r="C20" t="str">
            <v>ທ ຈັນ</v>
          </cell>
          <cell r="D20" t="str">
            <v>01897</v>
          </cell>
        </row>
        <row r="21">
          <cell r="B21" t="str">
            <v>Thảo Quốc</v>
          </cell>
          <cell r="C21" t="str">
            <v>ທ ກວັກ</v>
          </cell>
          <cell r="D21" t="str">
            <v>01898</v>
          </cell>
        </row>
        <row r="22">
          <cell r="B22" t="str">
            <v>Thảo Chăn Đi</v>
          </cell>
          <cell r="C22" t="str">
            <v>ທ ຈັນດີ</v>
          </cell>
          <cell r="D22" t="str">
            <v>01899</v>
          </cell>
        </row>
        <row r="23">
          <cell r="B23" t="str">
            <v>Thảo Rạng</v>
          </cell>
          <cell r="C23" t="str">
            <v>ທ ຫລັ່ງ</v>
          </cell>
          <cell r="D23" t="str">
            <v>01900</v>
          </cell>
        </row>
        <row r="24">
          <cell r="B24" t="str">
            <v>Nàng Savan</v>
          </cell>
          <cell r="C24" t="str">
            <v>ນ ສະຫວັນ</v>
          </cell>
          <cell r="D24" t="str">
            <v>01901</v>
          </cell>
        </row>
        <row r="25">
          <cell r="B25" t="str">
            <v>Thảo Sun Thon</v>
          </cell>
          <cell r="C25" t="str">
            <v>ທ ສູນທອນ</v>
          </cell>
          <cell r="D25" t="str">
            <v>01882</v>
          </cell>
        </row>
        <row r="26">
          <cell r="B26" t="str">
            <v>Nàng Ly</v>
          </cell>
          <cell r="C26" t="str">
            <v>ນ ລີ</v>
          </cell>
          <cell r="D26" t="str">
            <v>01902</v>
          </cell>
        </row>
        <row r="27">
          <cell r="B27" t="str">
            <v>Phông</v>
          </cell>
          <cell r="C27" t="str">
            <v>ພົງ</v>
          </cell>
          <cell r="D27" t="str">
            <v>01883</v>
          </cell>
        </row>
        <row r="28">
          <cell r="B28" t="str">
            <v>Thông la</v>
          </cell>
          <cell r="C28" t="str">
            <v>ທອງລາ</v>
          </cell>
          <cell r="D28" t="str">
            <v>01884</v>
          </cell>
        </row>
        <row r="29">
          <cell r="B29" t="str">
            <v>Hăm</v>
          </cell>
          <cell r="C29" t="str">
            <v>ຫຳ</v>
          </cell>
          <cell r="D29" t="str">
            <v>01885</v>
          </cell>
        </row>
        <row r="30">
          <cell r="B30" t="str">
            <v>Thảo Khút</v>
          </cell>
          <cell r="C30" t="str">
            <v>ທ ຄຸດ</v>
          </cell>
          <cell r="D30" t="str">
            <v>01886</v>
          </cell>
        </row>
        <row r="31">
          <cell r="B31" t="str">
            <v>Thảo Toong</v>
          </cell>
        </row>
        <row r="32">
          <cell r="B32" t="str">
            <v>Thảo Tùy</v>
          </cell>
        </row>
        <row r="33">
          <cell r="B33" t="str">
            <v>Nàng Cu lạp</v>
          </cell>
          <cell r="C33" t="str">
            <v>ນ ກຸຫລາບ</v>
          </cell>
          <cell r="D33" t="str">
            <v>01889</v>
          </cell>
        </row>
        <row r="34">
          <cell r="B34" t="str">
            <v>Thảo Pon</v>
          </cell>
          <cell r="C34" t="str">
            <v>ທ ປອນ</v>
          </cell>
          <cell r="D34" t="str">
            <v>01890</v>
          </cell>
        </row>
        <row r="35">
          <cell r="B35" t="str">
            <v>Thảo Súc</v>
          </cell>
          <cell r="C35" t="str">
            <v>ທ ສຸກ</v>
          </cell>
          <cell r="D35" t="str">
            <v>01891</v>
          </cell>
        </row>
        <row r="36">
          <cell r="B36" t="str">
            <v>Nàng Na</v>
          </cell>
          <cell r="C36" t="str">
            <v>ນ ນາ</v>
          </cell>
          <cell r="D36" t="str">
            <v>01892</v>
          </cell>
        </row>
        <row r="37">
          <cell r="B37" t="str">
            <v>Nàng Bun Non</v>
          </cell>
          <cell r="C37" t="str">
            <v>ນ ບຸນນອງ</v>
          </cell>
          <cell r="D37" t="str">
            <v>01893</v>
          </cell>
        </row>
        <row r="38">
          <cell r="B38" t="str">
            <v>Thảo Văn</v>
          </cell>
          <cell r="C38" t="str">
            <v>ທ ວັນ</v>
          </cell>
          <cell r="D38" t="str">
            <v>01903</v>
          </cell>
        </row>
        <row r="39">
          <cell r="B39" t="str">
            <v>Thảo vi la</v>
          </cell>
          <cell r="C39" t="str">
            <v>ທ ວີລະ</v>
          </cell>
          <cell r="D39" t="str">
            <v>01904</v>
          </cell>
        </row>
        <row r="40">
          <cell r="B40" t="str">
            <v>Nàng thay</v>
          </cell>
          <cell r="C40" t="str">
            <v>ນ ໄທ</v>
          </cell>
          <cell r="D40" t="str">
            <v>01905</v>
          </cell>
        </row>
        <row r="41">
          <cell r="B41" t="str">
            <v>Thảo Chộ</v>
          </cell>
          <cell r="C41" t="str">
            <v>ທ ໂຈ້</v>
          </cell>
          <cell r="D41" t="str">
            <v>01906</v>
          </cell>
        </row>
        <row r="42">
          <cell r="B42" t="str">
            <v>Nàng Khăm</v>
          </cell>
          <cell r="C42" t="str">
            <v>ນ ຄຳ</v>
          </cell>
          <cell r="D42" t="str">
            <v>01907</v>
          </cell>
        </row>
        <row r="43">
          <cell r="B43" t="str">
            <v>Thảo Vi</v>
          </cell>
          <cell r="C43" t="str">
            <v>ທ ວີ</v>
          </cell>
          <cell r="D43" t="str">
            <v>01908</v>
          </cell>
        </row>
        <row r="44">
          <cell r="B44" t="str">
            <v>Nàng Thong</v>
          </cell>
          <cell r="C44" t="str">
            <v>ນ ທອງ</v>
          </cell>
          <cell r="D44" t="str">
            <v>01909</v>
          </cell>
        </row>
        <row r="45">
          <cell r="B45" t="str">
            <v>Thảo Ta</v>
          </cell>
          <cell r="C45" t="str">
            <v>ທ ຕາ</v>
          </cell>
          <cell r="D45" t="str">
            <v>01910</v>
          </cell>
        </row>
        <row r="46">
          <cell r="B46" t="str">
            <v>Thảo Chứ</v>
          </cell>
          <cell r="C46" t="str">
            <v>ທ ຈື່</v>
          </cell>
          <cell r="D46" t="str">
            <v>01911</v>
          </cell>
        </row>
        <row r="47">
          <cell r="B47" t="str">
            <v xml:space="preserve">Thảo Thong </v>
          </cell>
          <cell r="C47" t="str">
            <v>ທ ທອງ</v>
          </cell>
          <cell r="D47" t="str">
            <v>01912</v>
          </cell>
        </row>
        <row r="48">
          <cell r="B48" t="str">
            <v>Thảo Pôn</v>
          </cell>
        </row>
        <row r="49">
          <cell r="B49" t="str">
            <v>Nàng Chanh</v>
          </cell>
          <cell r="C49" t="str">
            <v>ນ ຈັນ</v>
          </cell>
          <cell r="D49" t="str">
            <v>01914</v>
          </cell>
        </row>
        <row r="50">
          <cell r="B50" t="str">
            <v>Nàng Lạ</v>
          </cell>
        </row>
        <row r="51">
          <cell r="B51" t="str">
            <v>Thảo Chôm</v>
          </cell>
          <cell r="C51" t="str">
            <v>ທ ໂຈມ</v>
          </cell>
          <cell r="D51" t="str">
            <v>01916</v>
          </cell>
        </row>
        <row r="52">
          <cell r="B52" t="str">
            <v>Nàng Ven</v>
          </cell>
          <cell r="C52" t="str">
            <v>ນ ແວ່ນ</v>
          </cell>
          <cell r="D52" t="str">
            <v>01917</v>
          </cell>
        </row>
        <row r="53">
          <cell r="B53" t="str">
            <v>Nàng Đôm</v>
          </cell>
          <cell r="C53" t="str">
            <v>ນ ດົມ</v>
          </cell>
          <cell r="D53" t="str">
            <v>01918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Tạp vụ"/>
      <sheetName val="DANH SÁCH THUẾ"/>
      <sheetName val="BV"/>
      <sheetName val="Chấm công công nhân"/>
      <sheetName val="Mủ"/>
      <sheetName val="Tong hop cong"/>
      <sheetName val="BẢNG LƯƠNG KT"/>
      <sheetName val="BN TRUY LĨNH"/>
      <sheetName val="PL con"/>
      <sheetName val="pl CBCNV"/>
      <sheetName val="1"/>
      <sheetName val="2"/>
      <sheetName val="3"/>
      <sheetName val="Tạm tính BN"/>
      <sheetName val="LƯƠNG TT"/>
      <sheetName val="LƯƠNG GIA THUỘC T11"/>
      <sheetName val="Phụ cấp"/>
      <sheetName val="Vươn KTCB"/>
      <sheetName val="KTCB"/>
      <sheetName val="Lương USD"/>
      <sheetName val="Bảng kê lương"/>
      <sheetName val="PC trực đêm"/>
      <sheetName val="Công CBNV"/>
      <sheetName val="Chấm công xăng)"/>
      <sheetName val="tt xăng"/>
      <sheetName val="Tính lương tổ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HẤM CÔNG BV"/>
      <sheetName val="CV KHAC"/>
      <sheetName val="BHXH"/>
      <sheetName val="NTNB"/>
      <sheetName val=" Công"/>
      <sheetName val="mẩu"/>
      <sheetName val="TRƯỞNG BẢN"/>
      <sheetName val="TỔNG HỢP CHI PHÍ KHÁC"/>
      <sheetName val="KHSX T8"/>
      <sheetName val="BCSXT7"/>
      <sheetName val="BCSX T8"/>
      <sheetName val="KHSX T9"/>
      <sheetName val="bcsx t9"/>
      <sheetName val="khsx t10"/>
      <sheetName val="bcsx t11"/>
      <sheetName val="khsx t12"/>
      <sheetName val="xã cạo t1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Hổ trợ 2421"/>
      <sheetName val="MSNV"/>
      <sheetName val="TIỀN ĂN"/>
      <sheetName val="Thưởng tết dương lich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t csu hiệu quả"/>
      <sheetName val="KHSX T5,2019"/>
      <sheetName val="Sheet1"/>
      <sheetName val="Sheet2"/>
      <sheetName val="KHSX T7"/>
      <sheetName val="BCSX T7"/>
      <sheetName val="KHSX BS  "/>
      <sheetName val="BCSX T7.1"/>
      <sheetName val="BCSX T7.1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ổ sơ chế"/>
      <sheetName val="Luong"/>
      <sheetName val="Cham cong"/>
      <sheetName val="Com"/>
      <sheetName val="BHXH"/>
      <sheetName val="Bảo vệ VP"/>
      <sheetName val="Tạp vụ"/>
    </sheetNames>
    <sheetDataSet>
      <sheetData sheetId="0" refreshError="1"/>
      <sheetData sheetId="1" refreshError="1">
        <row r="8">
          <cell r="C8">
            <v>0.371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TNB"/>
      <sheetName val="mủ (2)"/>
      <sheetName val="mủ"/>
      <sheetName val="A (2)"/>
      <sheetName val="B (2)"/>
      <sheetName val="C (2)"/>
      <sheetName val="D (2)"/>
      <sheetName val="ABCD"/>
      <sheetName val="Tổng NT"/>
      <sheetName val="VC NĐT"/>
      <sheetName val="vckd"/>
      <sheetName val="P.Lương"/>
      <sheetName val="VC KTCB"/>
      <sheetName val="VC TAI CANH"/>
      <sheetName val="C.B NV"/>
      <sheetName val="BẢO VỆ"/>
      <sheetName val="Biểu t.h"/>
      <sheetName val="Công việc khác"/>
      <sheetName val="ky thuật"/>
      <sheetName val="C.Công"/>
      <sheetName val="SL TH"/>
      <sheetName val="VC KD NĂM1"/>
      <sheetName val="VC KD NĂM2"/>
      <sheetName val="Phiếu KT"/>
      <sheetName val="P.CAP HOC CAO"/>
      <sheetName val="Phiếu KT (mau) "/>
      <sheetName val="BC"/>
      <sheetName val="BHXH"/>
      <sheetName val="Trang_tính1"/>
      <sheetName val=" Công"/>
      <sheetName val="mẩ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8">
          <cell r="C18" t="str">
            <v>Văn Ma</v>
          </cell>
          <cell r="D18" t="str">
            <v>00483</v>
          </cell>
        </row>
        <row r="19">
          <cell r="C19" t="str">
            <v>Thảo Xúc</v>
          </cell>
          <cell r="D19" t="str">
            <v>00482</v>
          </cell>
        </row>
        <row r="20">
          <cell r="C20" t="str">
            <v>Phêng</v>
          </cell>
          <cell r="D20" t="str">
            <v>00495</v>
          </cell>
        </row>
        <row r="21">
          <cell r="C21" t="str">
            <v>Đon</v>
          </cell>
          <cell r="D21" t="str">
            <v>00491</v>
          </cell>
        </row>
        <row r="22">
          <cell r="C22" t="str">
            <v>Văt Đi</v>
          </cell>
          <cell r="D22" t="str">
            <v>00490</v>
          </cell>
        </row>
        <row r="23">
          <cell r="C23" t="str">
            <v>Stoong</v>
          </cell>
          <cell r="D23" t="str">
            <v>00493</v>
          </cell>
        </row>
        <row r="24">
          <cell r="C24" t="str">
            <v>Mon</v>
          </cell>
          <cell r="D24" t="str">
            <v>00501</v>
          </cell>
        </row>
        <row r="25">
          <cell r="C25" t="str">
            <v>Ngăn</v>
          </cell>
          <cell r="D25" t="str">
            <v>00480</v>
          </cell>
        </row>
        <row r="26">
          <cell r="C26" t="str">
            <v>Loon</v>
          </cell>
          <cell r="D26" t="str">
            <v>00739</v>
          </cell>
        </row>
        <row r="27">
          <cell r="C27" t="str">
            <v>May</v>
          </cell>
          <cell r="D27" t="str">
            <v>00742</v>
          </cell>
        </row>
        <row r="28">
          <cell r="C28" t="str">
            <v>Sũn</v>
          </cell>
        </row>
        <row r="29">
          <cell r="C29" t="str">
            <v>Nong</v>
          </cell>
        </row>
        <row r="30">
          <cell r="C30" t="str">
            <v>Bun Mi</v>
          </cell>
          <cell r="D30" t="str">
            <v>00745</v>
          </cell>
        </row>
        <row r="31">
          <cell r="C31" t="str">
            <v>Đăm</v>
          </cell>
          <cell r="D31" t="str">
            <v>00746</v>
          </cell>
        </row>
        <row r="32">
          <cell r="C32" t="str">
            <v>Đinh</v>
          </cell>
          <cell r="D32" t="str">
            <v>00748</v>
          </cell>
        </row>
        <row r="33">
          <cell r="C33" t="str">
            <v>Gà</v>
          </cell>
          <cell r="D33" t="str">
            <v>00749</v>
          </cell>
        </row>
        <row r="34">
          <cell r="C34" t="str">
            <v>Chanh</v>
          </cell>
          <cell r="D34" t="str">
            <v>00750</v>
          </cell>
        </row>
        <row r="35">
          <cell r="C35" t="str">
            <v>Quốc</v>
          </cell>
          <cell r="D35" t="str">
            <v>00751</v>
          </cell>
        </row>
        <row r="36">
          <cell r="C36" t="str">
            <v>Sum</v>
          </cell>
          <cell r="D36" t="str">
            <v>00752</v>
          </cell>
        </row>
        <row r="37">
          <cell r="C37" t="str">
            <v>Chăn Đi</v>
          </cell>
          <cell r="D37" t="str">
            <v>00753</v>
          </cell>
        </row>
        <row r="38">
          <cell r="C38" t="str">
            <v>Rạng</v>
          </cell>
          <cell r="D38" t="str">
            <v>00754</v>
          </cell>
        </row>
        <row r="39">
          <cell r="C39" t="str">
            <v>Savan</v>
          </cell>
          <cell r="D39" t="str">
            <v>00755</v>
          </cell>
        </row>
        <row r="40">
          <cell r="C40" t="str">
            <v>Ly</v>
          </cell>
          <cell r="D40" t="str">
            <v>00756</v>
          </cell>
        </row>
        <row r="41">
          <cell r="C41" t="str">
            <v>Đêng</v>
          </cell>
          <cell r="D41" t="str">
            <v>00757</v>
          </cell>
        </row>
        <row r="42">
          <cell r="C42" t="str">
            <v>Phông</v>
          </cell>
          <cell r="D42" t="str">
            <v>00758</v>
          </cell>
        </row>
        <row r="43">
          <cell r="C43" t="str">
            <v>Thông la</v>
          </cell>
          <cell r="D43" t="str">
            <v>00759</v>
          </cell>
        </row>
        <row r="44">
          <cell r="C44" t="str">
            <v>Hăm</v>
          </cell>
          <cell r="D44" t="str">
            <v>00760</v>
          </cell>
        </row>
        <row r="45">
          <cell r="C45" t="str">
            <v>Xấp</v>
          </cell>
          <cell r="D45" t="str">
            <v>00761</v>
          </cell>
        </row>
        <row r="46">
          <cell r="C46" t="str">
            <v>Đông Chăn</v>
          </cell>
          <cell r="D46" t="str">
            <v>00762</v>
          </cell>
        </row>
        <row r="47">
          <cell r="C47" t="str">
            <v>Nàng Nàng</v>
          </cell>
        </row>
        <row r="48">
          <cell r="C48" t="str">
            <v>Nàng Phất</v>
          </cell>
          <cell r="D48" t="str">
            <v>00896</v>
          </cell>
        </row>
        <row r="49">
          <cell r="C49" t="str">
            <v>Thảo Nọi</v>
          </cell>
          <cell r="D49" t="str">
            <v>00895</v>
          </cell>
        </row>
        <row r="50">
          <cell r="C50" t="str">
            <v>Nàng Tú</v>
          </cell>
          <cell r="D50" t="str">
            <v>00899</v>
          </cell>
        </row>
        <row r="51">
          <cell r="C51" t="str">
            <v>Nàng Cu lạp</v>
          </cell>
          <cell r="D51" t="str">
            <v>00897</v>
          </cell>
        </row>
        <row r="52">
          <cell r="C52" t="str">
            <v>Thảo Pon</v>
          </cell>
          <cell r="D52" t="str">
            <v>00898</v>
          </cell>
        </row>
        <row r="53">
          <cell r="C53" t="str">
            <v>Lọn</v>
          </cell>
          <cell r="D53" t="str">
            <v>00900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0">
          <cell r="C10" t="str">
            <v>Văn Ma</v>
          </cell>
        </row>
        <row r="12">
          <cell r="C12" t="str">
            <v>Stoong</v>
          </cell>
        </row>
        <row r="13">
          <cell r="C13" t="str">
            <v>May</v>
          </cell>
        </row>
        <row r="14">
          <cell r="C14" t="str">
            <v>Nàng Phất</v>
          </cell>
        </row>
        <row r="15">
          <cell r="C15" t="str">
            <v>Ngăn</v>
          </cell>
        </row>
        <row r="16">
          <cell r="C16" t="str">
            <v>Đăm</v>
          </cell>
        </row>
        <row r="17">
          <cell r="C17" t="str">
            <v>Lọn</v>
          </cell>
        </row>
        <row r="18">
          <cell r="C18" t="str">
            <v>Văt Đi</v>
          </cell>
        </row>
        <row r="19">
          <cell r="C19" t="str">
            <v>Mon</v>
          </cell>
        </row>
        <row r="20">
          <cell r="C20" t="str">
            <v>Phêng</v>
          </cell>
        </row>
        <row r="21">
          <cell r="C21" t="str">
            <v>Bun Mi</v>
          </cell>
        </row>
        <row r="22">
          <cell r="C22" t="str">
            <v>Đon</v>
          </cell>
        </row>
        <row r="23">
          <cell r="C23" t="str">
            <v>Nàng Nàng</v>
          </cell>
        </row>
        <row r="24">
          <cell r="C24" t="str">
            <v>Nàng Cu lạp</v>
          </cell>
        </row>
        <row r="25">
          <cell r="C25" t="str">
            <v>Thảo Pon</v>
          </cell>
        </row>
        <row r="26">
          <cell r="C26" t="str">
            <v>Nàng Tú</v>
          </cell>
        </row>
        <row r="27">
          <cell r="C27" t="str">
            <v>Thảo Nọi</v>
          </cell>
        </row>
        <row r="28">
          <cell r="C28" t="str">
            <v>Hăm</v>
          </cell>
        </row>
        <row r="29">
          <cell r="C29" t="str">
            <v>Loon</v>
          </cell>
        </row>
        <row r="30">
          <cell r="C30" t="str">
            <v>Phông</v>
          </cell>
        </row>
        <row r="31">
          <cell r="C31" t="str">
            <v>Đông Chăn</v>
          </cell>
        </row>
        <row r="32">
          <cell r="C32" t="str">
            <v>Thông la</v>
          </cell>
        </row>
        <row r="33">
          <cell r="C33" t="str">
            <v>Xấp</v>
          </cell>
        </row>
        <row r="34">
          <cell r="C34" t="str">
            <v>kham</v>
          </cell>
        </row>
        <row r="35">
          <cell r="C35" t="str">
            <v>Lay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 THỔI LÁ PCC 2025"/>
      <sheetName val="KH ỦI BAO LÔ"/>
      <sheetName val="KH ỦI CARO"/>
      <sheetName val="ủi cục bộ"/>
    </sheetNames>
    <sheetDataSet>
      <sheetData sheetId="0">
        <row r="69">
          <cell r="G69">
            <v>2055500</v>
          </cell>
          <cell r="I69">
            <v>3288.7999999999997</v>
          </cell>
        </row>
      </sheetData>
      <sheetData sheetId="1"/>
      <sheetData sheetId="2">
        <row r="24">
          <cell r="F24">
            <v>216277.77777777781</v>
          </cell>
          <cell r="H24">
            <v>2162.7777777777778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3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4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29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6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47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48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49.bin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50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54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55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56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5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58.bin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59.bin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60.bin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61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62.bin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63.bin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64.bin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65.bin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66.bin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67.bin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68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69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70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71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72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75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7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U48"/>
  <sheetViews>
    <sheetView topLeftCell="A4" zoomScale="70" zoomScaleNormal="70" workbookViewId="0">
      <pane ySplit="8" topLeftCell="A32" activePane="bottomLeft" state="frozen"/>
      <selection activeCell="A4" sqref="A4"/>
      <selection pane="bottomLeft" activeCell="O37" sqref="O37"/>
    </sheetView>
  </sheetViews>
  <sheetFormatPr defaultColWidth="11.375" defaultRowHeight="16.5"/>
  <cols>
    <col min="1" max="1" width="9" style="156" customWidth="1"/>
    <col min="2" max="2" width="39" style="156" customWidth="1"/>
    <col min="3" max="3" width="17" style="281" customWidth="1"/>
    <col min="4" max="4" width="18.125" style="974" customWidth="1"/>
    <col min="5" max="5" width="16" style="777" customWidth="1"/>
    <col min="6" max="6" width="18.5" style="684" customWidth="1"/>
    <col min="7" max="7" width="21" style="684" customWidth="1"/>
    <col min="8" max="8" width="2.375" style="684" hidden="1" customWidth="1"/>
    <col min="9" max="9" width="23.25" style="977" customWidth="1"/>
    <col min="10" max="10" width="14.125" style="156" customWidth="1"/>
    <col min="11" max="11" width="20" style="156" hidden="1" customWidth="1"/>
    <col min="12" max="12" width="23.875" style="156" hidden="1" customWidth="1"/>
    <col min="13" max="13" width="0" style="156" hidden="1" customWidth="1"/>
    <col min="14" max="14" width="15.375" style="156" hidden="1" customWidth="1"/>
    <col min="15" max="16384" width="11.375" style="156"/>
  </cols>
  <sheetData>
    <row r="1" spans="1:21">
      <c r="A1" s="3666" t="s">
        <v>165</v>
      </c>
      <c r="B1" s="3666"/>
      <c r="C1" s="3666"/>
      <c r="D1" s="3666"/>
      <c r="E1" s="3666"/>
      <c r="F1" s="3666"/>
      <c r="G1" s="3666"/>
      <c r="H1" s="3666"/>
      <c r="I1" s="3666"/>
    </row>
    <row r="2" spans="1:21">
      <c r="A2" s="3666" t="s">
        <v>171</v>
      </c>
      <c r="B2" s="3666"/>
      <c r="C2" s="3666"/>
      <c r="D2" s="3666"/>
      <c r="E2" s="3666"/>
      <c r="F2" s="3666"/>
      <c r="G2" s="3666"/>
      <c r="H2" s="3666"/>
      <c r="I2" s="3666"/>
    </row>
    <row r="3" spans="1:21">
      <c r="A3" s="3671" t="s">
        <v>726</v>
      </c>
      <c r="B3" s="3671"/>
      <c r="C3" s="3671"/>
      <c r="D3" s="3671"/>
      <c r="E3" s="3671"/>
      <c r="F3" s="3671"/>
      <c r="G3" s="3671"/>
      <c r="H3" s="3671"/>
      <c r="I3" s="3671"/>
      <c r="J3" s="1473"/>
      <c r="K3" s="1473"/>
      <c r="L3" s="1473"/>
      <c r="M3" s="1473"/>
      <c r="N3" s="1473"/>
      <c r="O3" s="1473"/>
      <c r="P3" s="1473"/>
      <c r="Q3" s="1473"/>
      <c r="R3" s="1473"/>
      <c r="S3" s="1473"/>
      <c r="T3" s="1473"/>
      <c r="U3" s="1473"/>
    </row>
    <row r="4" spans="1:21">
      <c r="A4" s="3670" t="s">
        <v>574</v>
      </c>
      <c r="B4" s="3670"/>
      <c r="C4" s="3670"/>
      <c r="D4" s="971"/>
      <c r="E4" s="156"/>
      <c r="F4" s="156"/>
      <c r="G4" s="156"/>
      <c r="H4" s="156"/>
    </row>
    <row r="5" spans="1:21">
      <c r="A5" s="3666" t="s">
        <v>541</v>
      </c>
      <c r="B5" s="3666"/>
      <c r="C5" s="3666"/>
      <c r="D5" s="972"/>
      <c r="E5" s="156"/>
      <c r="F5" s="156"/>
      <c r="G5" s="156"/>
      <c r="H5" s="156"/>
    </row>
    <row r="6" spans="1:21" ht="10.5" customHeight="1">
      <c r="D6" s="973"/>
      <c r="H6" s="778"/>
      <c r="I6" s="978"/>
    </row>
    <row r="7" spans="1:21">
      <c r="D7" s="973"/>
      <c r="E7" s="796"/>
      <c r="F7" s="796"/>
      <c r="G7" s="2442"/>
      <c r="H7" s="796"/>
      <c r="I7" s="979"/>
    </row>
    <row r="8" spans="1:21" s="157" customFormat="1" ht="18.75">
      <c r="A8" s="3672" t="s">
        <v>1772</v>
      </c>
      <c r="B8" s="3672"/>
      <c r="C8" s="3672"/>
      <c r="D8" s="3672"/>
      <c r="E8" s="3672"/>
      <c r="F8" s="3672"/>
      <c r="G8" s="3672"/>
      <c r="H8" s="3672"/>
      <c r="I8" s="3672"/>
    </row>
    <row r="9" spans="1:21" ht="23.25" customHeight="1">
      <c r="A9" s="3666" t="s">
        <v>1774</v>
      </c>
      <c r="B9" s="3666"/>
      <c r="C9" s="3666"/>
      <c r="D9" s="3666"/>
      <c r="E9" s="3666"/>
      <c r="F9" s="3666"/>
      <c r="G9" s="3666"/>
      <c r="H9" s="3666"/>
      <c r="I9" s="3666"/>
    </row>
    <row r="10" spans="1:21" ht="15.75" customHeight="1">
      <c r="A10" s="693"/>
      <c r="B10" s="1865"/>
      <c r="F10" s="778"/>
      <c r="G10" s="2449"/>
      <c r="I10" s="778" t="s">
        <v>1172</v>
      </c>
    </row>
    <row r="11" spans="1:21" s="782" customFormat="1" ht="53.25" customHeight="1">
      <c r="A11" s="2052" t="s">
        <v>1</v>
      </c>
      <c r="B11" s="2052" t="s">
        <v>669</v>
      </c>
      <c r="C11" s="780" t="s">
        <v>623</v>
      </c>
      <c r="D11" s="975" t="s">
        <v>670</v>
      </c>
      <c r="E11" s="781" t="s">
        <v>671</v>
      </c>
      <c r="F11" s="781" t="s">
        <v>1258</v>
      </c>
      <c r="G11" s="781" t="s">
        <v>802</v>
      </c>
      <c r="H11" s="781" t="s">
        <v>1259</v>
      </c>
      <c r="I11" s="980" t="s">
        <v>634</v>
      </c>
    </row>
    <row r="12" spans="1:21" ht="22.5" customHeight="1">
      <c r="A12" s="783" t="s">
        <v>147</v>
      </c>
      <c r="B12" s="797" t="s">
        <v>1144</v>
      </c>
      <c r="C12" s="784"/>
      <c r="D12" s="967"/>
      <c r="E12" s="967"/>
      <c r="F12" s="790"/>
      <c r="G12" s="968">
        <f>G13+G32</f>
        <v>429072697.8160212</v>
      </c>
      <c r="H12" s="968">
        <f>H13+H32</f>
        <v>393992697.8160212</v>
      </c>
      <c r="I12" s="981"/>
      <c r="K12" s="1862" t="s">
        <v>847</v>
      </c>
      <c r="L12" s="1866">
        <v>21923</v>
      </c>
    </row>
    <row r="13" spans="1:21" ht="18.75" customHeight="1">
      <c r="A13" s="783">
        <v>1</v>
      </c>
      <c r="B13" s="797" t="s">
        <v>1145</v>
      </c>
      <c r="C13" s="784"/>
      <c r="D13" s="967"/>
      <c r="E13" s="967"/>
      <c r="F13" s="790"/>
      <c r="G13" s="968">
        <f>G14+G23+G31</f>
        <v>397966246.20311797</v>
      </c>
      <c r="H13" s="968">
        <f>H14+H23+H31</f>
        <v>362886246.20311797</v>
      </c>
      <c r="I13" s="981"/>
      <c r="J13" s="1862"/>
      <c r="K13" s="1863"/>
      <c r="L13" s="1866"/>
    </row>
    <row r="14" spans="1:21" ht="22.5" customHeight="1">
      <c r="A14" s="788" t="s">
        <v>837</v>
      </c>
      <c r="B14" s="789" t="s">
        <v>672</v>
      </c>
      <c r="C14" s="786"/>
      <c r="D14" s="967"/>
      <c r="E14" s="967">
        <f>+SUM(E15:E22)</f>
        <v>63154.458000000006</v>
      </c>
      <c r="F14" s="967"/>
      <c r="G14" s="2754">
        <f>H14</f>
        <v>250605593.40311798</v>
      </c>
      <c r="H14" s="2463">
        <f>SUM(H15:H22)</f>
        <v>250605593.40311798</v>
      </c>
      <c r="I14" s="982"/>
      <c r="J14" s="1864"/>
      <c r="K14" s="1865" t="s">
        <v>894</v>
      </c>
      <c r="L14" s="2410">
        <v>656</v>
      </c>
      <c r="M14" s="2410"/>
      <c r="N14" s="2410"/>
    </row>
    <row r="15" spans="1:21" ht="22.5" customHeight="1">
      <c r="A15" s="787"/>
      <c r="B15" s="2054" t="s">
        <v>673</v>
      </c>
      <c r="C15" s="2055" t="s">
        <v>377</v>
      </c>
      <c r="D15" s="967"/>
      <c r="E15" s="967">
        <f>+SUMIF('BẢNG LƯƠNG KT'!$K$17:$K$69,"A",'BẢNG LƯƠNG KT'!$J$17:$J$69)</f>
        <v>25897.940158687037</v>
      </c>
      <c r="F15" s="967">
        <f>6.1*$L$14</f>
        <v>4001.6</v>
      </c>
      <c r="G15" s="967">
        <f>E15*F15</f>
        <v>103633197.33900204</v>
      </c>
      <c r="H15" s="1977">
        <f>+E15*F15</f>
        <v>103633197.33900204</v>
      </c>
      <c r="I15" s="982"/>
      <c r="K15" s="705"/>
      <c r="L15" s="2400"/>
      <c r="M15" s="2397"/>
      <c r="N15" s="2397"/>
    </row>
    <row r="16" spans="1:21" ht="22.5" customHeight="1">
      <c r="A16" s="787"/>
      <c r="B16" s="2054" t="s">
        <v>674</v>
      </c>
      <c r="C16" s="786" t="s">
        <v>377</v>
      </c>
      <c r="D16" s="967"/>
      <c r="E16" s="967">
        <f>+SUMIF('BẢNG LƯƠNG KT'!$K$17:$K$69,"B",'BẢNG LƯƠNG KT'!$J$17:$J$69)</f>
        <v>21418.570348380774</v>
      </c>
      <c r="F16" s="967">
        <f>5.8*$L$14</f>
        <v>3804.7999999999997</v>
      </c>
      <c r="G16" s="967">
        <f t="shared" ref="G16:G22" si="0">E16*F16</f>
        <v>81493376.461519167</v>
      </c>
      <c r="H16" s="1977">
        <f>+E16*F16</f>
        <v>81493376.461519167</v>
      </c>
      <c r="I16" s="982"/>
      <c r="K16" s="705"/>
      <c r="L16" s="2411"/>
      <c r="M16" s="2412"/>
      <c r="N16" s="2411"/>
    </row>
    <row r="17" spans="1:20" ht="22.5" customHeight="1">
      <c r="A17" s="787"/>
      <c r="B17" s="2054" t="s">
        <v>675</v>
      </c>
      <c r="C17" s="786" t="s">
        <v>377</v>
      </c>
      <c r="D17" s="967"/>
      <c r="E17" s="967">
        <f>+SUMIF('BẢNG LƯƠNG KT'!$K$17:$K$69,"C",'BẢNG LƯƠNG KT'!$J$17:$J$69)</f>
        <v>4348.0414929321987</v>
      </c>
      <c r="F17" s="967">
        <f>5.5*$L$14</f>
        <v>3608</v>
      </c>
      <c r="G17" s="967">
        <f t="shared" si="0"/>
        <v>15687733.706499374</v>
      </c>
      <c r="H17" s="1977">
        <f t="shared" ref="H17:H18" si="1">+E17*F17</f>
        <v>15687733.706499374</v>
      </c>
      <c r="I17" s="982"/>
      <c r="K17" s="705"/>
      <c r="L17" s="2411"/>
      <c r="M17" s="2412"/>
      <c r="N17" s="2411"/>
    </row>
    <row r="18" spans="1:20" ht="22.5" hidden="1" customHeight="1">
      <c r="A18" s="787"/>
      <c r="B18" s="2054" t="s">
        <v>1105</v>
      </c>
      <c r="C18" s="786" t="s">
        <v>377</v>
      </c>
      <c r="D18" s="967"/>
      <c r="E18" s="967">
        <f>+SUMIF('BẢNG LƯƠNG KT'!$K$17:$K$52,"D",'BẢNG LƯƠNG KT'!$J$17:$J$52)</f>
        <v>0</v>
      </c>
      <c r="F18" s="967">
        <f>5.2*$L$14</f>
        <v>3411.2000000000003</v>
      </c>
      <c r="G18" s="967">
        <f t="shared" si="0"/>
        <v>0</v>
      </c>
      <c r="H18" s="1977">
        <f t="shared" si="1"/>
        <v>0</v>
      </c>
      <c r="I18" s="982"/>
      <c r="K18" s="705"/>
      <c r="L18" s="2411"/>
      <c r="M18" s="2412"/>
      <c r="N18" s="2411"/>
    </row>
    <row r="19" spans="1:20" ht="22.5" customHeight="1">
      <c r="A19" s="787"/>
      <c r="B19" s="2054" t="s">
        <v>843</v>
      </c>
      <c r="C19" s="786" t="s">
        <v>377</v>
      </c>
      <c r="D19" s="967"/>
      <c r="E19" s="967">
        <f>+SUMIF('BẢNG LƯƠNG KT'!$K$72:$K$87,"A",'BẢNG LƯƠNG KT'!$J$72:$J$87)</f>
        <v>7886.5068378933538</v>
      </c>
      <c r="F19" s="967">
        <f>+(6.1+0.6)*$L$14</f>
        <v>4395.2</v>
      </c>
      <c r="G19" s="967">
        <f t="shared" si="0"/>
        <v>34662774.853908867</v>
      </c>
      <c r="H19" s="1977">
        <f t="shared" ref="H19:H22" si="2">+E19*F19</f>
        <v>34662774.853908867</v>
      </c>
      <c r="I19" s="982"/>
      <c r="K19" s="705"/>
      <c r="L19" s="2411"/>
      <c r="M19" s="2412"/>
      <c r="N19" s="2411"/>
    </row>
    <row r="20" spans="1:20" ht="22.5" customHeight="1">
      <c r="A20" s="787"/>
      <c r="B20" s="2054" t="s">
        <v>844</v>
      </c>
      <c r="C20" s="786" t="s">
        <v>377</v>
      </c>
      <c r="D20" s="967"/>
      <c r="E20" s="967">
        <f>+SUMIF('BẢNG LƯƠNG KT'!$K$72:$K$87,"B",'BẢNG LƯƠNG KT'!$J$72:$J$87)</f>
        <v>3603.3991621066471</v>
      </c>
      <c r="F20" s="967">
        <f>+(5.8+0.6)*$L$14</f>
        <v>4198.3999999999996</v>
      </c>
      <c r="G20" s="967">
        <f t="shared" si="0"/>
        <v>15128511.042188546</v>
      </c>
      <c r="H20" s="1977">
        <f t="shared" si="2"/>
        <v>15128511.042188546</v>
      </c>
      <c r="I20" s="982"/>
      <c r="K20" s="705"/>
      <c r="L20" s="2411"/>
      <c r="M20" s="2412"/>
      <c r="N20" s="2411"/>
    </row>
    <row r="21" spans="1:20" ht="22.5" hidden="1" customHeight="1">
      <c r="A21" s="787"/>
      <c r="B21" s="2054" t="s">
        <v>768</v>
      </c>
      <c r="C21" s="786" t="s">
        <v>377</v>
      </c>
      <c r="D21" s="967"/>
      <c r="E21" s="967">
        <f>+SUMIF('BẢNG LƯƠNG KT'!$K$72:$K$87,"C",'BẢNG LƯƠNG KT'!$J$72:$J$87)</f>
        <v>0</v>
      </c>
      <c r="F21" s="967">
        <f>+(5.5+0.6)*$L$14</f>
        <v>4001.6</v>
      </c>
      <c r="G21" s="967">
        <f>E21*F21</f>
        <v>0</v>
      </c>
      <c r="H21" s="1977">
        <f t="shared" si="2"/>
        <v>0</v>
      </c>
      <c r="I21" s="982"/>
      <c r="K21" s="705"/>
      <c r="L21" s="2411"/>
      <c r="M21" s="2412"/>
      <c r="N21" s="2411"/>
    </row>
    <row r="22" spans="1:20" ht="22.5" hidden="1" customHeight="1">
      <c r="A22" s="787"/>
      <c r="B22" s="2054" t="s">
        <v>845</v>
      </c>
      <c r="C22" s="786" t="s">
        <v>377</v>
      </c>
      <c r="D22" s="967"/>
      <c r="E22" s="967">
        <f>+SUMIF('BẢNG LƯƠNG KT'!$K$72:$K$87,"D",'BẢNG LƯƠNG KT'!$J$72:$J$87)</f>
        <v>0</v>
      </c>
      <c r="F22" s="967">
        <f>+(5.2+0.6)*$L$14</f>
        <v>3804.7999999999997</v>
      </c>
      <c r="G22" s="967">
        <f t="shared" si="0"/>
        <v>0</v>
      </c>
      <c r="H22" s="1977">
        <f t="shared" si="2"/>
        <v>0</v>
      </c>
      <c r="I22" s="982"/>
      <c r="K22" s="705"/>
      <c r="L22" s="2411"/>
      <c r="M22" s="2412"/>
      <c r="N22" s="2411"/>
    </row>
    <row r="23" spans="1:20" ht="22.5" customHeight="1">
      <c r="A23" s="788" t="s">
        <v>838</v>
      </c>
      <c r="B23" s="789" t="s">
        <v>1367</v>
      </c>
      <c r="C23" s="784" t="s">
        <v>362</v>
      </c>
      <c r="D23" s="790">
        <f>+SUM(D24:D29)</f>
        <v>3162</v>
      </c>
      <c r="E23" s="790"/>
      <c r="F23" s="967"/>
      <c r="G23" s="1977">
        <f>SUM(G24:G30)</f>
        <v>147360652.80000001</v>
      </c>
      <c r="H23" s="1977">
        <f>SUM(H24:H29)</f>
        <v>112280652.80000001</v>
      </c>
      <c r="I23" s="982"/>
      <c r="J23" s="684"/>
      <c r="K23" s="705"/>
      <c r="L23" s="2411"/>
      <c r="M23" s="2412"/>
      <c r="N23" s="2411"/>
    </row>
    <row r="24" spans="1:20" ht="22.5" customHeight="1">
      <c r="A24" s="787"/>
      <c r="B24" s="2054" t="s">
        <v>1265</v>
      </c>
      <c r="C24" s="784" t="s">
        <v>829</v>
      </c>
      <c r="D24" s="790">
        <f>'BẢNG LƯƠNG KT'!M16+'BẢNG LƯƠNG KT'!M54</f>
        <v>1086</v>
      </c>
      <c r="E24" s="790"/>
      <c r="F24" s="967">
        <f>46.1*'BẢNG PHÂN TOÁN'!$L$14</f>
        <v>30241.600000000002</v>
      </c>
      <c r="G24" s="967">
        <f>D24*F24</f>
        <v>32842377.600000001</v>
      </c>
      <c r="H24" s="1977">
        <f>D24*F24</f>
        <v>32842377.600000001</v>
      </c>
      <c r="I24" s="982"/>
      <c r="K24" s="705"/>
      <c r="L24" s="2397"/>
      <c r="M24" s="2397"/>
      <c r="N24" s="2397"/>
    </row>
    <row r="25" spans="1:20" ht="22.5" customHeight="1">
      <c r="A25" s="787"/>
      <c r="B25" s="2054" t="s">
        <v>1266</v>
      </c>
      <c r="C25" s="784" t="s">
        <v>829</v>
      </c>
      <c r="D25" s="790">
        <f>'BẢNG LƯƠNG KT'!N54+'BẢNG LƯƠNG KT'!N16</f>
        <v>170</v>
      </c>
      <c r="E25" s="790"/>
      <c r="F25" s="967">
        <f>76.9*$L$14</f>
        <v>50446.400000000001</v>
      </c>
      <c r="G25" s="967">
        <f t="shared" ref="G25:G29" si="3">D25*F25</f>
        <v>8575888</v>
      </c>
      <c r="H25" s="1977">
        <f t="shared" ref="H25:H29" si="4">D25*F25</f>
        <v>8575888</v>
      </c>
      <c r="I25" s="982"/>
      <c r="K25" s="2396"/>
      <c r="L25" s="2397"/>
      <c r="M25" s="2397"/>
      <c r="N25" s="2397"/>
      <c r="O25" s="2397"/>
      <c r="P25" s="2397"/>
      <c r="Q25" s="2397"/>
      <c r="R25" s="2397"/>
      <c r="S25" s="2397"/>
      <c r="T25" s="2397"/>
    </row>
    <row r="26" spans="1:20" ht="22.5" customHeight="1">
      <c r="A26" s="787"/>
      <c r="B26" s="2168" t="s">
        <v>1252</v>
      </c>
      <c r="C26" s="784" t="s">
        <v>829</v>
      </c>
      <c r="D26" s="790">
        <f>'BẢNG LƯƠNG KT'!O89</f>
        <v>130</v>
      </c>
      <c r="E26" s="790"/>
      <c r="F26" s="967">
        <f>76.8*'BẢNG PHÂN TOÁN'!$L$14</f>
        <v>50380.799999999996</v>
      </c>
      <c r="G26" s="967">
        <f t="shared" si="3"/>
        <v>6549503.9999999991</v>
      </c>
      <c r="H26" s="1977">
        <f t="shared" si="4"/>
        <v>6549503.9999999991</v>
      </c>
      <c r="I26" s="982"/>
      <c r="K26" s="2396"/>
      <c r="L26" s="3331"/>
      <c r="M26" s="2397"/>
      <c r="N26" s="2397"/>
      <c r="O26" s="2397"/>
      <c r="P26" s="2397"/>
      <c r="Q26" s="2397"/>
      <c r="R26" s="2397"/>
      <c r="S26" s="2397"/>
      <c r="T26" s="2397"/>
    </row>
    <row r="27" spans="1:20" ht="22.5" customHeight="1">
      <c r="A27" s="787"/>
      <c r="B27" s="2168" t="s">
        <v>1261</v>
      </c>
      <c r="C27" s="784" t="s">
        <v>829</v>
      </c>
      <c r="D27" s="790">
        <f>'BẢNG LƯƠNG KT'!P89</f>
        <v>22</v>
      </c>
      <c r="E27" s="790"/>
      <c r="F27" s="967">
        <f>107.6*'BẢNG PHÂN TOÁN'!$L$14</f>
        <v>70585.599999999991</v>
      </c>
      <c r="G27" s="967">
        <f t="shared" si="3"/>
        <v>1552883.1999999997</v>
      </c>
      <c r="H27" s="1977">
        <f t="shared" si="4"/>
        <v>1552883.1999999997</v>
      </c>
      <c r="I27" s="982"/>
      <c r="K27" s="3464">
        <f>G13+G32+G35+G36</f>
        <v>435732697.8160212</v>
      </c>
      <c r="L27" s="2399"/>
      <c r="M27" s="2397"/>
      <c r="N27" s="2397"/>
      <c r="O27" s="2397"/>
      <c r="P27" s="2397"/>
      <c r="Q27" s="2397"/>
      <c r="R27" s="2397"/>
      <c r="S27" s="2397"/>
      <c r="T27" s="2397"/>
    </row>
    <row r="28" spans="1:20" ht="22.5" customHeight="1">
      <c r="A28" s="787"/>
      <c r="B28" s="2054" t="s">
        <v>1104</v>
      </c>
      <c r="C28" s="784" t="s">
        <v>829</v>
      </c>
      <c r="D28" s="790">
        <f>SUM(D24:D27)</f>
        <v>1408</v>
      </c>
      <c r="E28" s="790"/>
      <c r="F28" s="967">
        <v>20000</v>
      </c>
      <c r="G28" s="967">
        <f t="shared" si="3"/>
        <v>28160000</v>
      </c>
      <c r="H28" s="1977">
        <f t="shared" si="4"/>
        <v>28160000</v>
      </c>
      <c r="I28" s="982"/>
      <c r="K28" s="2396"/>
      <c r="L28" s="2397"/>
      <c r="M28" s="2397"/>
      <c r="N28" s="2397"/>
      <c r="O28" s="2397"/>
      <c r="P28" s="2397"/>
      <c r="Q28" s="2397"/>
      <c r="R28" s="2397"/>
      <c r="S28" s="2397"/>
      <c r="T28" s="2397"/>
    </row>
    <row r="29" spans="1:20" ht="22.5" customHeight="1">
      <c r="A29" s="787"/>
      <c r="B29" s="2054" t="s">
        <v>1321</v>
      </c>
      <c r="C29" s="784" t="s">
        <v>829</v>
      </c>
      <c r="D29" s="790">
        <f>'BẢNG LƯƠNG KT'!M71+'BẢNG LƯƠNG KT'!N71</f>
        <v>346</v>
      </c>
      <c r="E29" s="790"/>
      <c r="F29" s="967">
        <v>100000</v>
      </c>
      <c r="G29" s="967">
        <f t="shared" si="3"/>
        <v>34600000</v>
      </c>
      <c r="H29" s="1977">
        <f t="shared" si="4"/>
        <v>34600000</v>
      </c>
      <c r="I29" s="982"/>
      <c r="K29" s="2396">
        <f>'1'!U51+'2'!U35+'3'!S33</f>
        <v>397966246.20311797</v>
      </c>
      <c r="L29" s="2399"/>
      <c r="M29" s="2397"/>
      <c r="N29" s="2397"/>
      <c r="O29" s="2397"/>
      <c r="P29" s="2397"/>
      <c r="Q29" s="2397"/>
      <c r="R29" s="2397"/>
      <c r="S29" s="2397"/>
      <c r="T29" s="2397"/>
    </row>
    <row r="30" spans="1:20" ht="22.5" customHeight="1">
      <c r="A30" s="787"/>
      <c r="B30" s="2054" t="s">
        <v>1829</v>
      </c>
      <c r="C30" s="784" t="s">
        <v>829</v>
      </c>
      <c r="D30" s="790">
        <f>'BẢNG LƯƠNG KT'!R89</f>
        <v>1754</v>
      </c>
      <c r="E30" s="790"/>
      <c r="F30" s="967">
        <v>20000</v>
      </c>
      <c r="G30" s="967">
        <f>D30*F30</f>
        <v>35080000</v>
      </c>
      <c r="H30" s="1977"/>
      <c r="I30" s="982"/>
      <c r="K30" s="814"/>
      <c r="L30" s="2399"/>
      <c r="M30" s="2397"/>
      <c r="N30" s="2397"/>
      <c r="O30" s="2397"/>
      <c r="P30" s="2397"/>
      <c r="Q30" s="2397"/>
      <c r="R30" s="2397"/>
      <c r="S30" s="2397"/>
      <c r="T30" s="2397"/>
    </row>
    <row r="31" spans="1:20" ht="22.5" hidden="1" customHeight="1">
      <c r="A31" s="788" t="s">
        <v>1047</v>
      </c>
      <c r="B31" s="789" t="s">
        <v>1106</v>
      </c>
      <c r="C31" s="784" t="s">
        <v>362</v>
      </c>
      <c r="D31" s="1978">
        <f>'BẢNG LƯƠNG KT'!G89</f>
        <v>0</v>
      </c>
      <c r="E31" s="790"/>
      <c r="F31" s="967">
        <v>25000</v>
      </c>
      <c r="G31" s="967">
        <f>D31*F31</f>
        <v>0</v>
      </c>
      <c r="H31" s="1977">
        <f>+D31*F31</f>
        <v>0</v>
      </c>
      <c r="I31" s="982"/>
      <c r="L31" s="2399"/>
      <c r="M31" s="2397"/>
      <c r="N31" s="2400"/>
      <c r="O31" s="2397"/>
      <c r="P31" s="2397"/>
      <c r="Q31" s="2397"/>
      <c r="R31" s="2397"/>
      <c r="S31" s="2397"/>
      <c r="T31" s="2397"/>
    </row>
    <row r="32" spans="1:20" s="2419" customFormat="1" ht="22.5" customHeight="1">
      <c r="A32" s="783">
        <v>2</v>
      </c>
      <c r="B32" s="797" t="s">
        <v>676</v>
      </c>
      <c r="C32" s="2413" t="s">
        <v>362</v>
      </c>
      <c r="D32" s="2414">
        <f>G32/F32</f>
        <v>1244.258064516129</v>
      </c>
      <c r="E32" s="2415"/>
      <c r="F32" s="2416">
        <v>25000</v>
      </c>
      <c r="G32" s="2416">
        <f>BV!U26</f>
        <v>31106451.612903226</v>
      </c>
      <c r="H32" s="2417">
        <f>+D32*F32</f>
        <v>31106451.612903226</v>
      </c>
      <c r="I32" s="2418"/>
      <c r="K32" s="3330">
        <f>G35</f>
        <v>1700000</v>
      </c>
      <c r="L32" s="3330"/>
      <c r="M32" s="2421"/>
      <c r="N32" s="2422"/>
      <c r="O32" s="2401"/>
      <c r="P32" s="2421"/>
      <c r="Q32" s="2421"/>
      <c r="R32" s="2421"/>
      <c r="S32" s="2421"/>
      <c r="T32" s="2421"/>
    </row>
    <row r="33" spans="1:20" s="2419" customFormat="1" ht="22.5" hidden="1" customHeight="1">
      <c r="A33" s="783" t="s">
        <v>148</v>
      </c>
      <c r="B33" s="797" t="s">
        <v>1250</v>
      </c>
      <c r="C33" s="2413" t="s">
        <v>362</v>
      </c>
      <c r="D33" s="3211">
        <f>D34</f>
        <v>0</v>
      </c>
      <c r="E33" s="2415"/>
      <c r="F33" s="2416">
        <v>25000</v>
      </c>
      <c r="G33" s="2416">
        <f>G34</f>
        <v>0</v>
      </c>
      <c r="H33" s="2416">
        <f t="shared" ref="H33" si="5">H34</f>
        <v>0</v>
      </c>
      <c r="I33" s="2418"/>
      <c r="K33" s="3330"/>
      <c r="L33" s="2420"/>
      <c r="M33" s="2421"/>
      <c r="N33" s="2422"/>
      <c r="O33" s="2401"/>
      <c r="P33" s="2421"/>
      <c r="Q33" s="2421"/>
      <c r="R33" s="2421"/>
      <c r="S33" s="2421"/>
      <c r="T33" s="2421"/>
    </row>
    <row r="34" spans="1:20" s="1388" customFormat="1" ht="22.5" hidden="1" customHeight="1">
      <c r="A34" s="787">
        <v>1</v>
      </c>
      <c r="B34" s="2054" t="s">
        <v>1251</v>
      </c>
      <c r="C34" s="2752" t="s">
        <v>362</v>
      </c>
      <c r="D34" s="3076"/>
      <c r="E34" s="2753"/>
      <c r="F34" s="2754">
        <v>25000</v>
      </c>
      <c r="G34" s="2754">
        <f>D34*F34</f>
        <v>0</v>
      </c>
      <c r="H34" s="2754">
        <f>D34*F34</f>
        <v>0</v>
      </c>
      <c r="I34" s="2755"/>
      <c r="K34" s="3465"/>
      <c r="L34" s="2757"/>
      <c r="M34" s="2757"/>
      <c r="N34" s="2758"/>
      <c r="O34" s="2759"/>
      <c r="P34" s="2757"/>
      <c r="Q34" s="2757"/>
      <c r="R34" s="2757"/>
      <c r="S34" s="2757"/>
      <c r="T34" s="2757"/>
    </row>
    <row r="35" spans="1:20" s="1388" customFormat="1" ht="22.5" customHeight="1">
      <c r="A35" s="783" t="s">
        <v>148</v>
      </c>
      <c r="B35" s="797" t="s">
        <v>1384</v>
      </c>
      <c r="C35" s="2413" t="s">
        <v>829</v>
      </c>
      <c r="D35" s="3467">
        <f>'Tạp vụ'!G13</f>
        <v>31</v>
      </c>
      <c r="E35" s="2753"/>
      <c r="F35" s="2416">
        <f>G35/D35</f>
        <v>54838.709677419356</v>
      </c>
      <c r="G35" s="2416">
        <v>1700000</v>
      </c>
      <c r="H35" s="2416">
        <f>G35-20000</f>
        <v>1680000</v>
      </c>
      <c r="I35" s="2755"/>
      <c r="K35" s="3465">
        <f>'Phụ cấp người Việt'!F15</f>
        <v>4960000</v>
      </c>
      <c r="L35" s="2757"/>
      <c r="M35" s="2757"/>
      <c r="N35" s="2758"/>
      <c r="O35" s="2759"/>
      <c r="P35" s="2757"/>
      <c r="Q35" s="2757"/>
      <c r="R35" s="2757"/>
      <c r="S35" s="2757"/>
      <c r="T35" s="2757"/>
    </row>
    <row r="36" spans="1:20" s="1388" customFormat="1" ht="22.5" customHeight="1">
      <c r="A36" s="783" t="s">
        <v>149</v>
      </c>
      <c r="B36" s="797" t="s">
        <v>1738</v>
      </c>
      <c r="C36" s="2413" t="s">
        <v>247</v>
      </c>
      <c r="D36" s="3467">
        <f>'Phụ cấp người Việt'!D15</f>
        <v>62</v>
      </c>
      <c r="E36" s="2753"/>
      <c r="F36" s="2416">
        <f>'Phụ cấp người Việt'!E12</f>
        <v>80000</v>
      </c>
      <c r="G36" s="2416">
        <f>'Phụ cấp người Việt'!F15</f>
        <v>4960000</v>
      </c>
      <c r="H36" s="2416"/>
      <c r="I36" s="2755"/>
      <c r="K36" s="2399">
        <f>G32</f>
        <v>31106451.612903226</v>
      </c>
      <c r="L36" s="2757"/>
      <c r="M36" s="2757"/>
      <c r="N36" s="2758"/>
      <c r="O36" s="2759"/>
      <c r="P36" s="2757"/>
      <c r="Q36" s="2757"/>
      <c r="R36" s="2757"/>
      <c r="S36" s="2757"/>
      <c r="T36" s="2757"/>
    </row>
    <row r="37" spans="1:20" ht="22.5" customHeight="1">
      <c r="A37" s="3669" t="s">
        <v>677</v>
      </c>
      <c r="B37" s="3669"/>
      <c r="C37" s="785"/>
      <c r="D37" s="969"/>
      <c r="E37" s="969">
        <f>E14</f>
        <v>63154.458000000006</v>
      </c>
      <c r="F37" s="967"/>
      <c r="G37" s="970">
        <f>G12+G33+G35+G36</f>
        <v>435732697.8160212</v>
      </c>
      <c r="H37" s="970">
        <f>H12+H33+H35</f>
        <v>395672697.8160212</v>
      </c>
      <c r="I37" s="983"/>
      <c r="K37" s="3466">
        <f>K29+K36+K32+K35+K30</f>
        <v>435732697.8160212</v>
      </c>
      <c r="L37" s="2396"/>
      <c r="M37" s="2400"/>
      <c r="N37" s="2397"/>
      <c r="O37" s="2397"/>
      <c r="P37" s="2397"/>
      <c r="Q37" s="2397"/>
      <c r="R37" s="2397"/>
      <c r="S37" s="2397"/>
      <c r="T37" s="2397"/>
    </row>
    <row r="38" spans="1:20" ht="26.25" customHeight="1">
      <c r="A38" s="3667" t="s">
        <v>1861</v>
      </c>
      <c r="B38" s="3668"/>
      <c r="C38" s="3668"/>
      <c r="D38" s="3668"/>
      <c r="E38" s="3668"/>
      <c r="F38" s="3668"/>
      <c r="G38" s="3668"/>
      <c r="H38" s="3668"/>
      <c r="I38" s="3668"/>
      <c r="K38" s="2403"/>
      <c r="L38" s="2400"/>
      <c r="M38" s="2397"/>
      <c r="N38" s="2399"/>
      <c r="O38" s="2397"/>
      <c r="P38" s="2397"/>
      <c r="Q38" s="2397"/>
      <c r="R38" s="2397"/>
      <c r="S38" s="2397"/>
      <c r="T38" s="2397"/>
    </row>
    <row r="39" spans="1:20" ht="11.25" customHeight="1">
      <c r="A39" s="2100"/>
      <c r="B39" s="2100"/>
      <c r="C39" s="2100"/>
      <c r="D39" s="2100"/>
      <c r="E39" s="2100"/>
      <c r="F39" s="2100"/>
      <c r="G39" s="2100"/>
      <c r="H39" s="2100"/>
      <c r="I39" s="2100"/>
      <c r="K39" s="2403"/>
      <c r="L39" s="2404"/>
      <c r="M39" s="2397"/>
      <c r="N39" s="2397"/>
      <c r="O39" s="2397"/>
      <c r="P39" s="2397"/>
      <c r="Q39" s="2397"/>
      <c r="R39" s="2397"/>
      <c r="S39" s="2397"/>
      <c r="T39" s="2397"/>
    </row>
    <row r="40" spans="1:20" ht="24.75" customHeight="1">
      <c r="A40" s="792"/>
      <c r="B40" s="792"/>
      <c r="C40" s="792"/>
      <c r="D40" s="976"/>
      <c r="G40" s="3377" t="s">
        <v>1773</v>
      </c>
      <c r="H40" s="3377"/>
      <c r="K40" s="2405"/>
      <c r="L40" s="2406"/>
      <c r="M40" s="2397"/>
      <c r="N40" s="2397"/>
      <c r="O40" s="2397"/>
      <c r="P40" s="2397"/>
      <c r="Q40" s="2397"/>
      <c r="R40" s="2397"/>
      <c r="S40" s="2397"/>
      <c r="T40" s="2397"/>
    </row>
    <row r="41" spans="1:20" s="766" customFormat="1" ht="26.25" customHeight="1">
      <c r="A41" s="3329" t="s">
        <v>1740</v>
      </c>
      <c r="B41" s="3333"/>
      <c r="C41" s="3329"/>
      <c r="D41" s="3329"/>
      <c r="G41" s="3329"/>
      <c r="H41" s="3329"/>
      <c r="J41" s="1333"/>
      <c r="K41" s="2407"/>
      <c r="L41" s="2996"/>
      <c r="M41" s="2407"/>
      <c r="N41" s="2408"/>
      <c r="O41" s="2408"/>
      <c r="P41" s="2408"/>
      <c r="Q41" s="2408"/>
      <c r="R41" s="2408"/>
      <c r="S41" s="2408"/>
      <c r="T41" s="2408"/>
    </row>
    <row r="42" spans="1:20">
      <c r="A42" s="792"/>
      <c r="B42" s="792"/>
      <c r="C42" s="792"/>
      <c r="D42" s="976"/>
      <c r="H42" s="793"/>
      <c r="I42" s="984"/>
      <c r="K42" s="2409"/>
      <c r="L42" s="2397"/>
      <c r="M42" s="2397"/>
      <c r="N42" s="2397"/>
      <c r="O42" s="2397"/>
      <c r="P42" s="2397"/>
      <c r="Q42" s="2397"/>
      <c r="R42" s="2397"/>
      <c r="S42" s="2397"/>
      <c r="T42" s="2397"/>
    </row>
    <row r="43" spans="1:20">
      <c r="A43" s="792"/>
      <c r="B43" s="792"/>
      <c r="C43" s="792"/>
      <c r="D43" s="976"/>
      <c r="G43" s="766"/>
      <c r="H43" s="793"/>
      <c r="I43" s="984"/>
      <c r="N43" s="3006"/>
    </row>
    <row r="44" spans="1:20">
      <c r="A44" s="792"/>
      <c r="B44" s="792"/>
      <c r="C44" s="792"/>
      <c r="D44" s="976"/>
      <c r="F44" s="766"/>
      <c r="H44" s="793"/>
      <c r="I44" s="984"/>
    </row>
    <row r="45" spans="1:20">
      <c r="A45" s="792"/>
      <c r="B45" s="792"/>
      <c r="C45" s="792"/>
      <c r="D45" s="976"/>
      <c r="H45" s="793"/>
      <c r="I45" s="984"/>
    </row>
    <row r="46" spans="1:20">
      <c r="A46" s="792"/>
      <c r="B46" s="792"/>
      <c r="C46" s="792"/>
      <c r="D46" s="976"/>
      <c r="F46" s="2984"/>
      <c r="G46" s="2984"/>
      <c r="H46" s="2984"/>
      <c r="I46" s="2984"/>
    </row>
    <row r="47" spans="1:20">
      <c r="A47" s="792"/>
      <c r="B47" s="792"/>
      <c r="C47" s="792"/>
      <c r="D47" s="976"/>
      <c r="E47" s="792"/>
      <c r="F47" s="793"/>
      <c r="G47" s="793"/>
      <c r="H47" s="793"/>
      <c r="I47" s="984"/>
    </row>
    <row r="48" spans="1:20">
      <c r="A48" s="792"/>
      <c r="B48" s="794"/>
      <c r="C48" s="792"/>
      <c r="D48" s="976"/>
      <c r="E48" s="794"/>
      <c r="F48" s="795"/>
      <c r="G48" s="795"/>
      <c r="H48" s="795"/>
      <c r="I48" s="985"/>
    </row>
  </sheetData>
  <mergeCells count="9">
    <mergeCell ref="A2:I2"/>
    <mergeCell ref="A38:I38"/>
    <mergeCell ref="A1:I1"/>
    <mergeCell ref="A37:B37"/>
    <mergeCell ref="A5:C5"/>
    <mergeCell ref="A4:C4"/>
    <mergeCell ref="A3:I3"/>
    <mergeCell ref="A8:I8"/>
    <mergeCell ref="A9:I9"/>
  </mergeCells>
  <printOptions horizontalCentered="1"/>
  <pageMargins left="0.39370078740157483" right="0.39370078740157483" top="0" bottom="0" header="0.19685039370078741" footer="0.19685039370078741"/>
  <pageSetup paperSize="9" scale="67" orientation="landscape" r:id="rId1"/>
  <colBreaks count="1" manualBreakCount="1">
    <brk id="9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25"/>
  <sheetViews>
    <sheetView workbookViewId="0">
      <selection activeCell="F22" sqref="F22"/>
    </sheetView>
  </sheetViews>
  <sheetFormatPr defaultColWidth="8" defaultRowHeight="16.5"/>
  <cols>
    <col min="1" max="1" width="4.375" style="3379" customWidth="1"/>
    <col min="2" max="2" width="20.875" style="3379" customWidth="1"/>
    <col min="3" max="3" width="11.75" style="3379" customWidth="1"/>
    <col min="4" max="4" width="11.25" style="3379" customWidth="1"/>
    <col min="5" max="5" width="11.75" style="3379" customWidth="1"/>
    <col min="6" max="6" width="14.75" style="3379" customWidth="1"/>
    <col min="7" max="7" width="15.375" style="3379" customWidth="1"/>
    <col min="8" max="8" width="13.5" style="3379" customWidth="1"/>
    <col min="9" max="9" width="14.625" style="3379" customWidth="1"/>
    <col min="10" max="10" width="9.75" style="3379" customWidth="1"/>
    <col min="11" max="11" width="7.375" style="3379" customWidth="1"/>
    <col min="12" max="12" width="11.25" style="3379" customWidth="1"/>
    <col min="13" max="13" width="11.75" style="3379" customWidth="1"/>
    <col min="14" max="15" width="6.875" style="3379" customWidth="1"/>
    <col min="16" max="16" width="6.375" style="3379" customWidth="1"/>
    <col min="17" max="17" width="6.5" style="3379" customWidth="1"/>
    <col min="18" max="18" width="5.5" style="3379" customWidth="1"/>
    <col min="19" max="19" width="5" style="3379" customWidth="1"/>
    <col min="20" max="20" width="5.25" style="3379" customWidth="1"/>
    <col min="21" max="21" width="4.25" style="3379" customWidth="1"/>
    <col min="22" max="22" width="5.25" style="3379" customWidth="1"/>
    <col min="23" max="23" width="5.75" style="3379" customWidth="1"/>
    <col min="24" max="24" width="7.125" style="3379" customWidth="1"/>
    <col min="25" max="25" width="5.25" style="3379" customWidth="1"/>
    <col min="26" max="26" width="7.125" style="3379" customWidth="1"/>
    <col min="27" max="27" width="13.125" style="3379" bestFit="1" customWidth="1"/>
    <col min="28" max="28" width="15.625" style="3379" bestFit="1" customWidth="1"/>
    <col min="29" max="29" width="11.25" style="3379" bestFit="1" customWidth="1"/>
    <col min="30" max="16384" width="8" style="3379"/>
  </cols>
  <sheetData>
    <row r="1" spans="1:29">
      <c r="A1" s="3675" t="s">
        <v>165</v>
      </c>
      <c r="B1" s="3675"/>
      <c r="C1" s="3675"/>
      <c r="D1" s="3675"/>
      <c r="E1" s="3675"/>
      <c r="F1" s="3675"/>
      <c r="G1" s="3675"/>
      <c r="H1" s="3675"/>
      <c r="I1" s="3675"/>
      <c r="J1" s="3675"/>
      <c r="K1" s="2103"/>
      <c r="L1" s="2103"/>
      <c r="M1" s="2103"/>
      <c r="N1" s="3378"/>
      <c r="P1" s="2103"/>
      <c r="Q1" s="2103"/>
      <c r="R1" s="2103"/>
      <c r="S1" s="2103"/>
      <c r="T1" s="2103"/>
      <c r="U1" s="2103"/>
      <c r="V1" s="2103"/>
      <c r="W1" s="2103"/>
      <c r="X1" s="2103"/>
      <c r="Y1" s="2103"/>
      <c r="Z1" s="2103"/>
    </row>
    <row r="2" spans="1:29">
      <c r="A2" s="3675" t="s">
        <v>55</v>
      </c>
      <c r="B2" s="3675"/>
      <c r="C2" s="3675"/>
      <c r="D2" s="3675"/>
      <c r="E2" s="3675"/>
      <c r="F2" s="3675"/>
      <c r="G2" s="3675"/>
      <c r="H2" s="3675"/>
      <c r="I2" s="3675"/>
      <c r="J2" s="3675"/>
      <c r="K2" s="2107"/>
      <c r="L2" s="2107"/>
      <c r="M2" s="2107"/>
      <c r="N2" s="2107"/>
      <c r="O2" s="3380"/>
      <c r="Q2" s="2107"/>
      <c r="R2" s="2107"/>
      <c r="S2" s="2107"/>
      <c r="T2" s="2107"/>
      <c r="U2" s="2107"/>
      <c r="V2" s="2107"/>
      <c r="W2" s="2107"/>
      <c r="X2" s="2107"/>
      <c r="Y2" s="2107"/>
      <c r="Z2" s="3380"/>
    </row>
    <row r="3" spans="1:29">
      <c r="A3" s="3676" t="s">
        <v>1576</v>
      </c>
      <c r="B3" s="3675"/>
      <c r="C3" s="3675"/>
      <c r="D3" s="3675"/>
      <c r="E3" s="3675"/>
      <c r="F3" s="3675"/>
      <c r="G3" s="3675"/>
      <c r="H3" s="3675"/>
      <c r="I3" s="3675"/>
      <c r="J3" s="3675"/>
      <c r="K3" s="2107"/>
      <c r="L3" s="2107"/>
      <c r="M3" s="2107"/>
      <c r="N3" s="2107"/>
      <c r="O3" s="3380"/>
      <c r="Q3" s="2107"/>
      <c r="R3" s="2107"/>
      <c r="S3" s="2107"/>
      <c r="T3" s="2107"/>
      <c r="U3" s="2107"/>
      <c r="V3" s="2107"/>
      <c r="W3" s="2107"/>
      <c r="X3" s="2107"/>
      <c r="Y3" s="2107"/>
      <c r="Z3" s="3380"/>
    </row>
    <row r="4" spans="1:29">
      <c r="A4" s="3381"/>
      <c r="B4" s="3381"/>
      <c r="C4" s="3381"/>
      <c r="D4" s="3381"/>
      <c r="E4" s="3381"/>
      <c r="F4" s="3381"/>
      <c r="G4" s="3381"/>
      <c r="H4" s="3381"/>
      <c r="I4" s="3382"/>
      <c r="J4" s="3382"/>
      <c r="K4" s="3383"/>
      <c r="L4" s="3383"/>
      <c r="M4" s="3383"/>
      <c r="N4" s="3384"/>
      <c r="O4" s="3385"/>
      <c r="P4" s="3386"/>
      <c r="Q4" s="3387"/>
      <c r="R4" s="3387"/>
      <c r="S4" s="3387"/>
      <c r="T4" s="3387"/>
      <c r="U4" s="3387"/>
      <c r="V4" s="3387"/>
      <c r="W4" s="3387"/>
      <c r="X4" s="3387"/>
      <c r="Y4" s="3387"/>
      <c r="Z4" s="3380"/>
      <c r="AA4" s="3388">
        <f>1372+388</f>
        <v>1760</v>
      </c>
      <c r="AB4" s="3379">
        <f>AA4*30000</f>
        <v>52800000</v>
      </c>
      <c r="AC4" s="3379" t="e">
        <f>AB4+#REF!+#REF!</f>
        <v>#REF!</v>
      </c>
    </row>
    <row r="5" spans="1:29">
      <c r="A5" s="3677" t="s">
        <v>574</v>
      </c>
      <c r="B5" s="3677"/>
      <c r="C5" s="3677"/>
      <c r="D5" s="3677"/>
      <c r="E5" s="3677"/>
      <c r="F5" s="2242"/>
      <c r="G5" s="2242"/>
      <c r="H5" s="2242"/>
      <c r="I5" s="3382"/>
      <c r="J5" s="3382"/>
      <c r="K5" s="3383"/>
      <c r="L5" s="3383"/>
      <c r="M5" s="3383"/>
      <c r="N5" s="3384"/>
      <c r="O5" s="3385"/>
      <c r="P5" s="3386"/>
      <c r="Q5" s="3387"/>
      <c r="R5" s="3387"/>
      <c r="S5" s="3387"/>
      <c r="T5" s="3387"/>
      <c r="U5" s="3387"/>
      <c r="V5" s="3387"/>
      <c r="W5" s="3387"/>
      <c r="X5" s="3387"/>
      <c r="Y5" s="3387"/>
      <c r="Z5" s="3380"/>
      <c r="AA5" s="3388"/>
    </row>
    <row r="6" spans="1:29">
      <c r="A6" s="3678" t="s">
        <v>541</v>
      </c>
      <c r="B6" s="3678"/>
      <c r="C6" s="3678"/>
      <c r="D6" s="3678"/>
      <c r="E6" s="3678"/>
      <c r="F6" s="3389"/>
      <c r="G6" s="3389"/>
      <c r="H6" s="3382"/>
      <c r="I6" s="3382"/>
      <c r="J6" s="3382"/>
      <c r="K6" s="3383"/>
      <c r="L6" s="3383"/>
      <c r="M6" s="3383"/>
      <c r="N6" s="3384"/>
      <c r="O6" s="3385"/>
      <c r="P6" s="3386"/>
      <c r="Q6" s="3387"/>
      <c r="R6" s="3387"/>
      <c r="S6" s="3387"/>
      <c r="T6" s="3387"/>
      <c r="U6" s="3387"/>
      <c r="V6" s="3387"/>
      <c r="W6" s="3387"/>
      <c r="X6" s="3387"/>
      <c r="Y6" s="3387"/>
      <c r="Z6" s="3380"/>
      <c r="AA6" s="3388"/>
    </row>
    <row r="7" spans="1:29">
      <c r="A7" s="3369"/>
      <c r="B7" s="3369"/>
      <c r="C7" s="3369"/>
      <c r="D7" s="3369"/>
      <c r="E7" s="3369"/>
      <c r="F7" s="3389"/>
      <c r="G7" s="3389"/>
      <c r="H7" s="3382"/>
      <c r="I7" s="3382"/>
      <c r="J7" s="3382"/>
      <c r="K7" s="3383"/>
      <c r="L7" s="3383"/>
      <c r="M7" s="3383"/>
      <c r="N7" s="3384"/>
      <c r="O7" s="3385"/>
      <c r="P7" s="3386"/>
      <c r="Q7" s="3387"/>
      <c r="R7" s="3387"/>
      <c r="S7" s="3387"/>
      <c r="T7" s="3387"/>
      <c r="U7" s="3387"/>
      <c r="V7" s="3387"/>
      <c r="W7" s="3387"/>
      <c r="X7" s="3387"/>
      <c r="Y7" s="3387"/>
      <c r="Z7" s="3380"/>
      <c r="AA7" s="3388"/>
    </row>
    <row r="8" spans="1:29" ht="18.75">
      <c r="A8" s="3673" t="s">
        <v>1775</v>
      </c>
      <c r="B8" s="3674"/>
      <c r="C8" s="3674"/>
      <c r="D8" s="3674"/>
      <c r="E8" s="3674"/>
      <c r="F8" s="3674"/>
      <c r="G8" s="3674"/>
      <c r="H8" s="3674"/>
      <c r="I8" s="3674"/>
      <c r="J8" s="3674"/>
      <c r="K8" s="3390"/>
      <c r="L8" s="3390"/>
      <c r="M8" s="3390"/>
      <c r="N8" s="3390"/>
      <c r="O8" s="3391"/>
      <c r="P8" s="3391"/>
      <c r="Q8" s="3391"/>
      <c r="R8" s="3391"/>
      <c r="S8" s="3391"/>
      <c r="T8" s="3391"/>
      <c r="U8" s="3391"/>
      <c r="V8" s="3391"/>
      <c r="W8" s="3391"/>
      <c r="X8" s="3391"/>
      <c r="Y8" s="3391"/>
      <c r="Z8" s="3391"/>
    </row>
    <row r="9" spans="1:29">
      <c r="A9" s="3370"/>
      <c r="B9" s="2292"/>
      <c r="C9" s="2292"/>
      <c r="D9" s="3370"/>
      <c r="E9" s="3370"/>
      <c r="F9" s="3370"/>
      <c r="G9" s="3370"/>
      <c r="H9" s="3370"/>
      <c r="I9" s="3679" t="s">
        <v>1727</v>
      </c>
      <c r="J9" s="3679"/>
      <c r="K9" s="3392"/>
      <c r="L9" s="3393"/>
      <c r="M9" s="3394"/>
    </row>
    <row r="10" spans="1:29">
      <c r="A10" s="3680" t="s">
        <v>1</v>
      </c>
      <c r="B10" s="3680" t="s">
        <v>1728</v>
      </c>
      <c r="C10" s="3680" t="s">
        <v>1729</v>
      </c>
      <c r="D10" s="3681" t="s">
        <v>50</v>
      </c>
      <c r="E10" s="3683" t="s">
        <v>707</v>
      </c>
      <c r="F10" s="3683" t="s">
        <v>24</v>
      </c>
      <c r="G10" s="3681" t="s">
        <v>1382</v>
      </c>
      <c r="H10" s="3684" t="s">
        <v>29</v>
      </c>
      <c r="I10" s="3680" t="s">
        <v>9</v>
      </c>
      <c r="J10" s="3680" t="s">
        <v>634</v>
      </c>
      <c r="K10" s="3395"/>
      <c r="L10" s="3396"/>
      <c r="M10" s="3397"/>
    </row>
    <row r="11" spans="1:29">
      <c r="A11" s="3680"/>
      <c r="B11" s="3680"/>
      <c r="C11" s="3680"/>
      <c r="D11" s="3682"/>
      <c r="E11" s="3683"/>
      <c r="F11" s="3683"/>
      <c r="G11" s="3682"/>
      <c r="H11" s="3684"/>
      <c r="I11" s="3680"/>
      <c r="J11" s="3680"/>
      <c r="K11" s="3398"/>
      <c r="L11" s="3396"/>
      <c r="M11" s="3397"/>
    </row>
    <row r="12" spans="1:29">
      <c r="A12" s="3399">
        <v>1</v>
      </c>
      <c r="B12" s="3413" t="s">
        <v>1731</v>
      </c>
      <c r="C12" s="3399" t="s">
        <v>40</v>
      </c>
      <c r="D12" s="3528">
        <f>'Chấm công công nhân'!AV73</f>
        <v>21</v>
      </c>
      <c r="E12" s="3400">
        <v>80000</v>
      </c>
      <c r="F12" s="3400">
        <f>D12*E12</f>
        <v>1680000</v>
      </c>
      <c r="G12" s="3401">
        <f>IF(F12&gt;65000000,((F12-65000000)*25%+10685000),IF(F12&gt;25000000,((F12-25000000)*20%+2685000),IF(F12&gt;15000000,((F12-15000000)*15%+1185000),IF(F12&gt;5000000,(F12-5000000)*10%+185000,IF(F12&gt;1300000,(F12-1300000)*5%,0)))))</f>
        <v>19000</v>
      </c>
      <c r="H12" s="3400">
        <f>+F12-G12</f>
        <v>1661000</v>
      </c>
      <c r="I12" s="3402"/>
      <c r="J12" s="3402"/>
      <c r="K12" s="3398"/>
      <c r="L12" s="3396"/>
      <c r="M12" s="3397"/>
    </row>
    <row r="13" spans="1:29">
      <c r="A13" s="3403">
        <v>2</v>
      </c>
      <c r="B13" s="3414" t="s">
        <v>1732</v>
      </c>
      <c r="C13" s="3403" t="s">
        <v>40</v>
      </c>
      <c r="D13" s="3528">
        <f>'Chấm công công nhân'!AV74</f>
        <v>20</v>
      </c>
      <c r="E13" s="3404">
        <v>80000</v>
      </c>
      <c r="F13" s="3404">
        <f t="shared" ref="F13:F14" si="0">D13*E13</f>
        <v>1600000</v>
      </c>
      <c r="G13" s="3405">
        <f t="shared" ref="G13:G14" si="1">IF(F13&gt;65000000,((F13-65000000)*25%+10685000),IF(F13&gt;25000000,((F13-25000000)*20%+2685000),IF(F13&gt;15000000,((F13-15000000)*15%+1185000),IF(F13&gt;5000000,(F13-5000000)*10%+185000,IF(F13&gt;1300000,(F13-1300000)*5%,0)))))</f>
        <v>15000</v>
      </c>
      <c r="H13" s="3404">
        <f t="shared" ref="H13:H14" si="2">+F13-G13</f>
        <v>1585000</v>
      </c>
      <c r="I13" s="3406"/>
      <c r="J13" s="3406"/>
      <c r="K13" s="3398"/>
      <c r="L13" s="3396"/>
      <c r="M13" s="3397"/>
    </row>
    <row r="14" spans="1:29">
      <c r="A14" s="3403">
        <v>3</v>
      </c>
      <c r="B14" s="3415" t="s">
        <v>1733</v>
      </c>
      <c r="C14" s="3403" t="s">
        <v>40</v>
      </c>
      <c r="D14" s="3438">
        <f>'Chấm công công nhân'!AV75</f>
        <v>21</v>
      </c>
      <c r="E14" s="3404">
        <v>80000</v>
      </c>
      <c r="F14" s="3404">
        <f t="shared" si="0"/>
        <v>1680000</v>
      </c>
      <c r="G14" s="3436">
        <f t="shared" si="1"/>
        <v>19000</v>
      </c>
      <c r="H14" s="3404">
        <f t="shared" si="2"/>
        <v>1661000</v>
      </c>
      <c r="I14" s="3406"/>
      <c r="J14" s="3406"/>
      <c r="K14" s="3398"/>
      <c r="L14" s="3396"/>
      <c r="M14" s="3397"/>
    </row>
    <row r="15" spans="1:29">
      <c r="A15" s="3680" t="s">
        <v>184</v>
      </c>
      <c r="B15" s="3680"/>
      <c r="C15" s="3371"/>
      <c r="D15" s="3407">
        <f>SUM(D12:D14)</f>
        <v>62</v>
      </c>
      <c r="E15" s="3408"/>
      <c r="F15" s="3408">
        <f>SUM(F12:F14)</f>
        <v>4960000</v>
      </c>
      <c r="G15" s="3437">
        <f>SUM(G12:G14)</f>
        <v>53000</v>
      </c>
      <c r="H15" s="3408">
        <f>SUM(H12:H14)</f>
        <v>4907000</v>
      </c>
      <c r="I15" s="3407"/>
      <c r="J15" s="2201"/>
      <c r="K15" s="3398"/>
      <c r="L15" s="3409"/>
      <c r="M15" s="3410"/>
    </row>
    <row r="16" spans="1:29" ht="17.25">
      <c r="A16" s="3686" t="s">
        <v>1782</v>
      </c>
      <c r="B16" s="3687"/>
      <c r="C16" s="3687"/>
      <c r="D16" s="3687"/>
      <c r="E16" s="3687"/>
      <c r="F16" s="3687"/>
      <c r="G16" s="3687"/>
      <c r="H16" s="3687"/>
      <c r="I16" s="3687"/>
      <c r="J16" s="3687"/>
    </row>
    <row r="17" spans="1:15">
      <c r="G17" s="3688" t="s">
        <v>1773</v>
      </c>
      <c r="H17" s="3688"/>
      <c r="I17" s="3688"/>
      <c r="J17" s="3688"/>
      <c r="K17" s="3411"/>
      <c r="L17" s="3411"/>
      <c r="M17" s="3411"/>
      <c r="N17" s="3411"/>
      <c r="O17" s="3411"/>
    </row>
    <row r="18" spans="1:15">
      <c r="A18" s="3685" t="s">
        <v>1168</v>
      </c>
      <c r="B18" s="3685"/>
      <c r="C18" s="3685" t="s">
        <v>1169</v>
      </c>
      <c r="D18" s="3685"/>
      <c r="E18" s="3685"/>
      <c r="F18" s="3685" t="s">
        <v>1107</v>
      </c>
      <c r="G18" s="3685"/>
      <c r="H18" s="3685" t="s">
        <v>1730</v>
      </c>
      <c r="I18" s="3685"/>
      <c r="J18" s="3685"/>
    </row>
    <row r="24" spans="1:15">
      <c r="H24" s="3685"/>
      <c r="I24" s="3685"/>
      <c r="J24" s="3685"/>
    </row>
    <row r="25" spans="1:15">
      <c r="D25" s="3379" t="s">
        <v>725</v>
      </c>
    </row>
  </sheetData>
  <mergeCells count="25">
    <mergeCell ref="H24:J24"/>
    <mergeCell ref="J10:J11"/>
    <mergeCell ref="A15:B15"/>
    <mergeCell ref="A16:J16"/>
    <mergeCell ref="G17:J17"/>
    <mergeCell ref="A18:B18"/>
    <mergeCell ref="C18:E18"/>
    <mergeCell ref="F18:G18"/>
    <mergeCell ref="H18:J18"/>
    <mergeCell ref="I9:J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A8:J8"/>
    <mergeCell ref="A1:J1"/>
    <mergeCell ref="A2:J2"/>
    <mergeCell ref="A3:J3"/>
    <mergeCell ref="A5:E5"/>
    <mergeCell ref="A6:E6"/>
  </mergeCells>
  <pageMargins left="0.39370078740157483" right="0.39370078740157483" top="0.39370078740157483" bottom="0.39370078740157483" header="0.39370078740157483" footer="0.3937007874015748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W47"/>
  <sheetViews>
    <sheetView topLeftCell="A19" zoomScale="70" zoomScaleNormal="70" workbookViewId="0">
      <selection activeCell="D23" sqref="D23"/>
    </sheetView>
  </sheetViews>
  <sheetFormatPr defaultColWidth="11.375" defaultRowHeight="16.5"/>
  <cols>
    <col min="1" max="1" width="5.375" style="156" customWidth="1"/>
    <col min="2" max="2" width="44.75" style="156" customWidth="1"/>
    <col min="3" max="3" width="11.125" style="281" customWidth="1"/>
    <col min="4" max="4" width="11.875" style="974" customWidth="1"/>
    <col min="5" max="5" width="13.75" style="777" customWidth="1"/>
    <col min="6" max="6" width="16.125" style="684" customWidth="1"/>
    <col min="7" max="7" width="18" style="684" customWidth="1"/>
    <col min="8" max="8" width="22" style="684" hidden="1" customWidth="1"/>
    <col min="9" max="10" width="18.375" style="684" customWidth="1"/>
    <col min="11" max="11" width="19" style="977" customWidth="1"/>
    <col min="12" max="12" width="14.125" style="156" customWidth="1"/>
    <col min="13" max="13" width="20" style="156" customWidth="1"/>
    <col min="14" max="14" width="23.875" style="156" customWidth="1"/>
    <col min="15" max="15" width="11.375" style="156"/>
    <col min="16" max="16" width="15.375" style="156" bestFit="1" customWidth="1"/>
    <col min="17" max="16384" width="11.375" style="156"/>
  </cols>
  <sheetData>
    <row r="1" spans="1:23">
      <c r="A1" s="3666" t="s">
        <v>165</v>
      </c>
      <c r="B1" s="3666"/>
      <c r="C1" s="3666"/>
      <c r="D1" s="3666"/>
      <c r="E1" s="3666"/>
      <c r="F1" s="3666"/>
      <c r="G1" s="3666"/>
      <c r="H1" s="3666"/>
      <c r="I1" s="3666"/>
      <c r="J1" s="3666"/>
      <c r="K1" s="3666"/>
    </row>
    <row r="2" spans="1:23">
      <c r="A2" s="3666" t="s">
        <v>171</v>
      </c>
      <c r="B2" s="3666"/>
      <c r="C2" s="3666"/>
      <c r="D2" s="3666"/>
      <c r="E2" s="3666"/>
      <c r="F2" s="3666"/>
      <c r="G2" s="3666"/>
      <c r="H2" s="3666"/>
      <c r="I2" s="3666"/>
      <c r="J2" s="3666"/>
      <c r="K2" s="3666"/>
    </row>
    <row r="3" spans="1:23">
      <c r="A3" s="3671" t="s">
        <v>726</v>
      </c>
      <c r="B3" s="3671"/>
      <c r="C3" s="3671"/>
      <c r="D3" s="3671"/>
      <c r="E3" s="3671"/>
      <c r="F3" s="3671"/>
      <c r="G3" s="3671"/>
      <c r="H3" s="3671"/>
      <c r="I3" s="3671"/>
      <c r="J3" s="3671"/>
      <c r="K3" s="3671"/>
      <c r="L3" s="1473"/>
      <c r="M3" s="1473"/>
      <c r="N3" s="1473"/>
      <c r="O3" s="1473"/>
      <c r="P3" s="1473"/>
      <c r="Q3" s="1473"/>
      <c r="R3" s="1473"/>
      <c r="S3" s="1473"/>
      <c r="T3" s="1473"/>
      <c r="U3" s="1473"/>
      <c r="V3" s="1473"/>
      <c r="W3" s="1473"/>
    </row>
    <row r="4" spans="1:23">
      <c r="A4" s="3670" t="s">
        <v>574</v>
      </c>
      <c r="B4" s="3670"/>
      <c r="C4" s="3670"/>
      <c r="D4" s="971"/>
      <c r="E4" s="156"/>
      <c r="F4" s="156"/>
      <c r="G4" s="156"/>
      <c r="H4" s="156"/>
      <c r="I4" s="156"/>
      <c r="J4" s="156"/>
    </row>
    <row r="5" spans="1:23">
      <c r="A5" s="3666" t="s">
        <v>541</v>
      </c>
      <c r="B5" s="3666"/>
      <c r="C5" s="3666"/>
      <c r="D5" s="972"/>
      <c r="E5" s="156"/>
      <c r="F5" s="156"/>
      <c r="G5" s="156"/>
      <c r="H5" s="156"/>
      <c r="I5" s="156"/>
      <c r="J5" s="156"/>
    </row>
    <row r="6" spans="1:23" ht="10.5" customHeight="1">
      <c r="D6" s="973"/>
      <c r="H6" s="3215"/>
      <c r="I6" s="3215"/>
      <c r="J6" s="3215"/>
      <c r="K6" s="978"/>
    </row>
    <row r="7" spans="1:23">
      <c r="D7" s="973"/>
      <c r="E7" s="2442"/>
      <c r="F7" s="2442"/>
      <c r="G7" s="2442"/>
      <c r="H7" s="2442"/>
      <c r="I7" s="2442"/>
      <c r="J7" s="2442"/>
      <c r="K7" s="979"/>
    </row>
    <row r="8" spans="1:23" s="157" customFormat="1" ht="18.75">
      <c r="A8" s="3672" t="s">
        <v>1559</v>
      </c>
      <c r="B8" s="3672"/>
      <c r="C8" s="3672"/>
      <c r="D8" s="3672"/>
      <c r="E8" s="3672"/>
      <c r="F8" s="3672"/>
      <c r="G8" s="3672"/>
      <c r="H8" s="3672"/>
      <c r="I8" s="3672"/>
      <c r="J8" s="3672"/>
      <c r="K8" s="3672"/>
    </row>
    <row r="9" spans="1:23" ht="23.25" customHeight="1">
      <c r="A9" s="3666" t="s">
        <v>1560</v>
      </c>
      <c r="B9" s="3666"/>
      <c r="C9" s="3666"/>
      <c r="D9" s="3666"/>
      <c r="E9" s="3666"/>
      <c r="F9" s="3666"/>
      <c r="G9" s="3666"/>
      <c r="H9" s="3666"/>
      <c r="I9" s="3666"/>
      <c r="J9" s="3666"/>
      <c r="K9" s="3666"/>
    </row>
    <row r="10" spans="1:23" ht="15.75" customHeight="1">
      <c r="A10" s="3212"/>
      <c r="B10" s="3213"/>
      <c r="F10" s="3215"/>
      <c r="G10" s="3215"/>
      <c r="I10" s="3215"/>
      <c r="J10" s="3215"/>
      <c r="K10" s="3215" t="s">
        <v>1172</v>
      </c>
    </row>
    <row r="11" spans="1:23" s="782" customFormat="1" ht="53.25" customHeight="1">
      <c r="A11" s="3214" t="s">
        <v>1</v>
      </c>
      <c r="B11" s="3214" t="s">
        <v>669</v>
      </c>
      <c r="C11" s="780" t="s">
        <v>623</v>
      </c>
      <c r="D11" s="975" t="s">
        <v>670</v>
      </c>
      <c r="E11" s="781" t="s">
        <v>671</v>
      </c>
      <c r="F11" s="781" t="s">
        <v>1258</v>
      </c>
      <c r="G11" s="781" t="s">
        <v>802</v>
      </c>
      <c r="H11" s="781" t="s">
        <v>1259</v>
      </c>
      <c r="I11" s="781" t="s">
        <v>1260</v>
      </c>
      <c r="J11" s="781" t="s">
        <v>184</v>
      </c>
      <c r="K11" s="980" t="s">
        <v>634</v>
      </c>
    </row>
    <row r="12" spans="1:23" ht="28.5" customHeight="1">
      <c r="A12" s="783" t="s">
        <v>147</v>
      </c>
      <c r="B12" s="797" t="s">
        <v>1144</v>
      </c>
      <c r="C12" s="784"/>
      <c r="D12" s="967"/>
      <c r="E12" s="967"/>
      <c r="F12" s="790"/>
      <c r="G12" s="968">
        <v>540157761.26933086</v>
      </c>
      <c r="H12" s="968">
        <f>H13+H31</f>
        <v>0</v>
      </c>
      <c r="I12" s="968">
        <f>I13+I31</f>
        <v>4720954.2503999993</v>
      </c>
      <c r="J12" s="968">
        <v>544878715.51973081</v>
      </c>
      <c r="K12" s="981"/>
      <c r="L12" s="1862" t="s">
        <v>847</v>
      </c>
      <c r="M12" s="1863"/>
      <c r="N12" s="1866">
        <v>22036</v>
      </c>
    </row>
    <row r="13" spans="1:23" ht="28.5" customHeight="1">
      <c r="A13" s="783">
        <v>1</v>
      </c>
      <c r="B13" s="797" t="s">
        <v>1145</v>
      </c>
      <c r="C13" s="784"/>
      <c r="D13" s="967"/>
      <c r="E13" s="967"/>
      <c r="F13" s="790"/>
      <c r="G13" s="968">
        <v>529757761.26933086</v>
      </c>
      <c r="H13" s="968"/>
      <c r="I13" s="968">
        <f>I14+I23+I30</f>
        <v>4720954.2503999993</v>
      </c>
      <c r="J13" s="968">
        <v>534478715.51973081</v>
      </c>
      <c r="K13" s="981"/>
      <c r="L13" s="1862"/>
      <c r="M13" s="1863"/>
      <c r="N13" s="1866"/>
    </row>
    <row r="14" spans="1:23" ht="28.5" customHeight="1">
      <c r="A14" s="788" t="s">
        <v>837</v>
      </c>
      <c r="B14" s="789" t="s">
        <v>672</v>
      </c>
      <c r="C14" s="786"/>
      <c r="D14" s="967"/>
      <c r="E14" s="967">
        <f>+SUM(E15:E22)</f>
        <v>63154.458000000006</v>
      </c>
      <c r="F14" s="967"/>
      <c r="G14" s="2754">
        <v>330680321.55435592</v>
      </c>
      <c r="H14" s="2463"/>
      <c r="I14" s="2463">
        <f>SUM(I15:I22)</f>
        <v>4720954.2503999993</v>
      </c>
      <c r="J14" s="2463">
        <v>335401275.80475587</v>
      </c>
      <c r="K14" s="982"/>
      <c r="L14" s="1864" t="s">
        <v>894</v>
      </c>
      <c r="M14" s="1865" t="s">
        <v>894</v>
      </c>
      <c r="N14" s="2410">
        <v>657.39</v>
      </c>
      <c r="O14" s="2410"/>
      <c r="P14" s="2410"/>
    </row>
    <row r="15" spans="1:23" ht="28.5" customHeight="1">
      <c r="A15" s="787"/>
      <c r="B15" s="2054" t="s">
        <v>673</v>
      </c>
      <c r="C15" s="2055" t="s">
        <v>377</v>
      </c>
      <c r="D15" s="967"/>
      <c r="E15" s="967">
        <f>+SUMIF('BẢNG LƯƠNG KT'!$K$17:$K$69,"A",'BẢNG LƯƠNG KT'!$J$17:$J$69)</f>
        <v>25897.940158687037</v>
      </c>
      <c r="F15" s="967">
        <f>6.1*$N$14</f>
        <v>4010.0789999999997</v>
      </c>
      <c r="G15" s="967">
        <v>170124647.00712588</v>
      </c>
      <c r="H15" s="1977"/>
      <c r="I15" s="2463">
        <v>2639184.1895999992</v>
      </c>
      <c r="J15" s="2463">
        <v>172763831.19672588</v>
      </c>
      <c r="K15" s="982"/>
      <c r="M15" s="705"/>
      <c r="N15" s="2400"/>
      <c r="O15" s="2397"/>
      <c r="P15" s="2397"/>
    </row>
    <row r="16" spans="1:23" ht="28.5" customHeight="1">
      <c r="A16" s="787"/>
      <c r="B16" s="2054" t="s">
        <v>674</v>
      </c>
      <c r="C16" s="786" t="s">
        <v>377</v>
      </c>
      <c r="D16" s="967"/>
      <c r="E16" s="967">
        <f>+SUMIF('BẢNG LƯƠNG KT'!$K$17:$K$69,"B",'BẢNG LƯƠNG KT'!$J$17:$J$69)</f>
        <v>21418.570348380774</v>
      </c>
      <c r="F16" s="967">
        <f>5.8*$N$14</f>
        <v>3812.8619999999996</v>
      </c>
      <c r="G16" s="967">
        <v>105668928.39332132</v>
      </c>
      <c r="H16" s="1977"/>
      <c r="I16" s="2463">
        <v>2081770.0607999996</v>
      </c>
      <c r="J16" s="2463">
        <v>107750698.45412132</v>
      </c>
      <c r="K16" s="982"/>
      <c r="M16" s="705"/>
      <c r="N16" s="2411"/>
      <c r="O16" s="2412"/>
      <c r="P16" s="2411"/>
    </row>
    <row r="17" spans="1:22" ht="28.5" customHeight="1">
      <c r="A17" s="787"/>
      <c r="B17" s="2054" t="s">
        <v>675</v>
      </c>
      <c r="C17" s="786" t="s">
        <v>377</v>
      </c>
      <c r="D17" s="967"/>
      <c r="E17" s="967">
        <f>+SUMIF('BẢNG LƯƠNG KT'!$K$17:$K$69,"C",'BẢNG LƯƠNG KT'!$J$17:$J$69)</f>
        <v>4348.0414929321987</v>
      </c>
      <c r="F17" s="967">
        <f>5.5*$N$14</f>
        <v>3615.645</v>
      </c>
      <c r="G17" s="967">
        <v>0</v>
      </c>
      <c r="H17" s="1977"/>
      <c r="I17" s="1977"/>
      <c r="J17" s="2463">
        <v>0</v>
      </c>
      <c r="K17" s="982"/>
      <c r="M17" s="705" t="e">
        <f>#REF!-#REF!</f>
        <v>#REF!</v>
      </c>
      <c r="N17" s="2411"/>
      <c r="O17" s="2412"/>
      <c r="P17" s="2411"/>
    </row>
    <row r="18" spans="1:22" ht="28.5" customHeight="1">
      <c r="A18" s="787"/>
      <c r="B18" s="2054" t="s">
        <v>1105</v>
      </c>
      <c r="C18" s="786" t="s">
        <v>377</v>
      </c>
      <c r="D18" s="967"/>
      <c r="E18" s="967">
        <f>+SUMIF('BẢNG LƯƠNG KT'!$K$17:$K$52,"D",'BẢNG LƯƠNG KT'!$J$17:$J$52)</f>
        <v>0</v>
      </c>
      <c r="F18" s="967">
        <f>5.2*$N$14</f>
        <v>3418.4279999999999</v>
      </c>
      <c r="G18" s="967">
        <v>0</v>
      </c>
      <c r="H18" s="1977"/>
      <c r="I18" s="1977"/>
      <c r="J18" s="2463">
        <v>0</v>
      </c>
      <c r="K18" s="982"/>
      <c r="M18" s="705"/>
      <c r="N18" s="2411"/>
      <c r="O18" s="2412"/>
      <c r="P18" s="2411"/>
    </row>
    <row r="19" spans="1:22" ht="28.5" customHeight="1">
      <c r="A19" s="787"/>
      <c r="B19" s="2054" t="s">
        <v>843</v>
      </c>
      <c r="C19" s="786" t="s">
        <v>377</v>
      </c>
      <c r="D19" s="967"/>
      <c r="E19" s="967">
        <f>+SUMIF('BẢNG LƯƠNG KT'!$K$72:$K$87,"A",'BẢNG LƯƠNG KT'!$J$72:$J$87)</f>
        <v>7886.5068378933538</v>
      </c>
      <c r="F19" s="967">
        <f>+(6.1+0.6)*$N$14</f>
        <v>4404.512999999999</v>
      </c>
      <c r="G19" s="967">
        <v>28570730.202927023</v>
      </c>
      <c r="H19" s="1977"/>
      <c r="I19" s="1977"/>
      <c r="J19" s="2463">
        <v>28570730.202927023</v>
      </c>
      <c r="K19" s="982"/>
      <c r="M19" s="705"/>
      <c r="N19" s="2411"/>
      <c r="O19" s="2412"/>
      <c r="P19" s="2411"/>
    </row>
    <row r="20" spans="1:22" ht="28.5" customHeight="1">
      <c r="A20" s="787"/>
      <c r="B20" s="2054" t="s">
        <v>844</v>
      </c>
      <c r="C20" s="786" t="s">
        <v>377</v>
      </c>
      <c r="D20" s="967"/>
      <c r="E20" s="967">
        <f>+SUMIF('BẢNG LƯƠNG KT'!$K$72:$K$87,"B",'BẢNG LƯƠNG KT'!$J$72:$J$87)</f>
        <v>3603.3991621066471</v>
      </c>
      <c r="F20" s="967">
        <f>+(5.8+0.6)*$N$14</f>
        <v>4207.2959999999994</v>
      </c>
      <c r="G20" s="967">
        <v>26316015.950981695</v>
      </c>
      <c r="H20" s="1977"/>
      <c r="I20" s="1977"/>
      <c r="J20" s="2463">
        <v>26316015.950981695</v>
      </c>
      <c r="K20" s="982"/>
      <c r="M20" s="705"/>
      <c r="N20" s="2411"/>
      <c r="O20" s="2412"/>
      <c r="P20" s="2411"/>
    </row>
    <row r="21" spans="1:22" ht="28.5" customHeight="1">
      <c r="A21" s="787"/>
      <c r="B21" s="2054" t="s">
        <v>768</v>
      </c>
      <c r="C21" s="786" t="s">
        <v>377</v>
      </c>
      <c r="D21" s="967"/>
      <c r="E21" s="967">
        <f>+SUMIF('BẢNG LƯƠNG KT'!$K$72:$K$87,"C",'BẢNG LƯƠNG KT'!$J$72:$J$87)</f>
        <v>0</v>
      </c>
      <c r="F21" s="967">
        <f>+(5.5+0.6)*$N$14</f>
        <v>4010.0789999999997</v>
      </c>
      <c r="G21" s="967">
        <v>0</v>
      </c>
      <c r="H21" s="1977"/>
      <c r="I21" s="1977"/>
      <c r="J21" s="2463">
        <v>0</v>
      </c>
      <c r="K21" s="982"/>
      <c r="M21" s="705"/>
      <c r="N21" s="2411"/>
      <c r="O21" s="2412"/>
      <c r="P21" s="2411"/>
    </row>
    <row r="22" spans="1:22" ht="28.5" customHeight="1">
      <c r="A22" s="787"/>
      <c r="B22" s="2054" t="s">
        <v>845</v>
      </c>
      <c r="C22" s="786" t="s">
        <v>377</v>
      </c>
      <c r="D22" s="967"/>
      <c r="E22" s="967">
        <f>+SUMIF('BẢNG LƯƠNG KT'!$K$72:$K$87,"D",'BẢNG LƯƠNG KT'!$J$72:$J$87)</f>
        <v>0</v>
      </c>
      <c r="F22" s="967">
        <f>+(5.2+0.6)*$N$14</f>
        <v>3812.8619999999996</v>
      </c>
      <c r="G22" s="967">
        <v>0</v>
      </c>
      <c r="H22" s="1977"/>
      <c r="I22" s="1977"/>
      <c r="J22" s="2463">
        <v>0</v>
      </c>
      <c r="K22" s="982"/>
      <c r="M22" s="705"/>
      <c r="N22" s="2411"/>
      <c r="O22" s="2412"/>
      <c r="P22" s="2411"/>
    </row>
    <row r="23" spans="1:22" ht="28.5" customHeight="1">
      <c r="A23" s="788" t="s">
        <v>838</v>
      </c>
      <c r="B23" s="789" t="s">
        <v>1367</v>
      </c>
      <c r="C23" s="784" t="s">
        <v>362</v>
      </c>
      <c r="D23" s="790">
        <f>+SUM(D24:D29)</f>
        <v>3162</v>
      </c>
      <c r="E23" s="790"/>
      <c r="F23" s="967"/>
      <c r="G23" s="1977">
        <v>115049846.09999999</v>
      </c>
      <c r="H23" s="1977"/>
      <c r="I23" s="1977">
        <f>SUM(I24:I29)</f>
        <v>0</v>
      </c>
      <c r="J23" s="2463">
        <v>115049846.09999999</v>
      </c>
      <c r="K23" s="982"/>
      <c r="L23" s="684"/>
      <c r="M23" s="705"/>
      <c r="N23" s="2411"/>
      <c r="O23" s="2412"/>
      <c r="P23" s="2411"/>
    </row>
    <row r="24" spans="1:22" ht="28.5" customHeight="1">
      <c r="A24" s="787"/>
      <c r="B24" s="2054" t="s">
        <v>1265</v>
      </c>
      <c r="C24" s="784" t="s">
        <v>829</v>
      </c>
      <c r="D24" s="790">
        <f>'BẢNG LƯƠNG KT'!M16+'BẢNG LƯƠNG KT'!M54</f>
        <v>1086</v>
      </c>
      <c r="E24" s="790"/>
      <c r="F24" s="967">
        <f>46.1*'BẢNG PHÂN TOÁN ĐÚNG'!$N$14</f>
        <v>30305.679</v>
      </c>
      <c r="G24" s="967">
        <v>35093976.281999998</v>
      </c>
      <c r="H24" s="1977"/>
      <c r="I24" s="1977"/>
      <c r="J24" s="2463">
        <v>35093976.281999998</v>
      </c>
      <c r="K24" s="982"/>
      <c r="M24" s="705"/>
      <c r="N24" s="2397"/>
      <c r="O24" s="2397"/>
      <c r="P24" s="2397"/>
    </row>
    <row r="25" spans="1:22" ht="28.5" customHeight="1">
      <c r="A25" s="787"/>
      <c r="B25" s="2054" t="s">
        <v>1266</v>
      </c>
      <c r="C25" s="784" t="s">
        <v>829</v>
      </c>
      <c r="D25" s="790">
        <f>'BẢNG LƯƠNG KT'!N54+'BẢNG LƯƠNG KT'!N16</f>
        <v>170</v>
      </c>
      <c r="E25" s="790"/>
      <c r="F25" s="967">
        <f>76.9*$N$14</f>
        <v>50553.291000000005</v>
      </c>
      <c r="G25" s="967">
        <v>6571927.830000001</v>
      </c>
      <c r="H25" s="1977"/>
      <c r="I25" s="1977"/>
      <c r="J25" s="2463">
        <v>6571927.830000001</v>
      </c>
      <c r="K25" s="982"/>
      <c r="M25" s="2396"/>
      <c r="N25" s="2397"/>
      <c r="O25" s="2397"/>
      <c r="P25" s="2397"/>
      <c r="Q25" s="2397"/>
      <c r="R25" s="2397"/>
      <c r="S25" s="2397"/>
      <c r="T25" s="2397"/>
      <c r="U25" s="2397"/>
      <c r="V25" s="2397"/>
    </row>
    <row r="26" spans="1:22" ht="28.5" customHeight="1">
      <c r="A26" s="787"/>
      <c r="B26" s="2168" t="s">
        <v>1252</v>
      </c>
      <c r="C26" s="784" t="s">
        <v>829</v>
      </c>
      <c r="D26" s="790">
        <f>'BẢNG LƯƠNG KT'!O89</f>
        <v>130</v>
      </c>
      <c r="E26" s="790"/>
      <c r="F26" s="967">
        <f>76.8*'BẢNG PHÂN TOÁN ĐÚNG'!$N$14</f>
        <v>50487.551999999996</v>
      </c>
      <c r="G26" s="967">
        <v>7977033.2159999991</v>
      </c>
      <c r="H26" s="1977"/>
      <c r="I26" s="1977"/>
      <c r="J26" s="2463">
        <v>7977033.2159999991</v>
      </c>
      <c r="K26" s="982"/>
      <c r="M26" s="2396"/>
      <c r="N26" s="2397"/>
      <c r="O26" s="2397"/>
      <c r="P26" s="2397"/>
      <c r="Q26" s="2397"/>
      <c r="R26" s="2397"/>
      <c r="S26" s="2397"/>
      <c r="T26" s="2397"/>
      <c r="U26" s="2397"/>
      <c r="V26" s="2397"/>
    </row>
    <row r="27" spans="1:22" ht="28.5" customHeight="1">
      <c r="A27" s="787"/>
      <c r="B27" s="2168" t="s">
        <v>1261</v>
      </c>
      <c r="C27" s="784" t="s">
        <v>829</v>
      </c>
      <c r="D27" s="790">
        <f>'BẢNG LƯƠNG KT'!P89</f>
        <v>22</v>
      </c>
      <c r="E27" s="790"/>
      <c r="F27" s="967">
        <f>107.6*'BẢNG PHÂN TOÁN ĐÚNG'!$N$14</f>
        <v>70735.16399999999</v>
      </c>
      <c r="G27" s="967">
        <v>1626908.7719999999</v>
      </c>
      <c r="H27" s="1977"/>
      <c r="I27" s="1977"/>
      <c r="J27" s="2463">
        <v>1626908.7719999999</v>
      </c>
      <c r="K27" s="982"/>
      <c r="M27" s="2396">
        <f>G35+I35</f>
        <v>547185858.37688076</v>
      </c>
      <c r="N27" s="2397"/>
      <c r="O27" s="2397"/>
      <c r="P27" s="2397"/>
      <c r="Q27" s="2397"/>
      <c r="R27" s="2397"/>
      <c r="S27" s="2397"/>
      <c r="T27" s="2397"/>
      <c r="U27" s="2397"/>
      <c r="V27" s="2397"/>
    </row>
    <row r="28" spans="1:22" ht="28.5" customHeight="1">
      <c r="A28" s="787"/>
      <c r="B28" s="2054" t="s">
        <v>1104</v>
      </c>
      <c r="C28" s="784" t="s">
        <v>829</v>
      </c>
      <c r="D28" s="790">
        <f>SUM(D24:D27)</f>
        <v>1408</v>
      </c>
      <c r="E28" s="790"/>
      <c r="F28" s="967">
        <v>20000</v>
      </c>
      <c r="G28" s="967">
        <v>29380000</v>
      </c>
      <c r="H28" s="1977"/>
      <c r="I28" s="1977"/>
      <c r="J28" s="2463">
        <v>29380000</v>
      </c>
      <c r="K28" s="982"/>
      <c r="M28" s="2396"/>
      <c r="N28" s="2397"/>
      <c r="O28" s="2397"/>
      <c r="P28" s="2397"/>
      <c r="Q28" s="2397"/>
      <c r="R28" s="2397"/>
      <c r="S28" s="2397"/>
      <c r="T28" s="2397"/>
      <c r="U28" s="2397"/>
      <c r="V28" s="2397"/>
    </row>
    <row r="29" spans="1:22" ht="28.5" customHeight="1">
      <c r="A29" s="787"/>
      <c r="B29" s="2054" t="s">
        <v>1321</v>
      </c>
      <c r="C29" s="784" t="s">
        <v>829</v>
      </c>
      <c r="D29" s="790">
        <f>'BẢNG LƯƠNG KT'!M71+'BẢNG LƯƠNG KT'!N71</f>
        <v>346</v>
      </c>
      <c r="E29" s="790"/>
      <c r="F29" s="967">
        <v>100000</v>
      </c>
      <c r="G29" s="967">
        <v>34400000</v>
      </c>
      <c r="H29" s="1977"/>
      <c r="I29" s="1977"/>
      <c r="J29" s="2463">
        <v>34400000</v>
      </c>
      <c r="K29" s="982"/>
      <c r="M29" s="2396"/>
      <c r="N29" s="2397"/>
      <c r="O29" s="2397"/>
      <c r="P29" s="2397"/>
      <c r="Q29" s="2397"/>
      <c r="R29" s="2397"/>
      <c r="S29" s="2397"/>
      <c r="T29" s="2397"/>
      <c r="U29" s="2397"/>
      <c r="V29" s="2397"/>
    </row>
    <row r="30" spans="1:22" ht="28.5" customHeight="1">
      <c r="A30" s="788" t="s">
        <v>1047</v>
      </c>
      <c r="B30" s="789" t="s">
        <v>1106</v>
      </c>
      <c r="C30" s="784" t="s">
        <v>362</v>
      </c>
      <c r="D30" s="1978">
        <f>'BẢNG LƯƠNG KT'!G89</f>
        <v>0</v>
      </c>
      <c r="E30" s="790"/>
      <c r="F30" s="967">
        <v>25000</v>
      </c>
      <c r="G30" s="967">
        <v>84027593.614975005</v>
      </c>
      <c r="H30" s="1977"/>
      <c r="I30" s="1977"/>
      <c r="J30" s="2463">
        <v>84027593.614975005</v>
      </c>
      <c r="K30" s="982"/>
      <c r="M30" s="2398"/>
      <c r="N30" s="2399"/>
      <c r="O30" s="2397"/>
      <c r="P30" s="2400"/>
      <c r="Q30" s="2397"/>
      <c r="R30" s="2397"/>
      <c r="S30" s="2397"/>
      <c r="T30" s="2397"/>
      <c r="U30" s="2397"/>
      <c r="V30" s="2397"/>
    </row>
    <row r="31" spans="1:22" s="2419" customFormat="1" ht="28.5" customHeight="1">
      <c r="A31" s="783">
        <v>2</v>
      </c>
      <c r="B31" s="797" t="s">
        <v>676</v>
      </c>
      <c r="C31" s="2413" t="s">
        <v>362</v>
      </c>
      <c r="D31" s="2414">
        <f>'QL LƯƠNG'!G16</f>
        <v>416</v>
      </c>
      <c r="E31" s="2415"/>
      <c r="F31" s="2416">
        <v>25000</v>
      </c>
      <c r="G31" s="2416">
        <v>10400000</v>
      </c>
      <c r="H31" s="2417"/>
      <c r="I31" s="2417"/>
      <c r="J31" s="2417">
        <v>10400000</v>
      </c>
      <c r="K31" s="2418"/>
      <c r="M31" s="2420"/>
      <c r="N31" s="2421"/>
      <c r="O31" s="2421"/>
      <c r="P31" s="2422"/>
      <c r="Q31" s="2401"/>
      <c r="R31" s="2421"/>
      <c r="S31" s="2421"/>
      <c r="T31" s="2421"/>
      <c r="U31" s="2421"/>
      <c r="V31" s="2421"/>
    </row>
    <row r="32" spans="1:22" s="2419" customFormat="1" ht="28.5" customHeight="1">
      <c r="A32" s="783" t="s">
        <v>148</v>
      </c>
      <c r="B32" s="797" t="s">
        <v>1250</v>
      </c>
      <c r="C32" s="2413" t="s">
        <v>362</v>
      </c>
      <c r="D32" s="3211">
        <f>D33</f>
        <v>24.285714286000001</v>
      </c>
      <c r="E32" s="2415"/>
      <c r="F32" s="2416">
        <v>25000</v>
      </c>
      <c r="G32" s="2416">
        <v>607142.85715000005</v>
      </c>
      <c r="H32" s="2416"/>
      <c r="I32" s="2416"/>
      <c r="J32" s="2417">
        <v>607142.85715000005</v>
      </c>
      <c r="K32" s="2418"/>
      <c r="M32" s="2420" t="e">
        <f>'LƯƠNG TT'!#REF!</f>
        <v>#REF!</v>
      </c>
      <c r="N32" s="2420" t="e">
        <f>M32+#REF!+#REF!</f>
        <v>#REF!</v>
      </c>
      <c r="O32" s="2421"/>
      <c r="P32" s="2422" t="e">
        <f>#REF!-455517042</f>
        <v>#REF!</v>
      </c>
      <c r="Q32" s="2401"/>
      <c r="R32" s="2421"/>
      <c r="S32" s="2421"/>
      <c r="T32" s="2421"/>
      <c r="U32" s="2421"/>
      <c r="V32" s="2421"/>
    </row>
    <row r="33" spans="1:22" s="1388" customFormat="1" ht="28.5" customHeight="1">
      <c r="A33" s="787">
        <v>1</v>
      </c>
      <c r="B33" s="2054" t="s">
        <v>1251</v>
      </c>
      <c r="C33" s="2752" t="s">
        <v>362</v>
      </c>
      <c r="D33" s="3076">
        <v>24.285714286000001</v>
      </c>
      <c r="E33" s="2753"/>
      <c r="F33" s="2754">
        <v>25000</v>
      </c>
      <c r="G33" s="2754">
        <v>607142.85715000005</v>
      </c>
      <c r="H33" s="2754"/>
      <c r="I33" s="2754"/>
      <c r="J33" s="2463">
        <v>607142.85715000005</v>
      </c>
      <c r="K33" s="2755"/>
      <c r="M33" s="2756"/>
      <c r="N33" s="2757"/>
      <c r="O33" s="2757"/>
      <c r="P33" s="2758"/>
      <c r="Q33" s="2759"/>
      <c r="R33" s="2757"/>
      <c r="S33" s="2757"/>
      <c r="T33" s="2757"/>
      <c r="U33" s="2757"/>
      <c r="V33" s="2757"/>
    </row>
    <row r="34" spans="1:22" s="1388" customFormat="1" ht="28.5" customHeight="1">
      <c r="A34" s="783" t="s">
        <v>149</v>
      </c>
      <c r="B34" s="797" t="s">
        <v>1384</v>
      </c>
      <c r="C34" s="2752" t="s">
        <v>829</v>
      </c>
      <c r="D34" s="3077">
        <v>30</v>
      </c>
      <c r="E34" s="2753"/>
      <c r="F34" s="2416">
        <v>56666.666666666701</v>
      </c>
      <c r="G34" s="2416">
        <v>1700000.0000000009</v>
      </c>
      <c r="H34" s="2416"/>
      <c r="I34" s="2754"/>
      <c r="J34" s="2417">
        <v>1700000</v>
      </c>
      <c r="K34" s="2755"/>
      <c r="M34" s="2756"/>
      <c r="N34" s="2757"/>
      <c r="O34" s="2757"/>
      <c r="P34" s="2758"/>
      <c r="Q34" s="2759"/>
      <c r="R34" s="2757"/>
      <c r="S34" s="2757"/>
      <c r="T34" s="2757"/>
      <c r="U34" s="2757"/>
      <c r="V34" s="2757"/>
    </row>
    <row r="35" spans="1:22" ht="28.5" customHeight="1">
      <c r="A35" s="3669" t="s">
        <v>677</v>
      </c>
      <c r="B35" s="3669"/>
      <c r="C35" s="785"/>
      <c r="D35" s="969"/>
      <c r="E35" s="969">
        <f>E14</f>
        <v>63154.458000000006</v>
      </c>
      <c r="F35" s="967"/>
      <c r="G35" s="970">
        <v>542464904.12648082</v>
      </c>
      <c r="H35" s="970">
        <f>H12+H32+H34</f>
        <v>0</v>
      </c>
      <c r="I35" s="970">
        <f>I12+I32</f>
        <v>4720954.2503999993</v>
      </c>
      <c r="J35" s="970">
        <v>547185858.376881</v>
      </c>
      <c r="K35" s="983"/>
      <c r="M35" s="2402" t="e">
        <f>#REF!-#REF!</f>
        <v>#REF!</v>
      </c>
      <c r="N35" s="2396"/>
      <c r="O35" s="2400"/>
      <c r="P35" s="2397"/>
      <c r="Q35" s="2397"/>
      <c r="R35" s="2397"/>
      <c r="S35" s="2397"/>
      <c r="T35" s="2397"/>
      <c r="U35" s="2397"/>
      <c r="V35" s="2397"/>
    </row>
    <row r="36" spans="1:22" ht="26.25" customHeight="1">
      <c r="A36" s="3667" t="s">
        <v>1574</v>
      </c>
      <c r="B36" s="3668"/>
      <c r="C36" s="3668"/>
      <c r="D36" s="3668"/>
      <c r="E36" s="3668"/>
      <c r="F36" s="3668"/>
      <c r="G36" s="3668"/>
      <c r="H36" s="3668"/>
      <c r="I36" s="3668"/>
      <c r="J36" s="3668"/>
      <c r="K36" s="3668"/>
      <c r="M36" s="2403"/>
      <c r="N36" s="2400">
        <f>H35-H31</f>
        <v>0</v>
      </c>
      <c r="O36" s="2397"/>
      <c r="P36" s="2399" t="e">
        <f>#REF!+1680000-#REF!</f>
        <v>#REF!</v>
      </c>
      <c r="Q36" s="2397"/>
      <c r="R36" s="2397"/>
      <c r="S36" s="2397"/>
      <c r="T36" s="2397"/>
      <c r="U36" s="2397"/>
      <c r="V36" s="2397"/>
    </row>
    <row r="37" spans="1:22" ht="11.25" customHeight="1">
      <c r="A37" s="2100"/>
      <c r="B37" s="2100"/>
      <c r="C37" s="2100"/>
      <c r="D37" s="2100"/>
      <c r="E37" s="2100"/>
      <c r="F37" s="2100"/>
      <c r="G37" s="2100"/>
      <c r="H37" s="2100"/>
      <c r="I37" s="2100"/>
      <c r="J37" s="2100"/>
      <c r="K37" s="2100"/>
      <c r="M37" s="2403"/>
      <c r="N37" s="2404"/>
      <c r="O37" s="2397"/>
      <c r="P37" s="2397"/>
      <c r="Q37" s="2397"/>
      <c r="R37" s="2397"/>
      <c r="S37" s="2397"/>
      <c r="T37" s="2397"/>
      <c r="U37" s="2397"/>
      <c r="V37" s="2397"/>
    </row>
    <row r="38" spans="1:22" ht="18.75">
      <c r="A38" s="792"/>
      <c r="B38" s="792"/>
      <c r="C38" s="792"/>
      <c r="D38" s="976"/>
      <c r="G38" s="2464"/>
      <c r="H38" s="2464"/>
      <c r="I38" s="3690" t="s">
        <v>1564</v>
      </c>
      <c r="J38" s="3690"/>
      <c r="K38" s="3690"/>
      <c r="L38" s="3690"/>
      <c r="M38" s="2405"/>
      <c r="N38" s="2406"/>
      <c r="O38" s="2397"/>
      <c r="P38" s="2397"/>
      <c r="Q38" s="2397"/>
      <c r="R38" s="2397"/>
      <c r="S38" s="2397"/>
      <c r="T38" s="2397"/>
      <c r="U38" s="2397"/>
      <c r="V38" s="2397"/>
    </row>
    <row r="39" spans="1:22" ht="9" customHeight="1">
      <c r="A39" s="792"/>
      <c r="B39" s="792"/>
      <c r="C39" s="792"/>
      <c r="D39" s="976"/>
      <c r="F39" s="2442"/>
      <c r="G39" s="2442"/>
      <c r="H39" s="2442"/>
      <c r="I39" s="2442"/>
      <c r="J39" s="2442"/>
      <c r="K39" s="2442"/>
      <c r="M39" s="2405"/>
      <c r="N39" s="2406"/>
      <c r="O39" s="2397"/>
      <c r="P39" s="2397"/>
      <c r="Q39" s="2397"/>
      <c r="R39" s="2397"/>
      <c r="S39" s="2397"/>
      <c r="T39" s="2397"/>
      <c r="U39" s="2397"/>
      <c r="V39" s="2397"/>
    </row>
    <row r="40" spans="1:22" s="766" customFormat="1" ht="26.25" customHeight="1">
      <c r="A40" s="3689" t="s">
        <v>1385</v>
      </c>
      <c r="B40" s="3689"/>
      <c r="C40" s="3689"/>
      <c r="D40" s="3689"/>
      <c r="E40" s="3689"/>
      <c r="F40" s="3689"/>
      <c r="G40" s="3689"/>
      <c r="H40" s="3689"/>
      <c r="I40" s="3689"/>
      <c r="J40" s="3689"/>
      <c r="K40" s="3689"/>
      <c r="L40" s="1333"/>
      <c r="M40" s="2407"/>
      <c r="N40" s="2996" t="e">
        <f>#REF!+H33</f>
        <v>#REF!</v>
      </c>
      <c r="O40" s="2407"/>
      <c r="P40" s="2408"/>
      <c r="Q40" s="2408"/>
      <c r="R40" s="2408"/>
      <c r="S40" s="2408"/>
      <c r="T40" s="2408"/>
      <c r="U40" s="2408"/>
      <c r="V40" s="2408"/>
    </row>
    <row r="41" spans="1:22">
      <c r="A41" s="792"/>
      <c r="B41" s="792"/>
      <c r="C41" s="792"/>
      <c r="D41" s="976"/>
      <c r="H41" s="793"/>
      <c r="I41" s="793"/>
      <c r="J41" s="793"/>
      <c r="K41" s="984"/>
      <c r="M41" s="2409"/>
      <c r="N41" s="2397"/>
      <c r="O41" s="2397"/>
      <c r="P41" s="2397"/>
      <c r="Q41" s="2397"/>
      <c r="R41" s="2397"/>
      <c r="S41" s="2397"/>
      <c r="T41" s="2397"/>
      <c r="U41" s="2397"/>
      <c r="V41" s="2397"/>
    </row>
    <row r="42" spans="1:22">
      <c r="A42" s="792"/>
      <c r="B42" s="792"/>
      <c r="C42" s="792"/>
      <c r="D42" s="976"/>
      <c r="H42" s="793"/>
      <c r="I42" s="793"/>
      <c r="J42" s="793"/>
      <c r="K42" s="984"/>
      <c r="P42" s="3006" t="e">
        <f>#REF!+1680000</f>
        <v>#REF!</v>
      </c>
    </row>
    <row r="43" spans="1:22">
      <c r="A43" s="792"/>
      <c r="B43" s="792"/>
      <c r="C43" s="792"/>
      <c r="D43" s="976"/>
      <c r="H43" s="793"/>
      <c r="I43" s="793"/>
      <c r="J43" s="793"/>
      <c r="K43" s="984"/>
    </row>
    <row r="44" spans="1:22">
      <c r="A44" s="792"/>
      <c r="B44" s="792"/>
      <c r="C44" s="792"/>
      <c r="D44" s="976"/>
      <c r="H44" s="793"/>
      <c r="I44" s="793"/>
      <c r="J44" s="793"/>
      <c r="K44" s="984"/>
    </row>
    <row r="45" spans="1:22">
      <c r="A45" s="792"/>
      <c r="B45" s="792"/>
      <c r="C45" s="792"/>
      <c r="D45" s="976"/>
      <c r="F45" s="2984"/>
      <c r="G45" s="2984"/>
      <c r="H45" s="2984"/>
      <c r="I45" s="2984"/>
      <c r="J45" s="2984"/>
      <c r="K45" s="2984"/>
    </row>
    <row r="46" spans="1:22">
      <c r="A46" s="792"/>
      <c r="B46" s="792"/>
      <c r="C46" s="792"/>
      <c r="D46" s="976"/>
      <c r="E46" s="792"/>
      <c r="F46" s="793"/>
      <c r="G46" s="793"/>
      <c r="H46" s="793"/>
      <c r="I46" s="793"/>
      <c r="J46" s="793"/>
      <c r="K46" s="984"/>
    </row>
    <row r="47" spans="1:22">
      <c r="A47" s="792"/>
      <c r="B47" s="794"/>
      <c r="C47" s="792"/>
      <c r="D47" s="976"/>
      <c r="E47" s="794"/>
      <c r="F47" s="795"/>
      <c r="G47" s="795"/>
      <c r="H47" s="795"/>
      <c r="I47" s="795"/>
      <c r="J47" s="795"/>
      <c r="K47" s="985"/>
    </row>
  </sheetData>
  <mergeCells count="11">
    <mergeCell ref="A9:K9"/>
    <mergeCell ref="A35:B35"/>
    <mergeCell ref="A36:K36"/>
    <mergeCell ref="A40:K40"/>
    <mergeCell ref="I38:L38"/>
    <mergeCell ref="A8:K8"/>
    <mergeCell ref="A1:K1"/>
    <mergeCell ref="A2:K2"/>
    <mergeCell ref="A3:K3"/>
    <mergeCell ref="A4:C4"/>
    <mergeCell ref="A5:C5"/>
  </mergeCells>
  <printOptions horizontalCentered="1"/>
  <pageMargins left="0.23622047244094491" right="0" top="0.39370078740157483" bottom="0.35433070866141736" header="0.19685039370078741" footer="0.31496062992125984"/>
  <pageSetup paperSize="9" scale="66" orientation="landscape" r:id="rId1"/>
  <colBreaks count="1" manualBreakCount="1">
    <brk id="11" max="1048575" man="1"/>
  </col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2"/>
  <sheetViews>
    <sheetView topLeftCell="A19" zoomScale="70" zoomScaleNormal="70" workbookViewId="0">
      <selection activeCell="AK22" sqref="AK22"/>
    </sheetView>
  </sheetViews>
  <sheetFormatPr defaultColWidth="9.25" defaultRowHeight="15.75"/>
  <cols>
    <col min="1" max="1" width="4.375" style="2662" customWidth="1"/>
    <col min="2" max="2" width="4.375" style="2661" customWidth="1"/>
    <col min="3" max="3" width="15.375" style="2661" customWidth="1"/>
    <col min="4" max="27" width="6.25" style="2669" customWidth="1"/>
    <col min="28" max="33" width="7.75" style="2669" customWidth="1"/>
    <col min="34" max="34" width="7.75" style="2661" customWidth="1"/>
    <col min="35" max="36" width="9.375" style="3183" customWidth="1"/>
    <col min="37" max="38" width="9.375" style="2661" customWidth="1"/>
    <col min="39" max="39" width="10" style="2661" hidden="1" customWidth="1"/>
    <col min="40" max="41" width="0" style="2661" hidden="1" customWidth="1"/>
    <col min="42" max="42" width="14.875" style="2661" hidden="1" customWidth="1"/>
    <col min="43" max="48" width="0" style="2661" hidden="1" customWidth="1"/>
    <col min="49" max="49" width="9.25" style="2661"/>
    <col min="50" max="50" width="22.25" style="2661" bestFit="1" customWidth="1"/>
    <col min="51" max="16384" width="9.25" style="2661"/>
  </cols>
  <sheetData>
    <row r="1" spans="1:52" ht="21" customHeight="1">
      <c r="A1" s="3719" t="s">
        <v>165</v>
      </c>
      <c r="B1" s="3719"/>
      <c r="C1" s="3719"/>
      <c r="D1" s="3719"/>
      <c r="E1" s="3719"/>
      <c r="F1" s="3719"/>
      <c r="G1" s="3719"/>
      <c r="H1" s="3719"/>
      <c r="I1" s="3719"/>
      <c r="J1" s="3719"/>
      <c r="K1" s="3719"/>
      <c r="L1" s="3719"/>
      <c r="M1" s="3719"/>
      <c r="N1" s="3719"/>
      <c r="O1" s="3719"/>
      <c r="P1" s="3719"/>
      <c r="Q1" s="3719"/>
      <c r="R1" s="3719"/>
      <c r="S1" s="3719"/>
      <c r="T1" s="3719"/>
      <c r="U1" s="3719"/>
      <c r="V1" s="3719"/>
      <c r="W1" s="3719"/>
      <c r="X1" s="3719"/>
      <c r="Y1" s="3719"/>
      <c r="Z1" s="3719"/>
      <c r="AA1" s="3719"/>
      <c r="AB1" s="3719"/>
      <c r="AC1" s="3719"/>
      <c r="AD1" s="3719"/>
      <c r="AE1" s="3719"/>
      <c r="AF1" s="3719"/>
      <c r="AG1" s="3719"/>
      <c r="AH1" s="3719"/>
      <c r="AI1" s="3719"/>
      <c r="AJ1" s="3719"/>
      <c r="AK1" s="3719"/>
      <c r="AL1" s="3719"/>
      <c r="AM1" s="2660"/>
      <c r="AN1" s="2660"/>
      <c r="AO1" s="2660"/>
      <c r="AP1" s="2660"/>
      <c r="AQ1" s="2660"/>
      <c r="AR1" s="2660"/>
      <c r="AS1" s="2660"/>
      <c r="AT1" s="2660"/>
      <c r="AU1" s="2660"/>
      <c r="AV1" s="2660"/>
      <c r="AW1" s="2660"/>
      <c r="AX1" s="2660"/>
      <c r="AY1" s="2660"/>
    </row>
    <row r="2" spans="1:52" ht="21" customHeight="1">
      <c r="A2" s="3719" t="s">
        <v>171</v>
      </c>
      <c r="B2" s="3719"/>
      <c r="C2" s="3719"/>
      <c r="D2" s="3719"/>
      <c r="E2" s="3719"/>
      <c r="F2" s="3719"/>
      <c r="G2" s="3719"/>
      <c r="H2" s="3719"/>
      <c r="I2" s="3719"/>
      <c r="J2" s="3719"/>
      <c r="K2" s="3719"/>
      <c r="L2" s="3719"/>
      <c r="M2" s="3719"/>
      <c r="N2" s="3719"/>
      <c r="O2" s="3719"/>
      <c r="P2" s="3719"/>
      <c r="Q2" s="3719"/>
      <c r="R2" s="3719"/>
      <c r="S2" s="3719"/>
      <c r="T2" s="3719"/>
      <c r="U2" s="3719"/>
      <c r="V2" s="3719"/>
      <c r="W2" s="3719"/>
      <c r="X2" s="3719"/>
      <c r="Y2" s="3719"/>
      <c r="Z2" s="3719"/>
      <c r="AA2" s="3719"/>
      <c r="AB2" s="3719"/>
      <c r="AC2" s="3719"/>
      <c r="AD2" s="3719"/>
      <c r="AE2" s="3719"/>
      <c r="AF2" s="3719"/>
      <c r="AG2" s="3719"/>
      <c r="AH2" s="3719"/>
      <c r="AI2" s="3719"/>
      <c r="AJ2" s="3719"/>
      <c r="AK2" s="3719"/>
      <c r="AL2" s="3719"/>
      <c r="AM2" s="2660"/>
      <c r="AN2" s="2660"/>
      <c r="AO2" s="2660"/>
      <c r="AP2" s="2660"/>
      <c r="AQ2" s="2660"/>
      <c r="AR2" s="2660"/>
      <c r="AS2" s="2660"/>
      <c r="AT2" s="2660"/>
      <c r="AU2" s="2660"/>
      <c r="AV2" s="2660"/>
      <c r="AW2" s="2660"/>
      <c r="AX2" s="2660"/>
      <c r="AY2" s="2660"/>
    </row>
    <row r="3" spans="1:52" ht="21" customHeight="1">
      <c r="A3" s="3720" t="s">
        <v>726</v>
      </c>
      <c r="B3" s="3720"/>
      <c r="C3" s="3720"/>
      <c r="D3" s="3720"/>
      <c r="E3" s="3720"/>
      <c r="F3" s="3720"/>
      <c r="G3" s="3720"/>
      <c r="H3" s="3720"/>
      <c r="I3" s="3720"/>
      <c r="J3" s="3720"/>
      <c r="K3" s="3720"/>
      <c r="L3" s="3720"/>
      <c r="M3" s="3720"/>
      <c r="N3" s="3720"/>
      <c r="O3" s="3720"/>
      <c r="P3" s="3720"/>
      <c r="Q3" s="3720"/>
      <c r="R3" s="3720"/>
      <c r="S3" s="3720"/>
      <c r="T3" s="3720"/>
      <c r="U3" s="3720"/>
      <c r="V3" s="3720"/>
      <c r="W3" s="3720"/>
      <c r="X3" s="3720"/>
      <c r="Y3" s="3720"/>
      <c r="Z3" s="3720"/>
      <c r="AA3" s="3720"/>
      <c r="AB3" s="3720"/>
      <c r="AC3" s="3720"/>
      <c r="AD3" s="3720"/>
      <c r="AE3" s="3720"/>
      <c r="AF3" s="3720"/>
      <c r="AG3" s="3720"/>
      <c r="AH3" s="3720"/>
      <c r="AI3" s="3720"/>
      <c r="AJ3" s="3720"/>
      <c r="AK3" s="3720"/>
      <c r="AL3" s="3720"/>
      <c r="AM3" s="2660"/>
      <c r="AN3" s="2660"/>
      <c r="AO3" s="2660"/>
      <c r="AP3" s="2660"/>
      <c r="AQ3" s="2660"/>
      <c r="AR3" s="2660"/>
      <c r="AS3" s="2660"/>
      <c r="AT3" s="2660"/>
      <c r="AU3" s="2660"/>
      <c r="AV3" s="2660"/>
      <c r="AW3" s="2660"/>
      <c r="AX3" s="2660"/>
      <c r="AY3" s="2660"/>
    </row>
    <row r="4" spans="1:52" ht="1.5" customHeight="1">
      <c r="B4" s="2663"/>
      <c r="C4" s="2663"/>
      <c r="D4" s="2663"/>
      <c r="E4" s="2663"/>
      <c r="F4" s="2663"/>
      <c r="G4" s="2663"/>
      <c r="H4" s="3098"/>
      <c r="I4" s="3098"/>
      <c r="J4" s="3098"/>
      <c r="K4" s="3098"/>
      <c r="L4" s="3098"/>
      <c r="M4" s="3098"/>
      <c r="N4" s="3098"/>
      <c r="O4" s="3098"/>
      <c r="P4" s="3098"/>
      <c r="Q4" s="3098"/>
      <c r="R4" s="3098"/>
      <c r="S4" s="3098"/>
      <c r="T4" s="3098"/>
      <c r="U4" s="2661"/>
      <c r="V4" s="2661"/>
      <c r="W4" s="2661"/>
      <c r="X4" s="2661"/>
      <c r="Y4" s="2661"/>
      <c r="Z4" s="2661"/>
      <c r="AA4" s="2661"/>
      <c r="AB4" s="2661"/>
      <c r="AC4" s="2661"/>
      <c r="AD4" s="2661"/>
      <c r="AE4" s="2661"/>
      <c r="AF4" s="2661"/>
      <c r="AG4" s="2661"/>
    </row>
    <row r="5" spans="1:52" ht="26.25" customHeight="1">
      <c r="A5" s="3721" t="s">
        <v>602</v>
      </c>
      <c r="B5" s="3721"/>
      <c r="C5" s="3721"/>
      <c r="D5" s="3721"/>
      <c r="E5" s="3721"/>
      <c r="F5" s="3721"/>
      <c r="G5" s="3721"/>
      <c r="H5" s="3721"/>
      <c r="I5" s="3721"/>
      <c r="J5" s="3721"/>
      <c r="K5" s="3721"/>
      <c r="L5" s="3721"/>
      <c r="M5" s="3721"/>
      <c r="N5" s="3721"/>
      <c r="O5" s="2663"/>
      <c r="P5" s="2663"/>
      <c r="Q5" s="2663"/>
      <c r="R5" s="2663"/>
      <c r="S5" s="2663"/>
      <c r="T5" s="2663"/>
      <c r="U5" s="2663"/>
      <c r="V5" s="2663"/>
      <c r="W5" s="2661"/>
      <c r="X5" s="2661"/>
      <c r="Y5" s="2661"/>
      <c r="Z5" s="2661"/>
      <c r="AA5" s="2661"/>
      <c r="AB5" s="2661"/>
      <c r="AC5" s="2661"/>
      <c r="AD5" s="2661"/>
      <c r="AE5" s="2661"/>
      <c r="AF5" s="2661"/>
      <c r="AG5" s="2661"/>
    </row>
    <row r="6" spans="1:52" s="2665" customFormat="1" ht="21" customHeight="1">
      <c r="A6" s="3720" t="s">
        <v>541</v>
      </c>
      <c r="B6" s="3720"/>
      <c r="C6" s="3720"/>
      <c r="D6" s="3720"/>
      <c r="E6" s="3720"/>
      <c r="F6" s="3720"/>
      <c r="G6" s="3720"/>
      <c r="H6" s="3720"/>
      <c r="I6" s="3720"/>
      <c r="J6" s="3720"/>
      <c r="K6" s="3720"/>
      <c r="L6" s="3720"/>
      <c r="M6" s="3720"/>
      <c r="N6" s="3720"/>
      <c r="O6" s="2664"/>
      <c r="P6" s="2664"/>
      <c r="Q6" s="2664"/>
      <c r="R6" s="2664"/>
      <c r="S6" s="2664"/>
      <c r="T6" s="2664"/>
      <c r="U6" s="2664"/>
      <c r="V6" s="2664"/>
      <c r="AI6" s="3184"/>
      <c r="AJ6" s="3184"/>
    </row>
    <row r="7" spans="1:52" ht="12.75" customHeight="1">
      <c r="B7" s="2666"/>
      <c r="C7" s="2666"/>
      <c r="D7" s="2666"/>
      <c r="E7" s="2666"/>
      <c r="F7" s="2666"/>
      <c r="G7" s="2666"/>
      <c r="H7" s="2666"/>
      <c r="I7" s="2666"/>
      <c r="J7" s="2667"/>
      <c r="K7" s="2667"/>
      <c r="L7" s="2668"/>
      <c r="N7" s="2667"/>
      <c r="O7" s="2667"/>
      <c r="P7" s="2667"/>
      <c r="Q7" s="2667"/>
      <c r="R7" s="2667"/>
      <c r="S7" s="2667"/>
      <c r="T7" s="2667"/>
      <c r="U7" s="2667"/>
      <c r="V7" s="2667"/>
      <c r="W7" s="2667"/>
      <c r="X7" s="2667"/>
      <c r="Y7" s="2667"/>
      <c r="Z7" s="2667"/>
      <c r="AA7" s="2667"/>
      <c r="AB7" s="2667"/>
      <c r="AC7" s="2667"/>
      <c r="AD7" s="2667"/>
      <c r="AE7" s="2667"/>
      <c r="AF7" s="2667"/>
      <c r="AG7" s="2667"/>
      <c r="AH7" s="2667"/>
      <c r="AI7" s="3185"/>
      <c r="AJ7" s="3186"/>
      <c r="AK7" s="2667"/>
      <c r="AL7" s="2667"/>
    </row>
    <row r="8" spans="1:52" s="2665" customFormat="1" ht="24" customHeight="1">
      <c r="A8" s="3692" t="s">
        <v>1571</v>
      </c>
      <c r="B8" s="3692"/>
      <c r="C8" s="3692"/>
      <c r="D8" s="3692"/>
      <c r="E8" s="3692"/>
      <c r="F8" s="3692"/>
      <c r="G8" s="3692"/>
      <c r="H8" s="3692"/>
      <c r="I8" s="3692"/>
      <c r="J8" s="3692"/>
      <c r="K8" s="3692"/>
      <c r="L8" s="3692"/>
      <c r="M8" s="3692"/>
      <c r="N8" s="3692"/>
      <c r="O8" s="3692"/>
      <c r="P8" s="3692"/>
      <c r="Q8" s="3692"/>
      <c r="R8" s="3692"/>
      <c r="S8" s="3692"/>
      <c r="T8" s="3692"/>
      <c r="U8" s="3692"/>
      <c r="V8" s="3692"/>
      <c r="W8" s="3692"/>
      <c r="X8" s="3692"/>
      <c r="Y8" s="3692"/>
      <c r="Z8" s="3692"/>
      <c r="AA8" s="3692"/>
      <c r="AB8" s="3692"/>
      <c r="AC8" s="3692"/>
      <c r="AD8" s="3692"/>
      <c r="AE8" s="3692"/>
      <c r="AF8" s="3692"/>
      <c r="AG8" s="3692"/>
      <c r="AH8" s="3692"/>
      <c r="AI8" s="3692"/>
      <c r="AJ8" s="3692"/>
      <c r="AK8" s="3692"/>
      <c r="AL8" s="3692"/>
    </row>
    <row r="9" spans="1:52">
      <c r="A9" s="2666"/>
      <c r="B9" s="2666"/>
      <c r="C9" s="2666"/>
      <c r="D9" s="2666"/>
      <c r="E9" s="2666"/>
      <c r="F9" s="2666"/>
      <c r="G9" s="2666"/>
      <c r="H9" s="2666"/>
      <c r="I9" s="2666"/>
      <c r="J9" s="2666"/>
      <c r="K9" s="2666"/>
      <c r="L9" s="2666"/>
      <c r="M9" s="2666"/>
      <c r="N9" s="2666"/>
      <c r="O9" s="2666"/>
      <c r="P9" s="2666"/>
      <c r="Q9" s="2666"/>
      <c r="R9" s="2666"/>
      <c r="S9" s="2666"/>
      <c r="T9" s="2666"/>
      <c r="U9" s="2666"/>
      <c r="V9" s="2666"/>
      <c r="W9" s="2666"/>
      <c r="X9" s="2666"/>
      <c r="Y9" s="2666"/>
      <c r="Z9" s="2666"/>
      <c r="AA9" s="2666"/>
      <c r="AB9" s="2666"/>
      <c r="AC9" s="2666"/>
      <c r="AD9" s="2666"/>
      <c r="AE9" s="2666"/>
      <c r="AF9" s="2666"/>
      <c r="AG9" s="2666"/>
      <c r="AH9" s="2666"/>
      <c r="AI9" s="3187"/>
      <c r="AJ9" s="3188"/>
      <c r="AK9" s="2666"/>
      <c r="AL9" s="2666"/>
    </row>
    <row r="10" spans="1:52" ht="25.5" customHeight="1">
      <c r="A10" s="3710" t="s">
        <v>1</v>
      </c>
      <c r="B10" s="3710" t="s">
        <v>1</v>
      </c>
      <c r="C10" s="3710" t="s">
        <v>805</v>
      </c>
      <c r="D10" s="3712" t="s">
        <v>1160</v>
      </c>
      <c r="E10" s="3713"/>
      <c r="F10" s="3713"/>
      <c r="G10" s="3713"/>
      <c r="H10" s="3713"/>
      <c r="I10" s="3713"/>
      <c r="J10" s="3713"/>
      <c r="K10" s="3713"/>
      <c r="L10" s="3713"/>
      <c r="M10" s="3713"/>
      <c r="N10" s="3713"/>
      <c r="O10" s="3713"/>
      <c r="P10" s="3713"/>
      <c r="Q10" s="3713"/>
      <c r="R10" s="3713"/>
      <c r="S10" s="3713"/>
      <c r="T10" s="3713"/>
      <c r="U10" s="3713"/>
      <c r="V10" s="3713"/>
      <c r="W10" s="3713"/>
      <c r="X10" s="3713"/>
      <c r="Y10" s="3713"/>
      <c r="Z10" s="3713"/>
      <c r="AA10" s="3713"/>
      <c r="AB10" s="3713"/>
      <c r="AC10" s="3713"/>
      <c r="AD10" s="3713"/>
      <c r="AE10" s="3713"/>
      <c r="AF10" s="3713"/>
      <c r="AG10" s="3713"/>
      <c r="AH10" s="3714"/>
      <c r="AI10" s="3715" t="s">
        <v>806</v>
      </c>
      <c r="AJ10" s="3717" t="s">
        <v>1569</v>
      </c>
      <c r="AK10" s="3704" t="s">
        <v>1148</v>
      </c>
      <c r="AL10" s="3704" t="s">
        <v>1159</v>
      </c>
    </row>
    <row r="11" spans="1:52" ht="42" customHeight="1">
      <c r="A11" s="3711"/>
      <c r="B11" s="3711"/>
      <c r="C11" s="3711"/>
      <c r="D11" s="2670">
        <v>1</v>
      </c>
      <c r="E11" s="2670">
        <v>2</v>
      </c>
      <c r="F11" s="2670">
        <v>3</v>
      </c>
      <c r="G11" s="2670">
        <v>4</v>
      </c>
      <c r="H11" s="2670">
        <v>5</v>
      </c>
      <c r="I11" s="2670">
        <v>6</v>
      </c>
      <c r="J11" s="2670">
        <v>7</v>
      </c>
      <c r="K11" s="2670">
        <v>8</v>
      </c>
      <c r="L11" s="2670">
        <v>9</v>
      </c>
      <c r="M11" s="2670">
        <v>10</v>
      </c>
      <c r="N11" s="2670">
        <v>11</v>
      </c>
      <c r="O11" s="2670">
        <v>12</v>
      </c>
      <c r="P11" s="2670">
        <v>13</v>
      </c>
      <c r="Q11" s="2670">
        <v>14</v>
      </c>
      <c r="R11" s="2670">
        <v>15</v>
      </c>
      <c r="S11" s="2670">
        <v>16</v>
      </c>
      <c r="T11" s="2670">
        <v>17</v>
      </c>
      <c r="U11" s="2670">
        <v>18</v>
      </c>
      <c r="V11" s="2670">
        <v>19</v>
      </c>
      <c r="W11" s="2670">
        <v>20</v>
      </c>
      <c r="X11" s="2670">
        <v>21</v>
      </c>
      <c r="Y11" s="2670">
        <v>22</v>
      </c>
      <c r="Z11" s="2670">
        <v>23</v>
      </c>
      <c r="AA11" s="2670">
        <v>24</v>
      </c>
      <c r="AB11" s="2670">
        <v>25</v>
      </c>
      <c r="AC11" s="2670">
        <v>26</v>
      </c>
      <c r="AD11" s="2670">
        <v>27</v>
      </c>
      <c r="AE11" s="2670">
        <v>28</v>
      </c>
      <c r="AF11" s="2670">
        <v>29</v>
      </c>
      <c r="AG11" s="2670">
        <v>30</v>
      </c>
      <c r="AH11" s="3099">
        <v>31</v>
      </c>
      <c r="AI11" s="3716"/>
      <c r="AJ11" s="3718"/>
      <c r="AK11" s="3705"/>
      <c r="AL11" s="3706"/>
      <c r="AN11" s="2661" t="s">
        <v>980</v>
      </c>
    </row>
    <row r="12" spans="1:52" ht="33.75" customHeight="1">
      <c r="A12" s="2672">
        <v>52</v>
      </c>
      <c r="B12" s="2672">
        <v>1</v>
      </c>
      <c r="C12" s="2679" t="str">
        <f>'Chấm công công nhân'!L66</f>
        <v>Phò Đăm</v>
      </c>
      <c r="D12" s="3191"/>
      <c r="E12" s="3191"/>
      <c r="F12" s="3191"/>
      <c r="G12" s="3191"/>
      <c r="H12" s="3191"/>
      <c r="I12" s="3191"/>
      <c r="J12" s="3191"/>
      <c r="K12" s="3191"/>
      <c r="L12" s="3191"/>
      <c r="M12" s="3191"/>
      <c r="N12" s="3191"/>
      <c r="O12" s="3191"/>
      <c r="P12" s="3191"/>
      <c r="Q12" s="3191"/>
      <c r="R12" s="3191"/>
      <c r="S12" s="3191"/>
      <c r="T12" s="3191"/>
      <c r="U12" s="3191"/>
      <c r="V12" s="3191"/>
      <c r="W12" s="3191"/>
      <c r="X12" s="3191"/>
      <c r="Y12" s="3191"/>
      <c r="Z12" s="3191"/>
      <c r="AA12" s="3191"/>
      <c r="AB12" s="3191">
        <v>167</v>
      </c>
      <c r="AC12" s="3191">
        <v>206</v>
      </c>
      <c r="AD12" s="3192"/>
      <c r="AE12" s="3192"/>
      <c r="AF12" s="3192"/>
      <c r="AG12" s="3192">
        <v>0</v>
      </c>
      <c r="AH12" s="3193"/>
      <c r="AI12" s="3189">
        <f>SUM(D12:AH12)</f>
        <v>373</v>
      </c>
      <c r="AJ12" s="3190">
        <f>AI12*0.4</f>
        <v>149.20000000000002</v>
      </c>
      <c r="AK12" s="3208" t="s">
        <v>52</v>
      </c>
      <c r="AL12" s="2673"/>
      <c r="AM12" s="2674">
        <f>IF(AJ12&gt;=2790,700000,IF(AJ12&gt;=2425,500000,IF(AJ12&gt;2110,300000,IF(AJ12&gt;=2110,0,0))))</f>
        <v>0</v>
      </c>
      <c r="AN12" s="2661" t="e">
        <f>+#REF!-#REF!</f>
        <v>#REF!</v>
      </c>
      <c r="AP12" s="3183"/>
      <c r="AT12" s="2661">
        <f>+AI12+[2]Mủ!AI13</f>
        <v>1418</v>
      </c>
      <c r="AX12" s="2741">
        <v>9081.0930000000008</v>
      </c>
      <c r="AZ12" s="2661">
        <v>1335.9741484121841</v>
      </c>
    </row>
    <row r="13" spans="1:52" ht="33.75" customHeight="1">
      <c r="A13" s="2672">
        <v>53</v>
      </c>
      <c r="B13" s="2672">
        <v>2</v>
      </c>
      <c r="C13" s="2679" t="str">
        <f>'Chấm công công nhân'!L67</f>
        <v>Thảo Mai</v>
      </c>
      <c r="D13" s="3191"/>
      <c r="E13" s="3191"/>
      <c r="F13" s="3191"/>
      <c r="G13" s="3191"/>
      <c r="H13" s="3191"/>
      <c r="I13" s="3191"/>
      <c r="J13" s="3191"/>
      <c r="K13" s="3191"/>
      <c r="L13" s="3191"/>
      <c r="M13" s="3191"/>
      <c r="N13" s="3191"/>
      <c r="O13" s="3191"/>
      <c r="P13" s="3191"/>
      <c r="Q13" s="3191"/>
      <c r="R13" s="3191"/>
      <c r="S13" s="3191"/>
      <c r="T13" s="3191"/>
      <c r="U13" s="3191"/>
      <c r="V13" s="3191"/>
      <c r="W13" s="3191"/>
      <c r="X13" s="3191"/>
      <c r="Y13" s="3191"/>
      <c r="Z13" s="3191"/>
      <c r="AA13" s="3191"/>
      <c r="AB13" s="3191">
        <v>147</v>
      </c>
      <c r="AC13" s="3191">
        <v>187</v>
      </c>
      <c r="AD13" s="3192"/>
      <c r="AE13" s="3192"/>
      <c r="AF13" s="3192"/>
      <c r="AG13" s="3192">
        <v>0</v>
      </c>
      <c r="AH13" s="3193"/>
      <c r="AI13" s="3189">
        <f t="shared" ref="AI13:AI25" si="0">SUM(D13:AH13)</f>
        <v>334</v>
      </c>
      <c r="AJ13" s="3190">
        <f t="shared" ref="AJ13:AJ26" si="1">AI13*0.4</f>
        <v>133.6</v>
      </c>
      <c r="AK13" s="3208" t="s">
        <v>92</v>
      </c>
      <c r="AL13" s="2673"/>
      <c r="AM13" s="2674">
        <f t="shared" ref="AM13:AM26" si="2">IF(AJ13&gt;=2790,700000,IF(AJ13&gt;=2425,500000,IF(AJ13&gt;2110,300000,IF(AJ13&gt;=2110,0,0))))</f>
        <v>0</v>
      </c>
      <c r="AT13" s="2661">
        <f>+AI13+[2]Mủ!AI14</f>
        <v>1138</v>
      </c>
      <c r="AX13" s="2739" t="e">
        <f>AX12/#REF!*100</f>
        <v>#REF!</v>
      </c>
      <c r="AZ13" s="2661">
        <v>785.20360191186001</v>
      </c>
    </row>
    <row r="14" spans="1:52" ht="33.75" customHeight="1">
      <c r="A14" s="2672">
        <v>54</v>
      </c>
      <c r="B14" s="2672">
        <v>3</v>
      </c>
      <c r="C14" s="2679" t="str">
        <f>'Chấm công công nhân'!L68</f>
        <v>Thảo Tưng</v>
      </c>
      <c r="D14" s="3191"/>
      <c r="E14" s="3191"/>
      <c r="F14" s="3191"/>
      <c r="G14" s="3191"/>
      <c r="H14" s="3191"/>
      <c r="I14" s="3191"/>
      <c r="J14" s="3191"/>
      <c r="K14" s="3191"/>
      <c r="L14" s="3191"/>
      <c r="M14" s="3191"/>
      <c r="N14" s="3191"/>
      <c r="O14" s="3191"/>
      <c r="P14" s="3191"/>
      <c r="Q14" s="3191"/>
      <c r="R14" s="3191"/>
      <c r="S14" s="3191"/>
      <c r="T14" s="3191"/>
      <c r="U14" s="3191"/>
      <c r="V14" s="3191"/>
      <c r="W14" s="3191"/>
      <c r="X14" s="3191"/>
      <c r="Y14" s="3191"/>
      <c r="Z14" s="3191"/>
      <c r="AA14" s="3191"/>
      <c r="AB14" s="3191">
        <v>0</v>
      </c>
      <c r="AC14" s="3191">
        <v>0</v>
      </c>
      <c r="AD14" s="3192"/>
      <c r="AE14" s="3192"/>
      <c r="AF14" s="3192"/>
      <c r="AG14" s="3192">
        <v>91</v>
      </c>
      <c r="AH14" s="3193"/>
      <c r="AI14" s="3189">
        <f t="shared" si="0"/>
        <v>91</v>
      </c>
      <c r="AJ14" s="3190">
        <f t="shared" si="1"/>
        <v>36.4</v>
      </c>
      <c r="AK14" s="3208" t="s">
        <v>92</v>
      </c>
      <c r="AL14" s="2673"/>
      <c r="AM14" s="2674">
        <f t="shared" si="2"/>
        <v>0</v>
      </c>
      <c r="AT14" s="2661">
        <f>+AI14+[2]Mủ!AI15</f>
        <v>1676</v>
      </c>
      <c r="AX14" s="2978"/>
      <c r="AZ14" s="2661">
        <v>832.28639128321458</v>
      </c>
    </row>
    <row r="15" spans="1:52" ht="33.75" customHeight="1">
      <c r="A15" s="2672">
        <v>55</v>
      </c>
      <c r="B15" s="2672">
        <v>4</v>
      </c>
      <c r="C15" s="2679" t="str">
        <f>'Chấm công công nhân'!L69</f>
        <v>Thảo Xay</v>
      </c>
      <c r="D15" s="3191"/>
      <c r="E15" s="3191"/>
      <c r="F15" s="3191"/>
      <c r="G15" s="3191"/>
      <c r="H15" s="3191"/>
      <c r="I15" s="3191"/>
      <c r="J15" s="3191"/>
      <c r="K15" s="3191"/>
      <c r="L15" s="3191"/>
      <c r="M15" s="3191"/>
      <c r="N15" s="3191"/>
      <c r="O15" s="3191"/>
      <c r="P15" s="3191"/>
      <c r="Q15" s="3191"/>
      <c r="R15" s="3191"/>
      <c r="S15" s="3191"/>
      <c r="T15" s="3191"/>
      <c r="U15" s="3191"/>
      <c r="V15" s="3191"/>
      <c r="W15" s="3191"/>
      <c r="X15" s="3191"/>
      <c r="Y15" s="3191"/>
      <c r="Z15" s="3191"/>
      <c r="AA15" s="3191"/>
      <c r="AB15" s="3191">
        <v>66</v>
      </c>
      <c r="AC15" s="3191">
        <v>77</v>
      </c>
      <c r="AD15" s="3192"/>
      <c r="AE15" s="3192"/>
      <c r="AF15" s="3192"/>
      <c r="AG15" s="3192">
        <v>151</v>
      </c>
      <c r="AH15" s="3193"/>
      <c r="AI15" s="3189">
        <f t="shared" si="0"/>
        <v>294</v>
      </c>
      <c r="AJ15" s="3190">
        <f t="shared" si="1"/>
        <v>117.60000000000001</v>
      </c>
      <c r="AK15" s="3208" t="s">
        <v>52</v>
      </c>
      <c r="AL15" s="2673"/>
      <c r="AM15" s="2674">
        <f t="shared" si="2"/>
        <v>0</v>
      </c>
      <c r="AT15" s="2661">
        <f>+AI15+[2]Mủ!AI16</f>
        <v>1529</v>
      </c>
      <c r="AX15" s="2979">
        <f>SUM(AI12:AI16)</f>
        <v>1383</v>
      </c>
      <c r="AZ15" s="2661">
        <v>1005.9041770900843</v>
      </c>
    </row>
    <row r="16" spans="1:52" ht="33.75" customHeight="1">
      <c r="A16" s="2672">
        <v>56</v>
      </c>
      <c r="B16" s="2672">
        <v>5</v>
      </c>
      <c r="C16" s="2679" t="str">
        <f>'Chấm công công nhân'!L70</f>
        <v>Nàng Nọi</v>
      </c>
      <c r="D16" s="3191"/>
      <c r="E16" s="3191"/>
      <c r="F16" s="3191"/>
      <c r="G16" s="3191"/>
      <c r="H16" s="3191"/>
      <c r="I16" s="3191"/>
      <c r="J16" s="3191"/>
      <c r="K16" s="3191"/>
      <c r="L16" s="3191"/>
      <c r="M16" s="3191"/>
      <c r="N16" s="3191"/>
      <c r="O16" s="3191"/>
      <c r="P16" s="3191"/>
      <c r="Q16" s="3191"/>
      <c r="R16" s="3191"/>
      <c r="S16" s="3191"/>
      <c r="T16" s="3191"/>
      <c r="U16" s="3191"/>
      <c r="V16" s="3191"/>
      <c r="W16" s="3191"/>
      <c r="X16" s="3191"/>
      <c r="Y16" s="3191"/>
      <c r="Z16" s="3191"/>
      <c r="AA16" s="3191"/>
      <c r="AB16" s="3191">
        <v>64</v>
      </c>
      <c r="AC16" s="3191">
        <v>78</v>
      </c>
      <c r="AD16" s="3192"/>
      <c r="AE16" s="3192"/>
      <c r="AF16" s="3192"/>
      <c r="AG16" s="3192">
        <v>149</v>
      </c>
      <c r="AH16" s="3193"/>
      <c r="AI16" s="3189">
        <f t="shared" si="0"/>
        <v>291</v>
      </c>
      <c r="AJ16" s="3190">
        <f t="shared" si="1"/>
        <v>116.4</v>
      </c>
      <c r="AK16" s="3208" t="s">
        <v>92</v>
      </c>
      <c r="AL16" s="2673"/>
      <c r="AM16" s="2674">
        <f t="shared" si="2"/>
        <v>0</v>
      </c>
      <c r="AT16" s="2661">
        <f>+AI16+[2]Mủ!AI17</f>
        <v>1522</v>
      </c>
      <c r="AX16" s="2661">
        <f>SUM(AJ12:AJ16)</f>
        <v>553.20000000000005</v>
      </c>
      <c r="AY16" s="2661">
        <f>AX16/AX15*100</f>
        <v>40</v>
      </c>
      <c r="AZ16" s="2661">
        <v>851.41377446532726</v>
      </c>
    </row>
    <row r="17" spans="1:51" ht="33.75" customHeight="1">
      <c r="A17" s="2672">
        <v>57</v>
      </c>
      <c r="B17" s="2672">
        <v>6</v>
      </c>
      <c r="C17" s="2679" t="str">
        <f>'Chấm công công nhân'!L71</f>
        <v>Thảo Đăm</v>
      </c>
      <c r="D17" s="3191"/>
      <c r="E17" s="3191"/>
      <c r="F17" s="3191"/>
      <c r="G17" s="3191"/>
      <c r="H17" s="3191"/>
      <c r="I17" s="3191"/>
      <c r="J17" s="3191"/>
      <c r="K17" s="3191"/>
      <c r="L17" s="3191"/>
      <c r="M17" s="3191"/>
      <c r="N17" s="3191"/>
      <c r="O17" s="3191"/>
      <c r="P17" s="3191"/>
      <c r="Q17" s="3191"/>
      <c r="R17" s="3191"/>
      <c r="S17" s="3191"/>
      <c r="T17" s="3191"/>
      <c r="U17" s="3191"/>
      <c r="V17" s="3191"/>
      <c r="W17" s="3191"/>
      <c r="X17" s="3191"/>
      <c r="Y17" s="3191"/>
      <c r="Z17" s="3191"/>
      <c r="AA17" s="3191"/>
      <c r="AB17" s="3191">
        <v>92</v>
      </c>
      <c r="AC17" s="3191">
        <v>170</v>
      </c>
      <c r="AD17" s="3192"/>
      <c r="AE17" s="3192"/>
      <c r="AF17" s="3192"/>
      <c r="AG17" s="3192">
        <v>0</v>
      </c>
      <c r="AH17" s="3193"/>
      <c r="AI17" s="3189">
        <f t="shared" si="0"/>
        <v>262</v>
      </c>
      <c r="AJ17" s="3190">
        <f t="shared" si="1"/>
        <v>104.80000000000001</v>
      </c>
      <c r="AK17" s="3208" t="s">
        <v>92</v>
      </c>
      <c r="AL17" s="2673"/>
      <c r="AM17" s="2674">
        <f t="shared" si="2"/>
        <v>0</v>
      </c>
      <c r="AT17" s="2661">
        <f>+AI17+[2]Mủ!AI18</f>
        <v>1035</v>
      </c>
      <c r="AX17" s="2982">
        <f>AX16-523</f>
        <v>30.200000000000045</v>
      </c>
      <c r="AY17" s="2661">
        <f>AX17/AX15*100</f>
        <v>2.1836587129428811</v>
      </c>
    </row>
    <row r="18" spans="1:51" ht="33.75" customHeight="1">
      <c r="A18" s="2672">
        <v>58</v>
      </c>
      <c r="B18" s="2672">
        <v>7</v>
      </c>
      <c r="C18" s="2679" t="str">
        <f>'Chấm công công nhân'!L72</f>
        <v>Thảo chăn</v>
      </c>
      <c r="D18" s="3191"/>
      <c r="E18" s="3191"/>
      <c r="F18" s="3191"/>
      <c r="G18" s="3191"/>
      <c r="H18" s="3191"/>
      <c r="I18" s="3191"/>
      <c r="J18" s="3191"/>
      <c r="K18" s="3191"/>
      <c r="L18" s="3191"/>
      <c r="M18" s="3191"/>
      <c r="N18" s="3191"/>
      <c r="O18" s="3191"/>
      <c r="P18" s="3191"/>
      <c r="Q18" s="3191"/>
      <c r="R18" s="3191"/>
      <c r="S18" s="3191"/>
      <c r="T18" s="3191"/>
      <c r="U18" s="3191"/>
      <c r="V18" s="3191"/>
      <c r="W18" s="3191"/>
      <c r="X18" s="3191"/>
      <c r="Y18" s="3191"/>
      <c r="Z18" s="3191"/>
      <c r="AA18" s="3191"/>
      <c r="AB18" s="3191">
        <v>112</v>
      </c>
      <c r="AC18" s="3191">
        <v>165</v>
      </c>
      <c r="AD18" s="3192"/>
      <c r="AE18" s="3192"/>
      <c r="AF18" s="3192"/>
      <c r="AG18" s="3192">
        <v>0</v>
      </c>
      <c r="AH18" s="3193"/>
      <c r="AI18" s="3189">
        <f t="shared" si="0"/>
        <v>277</v>
      </c>
      <c r="AJ18" s="3190">
        <f t="shared" si="1"/>
        <v>110.80000000000001</v>
      </c>
      <c r="AK18" s="3208" t="s">
        <v>52</v>
      </c>
      <c r="AL18" s="2673"/>
      <c r="AM18" s="2674">
        <f t="shared" si="2"/>
        <v>0</v>
      </c>
      <c r="AT18" s="2661">
        <f>+AI18+[2]Mủ!AI19</f>
        <v>1026</v>
      </c>
      <c r="AY18" s="2661">
        <v>43.712734153967482</v>
      </c>
    </row>
    <row r="19" spans="1:51" ht="33.75" customHeight="1">
      <c r="A19" s="2672">
        <v>59</v>
      </c>
      <c r="B19" s="2672">
        <v>8</v>
      </c>
      <c r="C19" s="2679" t="str">
        <f>'Chấm công công nhân'!L73</f>
        <v>Hồ Văn Tăng</v>
      </c>
      <c r="D19" s="3191"/>
      <c r="E19" s="3191"/>
      <c r="F19" s="3191"/>
      <c r="G19" s="3191"/>
      <c r="H19" s="3191"/>
      <c r="I19" s="3191"/>
      <c r="J19" s="3191"/>
      <c r="K19" s="3191"/>
      <c r="L19" s="3191"/>
      <c r="M19" s="3191"/>
      <c r="N19" s="3191"/>
      <c r="O19" s="3191"/>
      <c r="P19" s="3191"/>
      <c r="Q19" s="3191"/>
      <c r="R19" s="3191"/>
      <c r="S19" s="3191"/>
      <c r="T19" s="3191"/>
      <c r="U19" s="3191"/>
      <c r="V19" s="3191"/>
      <c r="W19" s="3191"/>
      <c r="X19" s="3191"/>
      <c r="Y19" s="3191"/>
      <c r="Z19" s="3191"/>
      <c r="AA19" s="3191"/>
      <c r="AB19" s="3191">
        <v>0</v>
      </c>
      <c r="AC19" s="3191">
        <v>0</v>
      </c>
      <c r="AD19" s="3192"/>
      <c r="AE19" s="3192"/>
      <c r="AF19" s="3192"/>
      <c r="AG19" s="3192">
        <v>0</v>
      </c>
      <c r="AH19" s="3193"/>
      <c r="AI19" s="3189">
        <f t="shared" si="0"/>
        <v>0</v>
      </c>
      <c r="AJ19" s="3190">
        <f t="shared" si="1"/>
        <v>0</v>
      </c>
      <c r="AK19" s="3208" t="s">
        <v>92</v>
      </c>
      <c r="AL19" s="2673"/>
      <c r="AM19" s="2674">
        <f t="shared" si="2"/>
        <v>0</v>
      </c>
    </row>
    <row r="20" spans="1:51" ht="33.75" customHeight="1">
      <c r="A20" s="2672">
        <v>60</v>
      </c>
      <c r="B20" s="2672">
        <v>9</v>
      </c>
      <c r="C20" s="2679" t="str">
        <f>'Chấm công công nhân'!L74</f>
        <v>Hồ Văn Khoa</v>
      </c>
      <c r="D20" s="3191"/>
      <c r="E20" s="3191"/>
      <c r="F20" s="3191"/>
      <c r="G20" s="3191"/>
      <c r="H20" s="3191"/>
      <c r="I20" s="3191"/>
      <c r="J20" s="3191"/>
      <c r="K20" s="3191"/>
      <c r="L20" s="3191"/>
      <c r="M20" s="3191"/>
      <c r="N20" s="3191"/>
      <c r="O20" s="3191"/>
      <c r="P20" s="3191"/>
      <c r="Q20" s="3191"/>
      <c r="R20" s="3191"/>
      <c r="S20" s="3191"/>
      <c r="T20" s="3191"/>
      <c r="U20" s="3191"/>
      <c r="V20" s="3191"/>
      <c r="W20" s="3191"/>
      <c r="X20" s="3191"/>
      <c r="Y20" s="3191"/>
      <c r="Z20" s="3191"/>
      <c r="AA20" s="3191"/>
      <c r="AB20" s="3191">
        <v>0</v>
      </c>
      <c r="AC20" s="3191">
        <v>0</v>
      </c>
      <c r="AD20" s="3192"/>
      <c r="AE20" s="3192"/>
      <c r="AF20" s="3192"/>
      <c r="AG20" s="3192">
        <v>0</v>
      </c>
      <c r="AH20" s="3193"/>
      <c r="AI20" s="3189">
        <f t="shared" si="0"/>
        <v>0</v>
      </c>
      <c r="AJ20" s="3190">
        <f t="shared" si="1"/>
        <v>0</v>
      </c>
      <c r="AK20" s="3208" t="s">
        <v>52</v>
      </c>
      <c r="AL20" s="2673"/>
      <c r="AM20" s="2674">
        <f t="shared" si="2"/>
        <v>0</v>
      </c>
    </row>
    <row r="21" spans="1:51" ht="33.75" customHeight="1">
      <c r="A21" s="2672">
        <v>61</v>
      </c>
      <c r="B21" s="2672">
        <v>10</v>
      </c>
      <c r="C21" s="2679" t="str">
        <f>'Chấm công công nhân'!L75</f>
        <v>Hồ Xa My</v>
      </c>
      <c r="D21" s="3191"/>
      <c r="E21" s="3191"/>
      <c r="F21" s="3191"/>
      <c r="G21" s="3191"/>
      <c r="H21" s="3191"/>
      <c r="I21" s="3191"/>
      <c r="J21" s="3191"/>
      <c r="K21" s="3191"/>
      <c r="L21" s="3191"/>
      <c r="M21" s="3191"/>
      <c r="N21" s="3191"/>
      <c r="O21" s="3191"/>
      <c r="P21" s="3191"/>
      <c r="Q21" s="3191"/>
      <c r="R21" s="3191"/>
      <c r="S21" s="3191"/>
      <c r="T21" s="3191"/>
      <c r="U21" s="3191"/>
      <c r="V21" s="3191"/>
      <c r="W21" s="3191"/>
      <c r="X21" s="3191"/>
      <c r="Y21" s="3191"/>
      <c r="Z21" s="3191"/>
      <c r="AA21" s="3191"/>
      <c r="AB21" s="3191">
        <v>0</v>
      </c>
      <c r="AC21" s="3191">
        <v>0</v>
      </c>
      <c r="AD21" s="3192"/>
      <c r="AE21" s="3192"/>
      <c r="AF21" s="3192"/>
      <c r="AG21" s="3192">
        <v>0</v>
      </c>
      <c r="AH21" s="3193"/>
      <c r="AI21" s="3189">
        <f t="shared" si="0"/>
        <v>0</v>
      </c>
      <c r="AJ21" s="3190">
        <f t="shared" si="1"/>
        <v>0</v>
      </c>
      <c r="AK21" s="3208" t="s">
        <v>92</v>
      </c>
      <c r="AL21" s="2673"/>
      <c r="AM21" s="2674">
        <f t="shared" si="2"/>
        <v>0</v>
      </c>
    </row>
    <row r="22" spans="1:51" ht="33.75" customHeight="1">
      <c r="A22" s="2672">
        <v>62</v>
      </c>
      <c r="B22" s="2672">
        <v>11</v>
      </c>
      <c r="C22" s="2679" t="str">
        <f>'Chấm công công nhân'!L76</f>
        <v>Thảo lay</v>
      </c>
      <c r="D22" s="3191"/>
      <c r="E22" s="3191"/>
      <c r="F22" s="3191"/>
      <c r="G22" s="3191"/>
      <c r="H22" s="3191"/>
      <c r="I22" s="3191"/>
      <c r="J22" s="3191"/>
      <c r="K22" s="3191"/>
      <c r="L22" s="3191"/>
      <c r="M22" s="3191"/>
      <c r="N22" s="3191"/>
      <c r="O22" s="3191"/>
      <c r="P22" s="3191"/>
      <c r="Q22" s="3191"/>
      <c r="R22" s="3191"/>
      <c r="S22" s="3191"/>
      <c r="T22" s="3191"/>
      <c r="U22" s="3191"/>
      <c r="V22" s="3191"/>
      <c r="W22" s="3191"/>
      <c r="X22" s="3191"/>
      <c r="Y22" s="3191"/>
      <c r="Z22" s="3191"/>
      <c r="AA22" s="3191"/>
      <c r="AB22" s="3191">
        <v>0</v>
      </c>
      <c r="AC22" s="3191">
        <v>109</v>
      </c>
      <c r="AD22" s="3192"/>
      <c r="AE22" s="3192"/>
      <c r="AF22" s="3192"/>
      <c r="AG22" s="3192">
        <v>0</v>
      </c>
      <c r="AH22" s="3193"/>
      <c r="AI22" s="3189">
        <f t="shared" si="0"/>
        <v>109</v>
      </c>
      <c r="AJ22" s="3190">
        <f t="shared" si="1"/>
        <v>43.6</v>
      </c>
      <c r="AK22" s="3208" t="s">
        <v>92</v>
      </c>
      <c r="AL22" s="2673"/>
      <c r="AM22" s="2674">
        <f t="shared" si="2"/>
        <v>0</v>
      </c>
    </row>
    <row r="23" spans="1:51" ht="33.75" customHeight="1">
      <c r="A23" s="2672">
        <v>63</v>
      </c>
      <c r="B23" s="2672">
        <v>12</v>
      </c>
      <c r="C23" s="2679" t="str">
        <f>'Chấm công công nhân'!L77</f>
        <v>Thảo khên</v>
      </c>
      <c r="D23" s="3191"/>
      <c r="E23" s="3191"/>
      <c r="F23" s="3191"/>
      <c r="G23" s="3191"/>
      <c r="H23" s="3191"/>
      <c r="I23" s="3191"/>
      <c r="J23" s="3191"/>
      <c r="K23" s="3191"/>
      <c r="L23" s="3191"/>
      <c r="M23" s="3191"/>
      <c r="N23" s="3191"/>
      <c r="O23" s="3191"/>
      <c r="P23" s="3191"/>
      <c r="Q23" s="3191"/>
      <c r="R23" s="3191"/>
      <c r="S23" s="3191"/>
      <c r="T23" s="3191"/>
      <c r="U23" s="3191"/>
      <c r="V23" s="3191"/>
      <c r="W23" s="3191"/>
      <c r="X23" s="3191"/>
      <c r="Y23" s="3191"/>
      <c r="Z23" s="3191"/>
      <c r="AA23" s="3191"/>
      <c r="AB23" s="3191">
        <v>135</v>
      </c>
      <c r="AC23" s="3191">
        <v>193</v>
      </c>
      <c r="AD23" s="3192"/>
      <c r="AE23" s="3192"/>
      <c r="AF23" s="3192"/>
      <c r="AG23" s="3192">
        <v>0</v>
      </c>
      <c r="AH23" s="3193"/>
      <c r="AI23" s="3189">
        <f t="shared" si="0"/>
        <v>328</v>
      </c>
      <c r="AJ23" s="3190">
        <f t="shared" si="1"/>
        <v>131.20000000000002</v>
      </c>
      <c r="AK23" s="3208" t="s">
        <v>52</v>
      </c>
      <c r="AL23" s="2673"/>
      <c r="AM23" s="2674">
        <f t="shared" si="2"/>
        <v>0</v>
      </c>
    </row>
    <row r="24" spans="1:51" ht="33.75" customHeight="1">
      <c r="A24" s="2672">
        <v>64</v>
      </c>
      <c r="B24" s="2672">
        <v>13</v>
      </c>
      <c r="C24" s="2679" t="str">
        <f>'Chấm công công nhân'!L78</f>
        <v>Thảo khon</v>
      </c>
      <c r="D24" s="3189"/>
      <c r="E24" s="3189"/>
      <c r="F24" s="3189"/>
      <c r="G24" s="3189"/>
      <c r="H24" s="3189"/>
      <c r="I24" s="3193"/>
      <c r="J24" s="3193"/>
      <c r="K24" s="3193"/>
      <c r="L24" s="3193"/>
      <c r="M24" s="3189"/>
      <c r="N24" s="3193"/>
      <c r="O24" s="3193"/>
      <c r="P24" s="3193"/>
      <c r="Q24" s="3193"/>
      <c r="R24" s="3193"/>
      <c r="S24" s="3193"/>
      <c r="T24" s="3189"/>
      <c r="U24" s="3193"/>
      <c r="V24" s="3193"/>
      <c r="W24" s="3193"/>
      <c r="X24" s="3193"/>
      <c r="Y24" s="3193"/>
      <c r="Z24" s="3193"/>
      <c r="AA24" s="3194"/>
      <c r="AB24" s="3193">
        <v>0</v>
      </c>
      <c r="AC24" s="3193">
        <v>74</v>
      </c>
      <c r="AD24" s="3192"/>
      <c r="AE24" s="3192"/>
      <c r="AF24" s="3192"/>
      <c r="AG24" s="3192">
        <v>152</v>
      </c>
      <c r="AH24" s="3193"/>
      <c r="AI24" s="3189">
        <f t="shared" si="0"/>
        <v>226</v>
      </c>
      <c r="AJ24" s="3190">
        <f t="shared" si="1"/>
        <v>90.4</v>
      </c>
      <c r="AK24" s="3208" t="s">
        <v>52</v>
      </c>
      <c r="AL24" s="2673"/>
      <c r="AM24" s="2674">
        <f t="shared" si="2"/>
        <v>0</v>
      </c>
    </row>
    <row r="25" spans="1:51" ht="33.75" customHeight="1">
      <c r="A25" s="2672">
        <v>65</v>
      </c>
      <c r="B25" s="2672">
        <v>14</v>
      </c>
      <c r="C25" s="2679" t="str">
        <f>'Chấm công công nhân'!L79</f>
        <v>Thảo nga</v>
      </c>
      <c r="D25" s="3189"/>
      <c r="E25" s="3189"/>
      <c r="F25" s="3189"/>
      <c r="G25" s="3189"/>
      <c r="H25" s="3189"/>
      <c r="I25" s="3193"/>
      <c r="J25" s="3193"/>
      <c r="K25" s="3193"/>
      <c r="L25" s="3193"/>
      <c r="M25" s="3189"/>
      <c r="N25" s="3193"/>
      <c r="O25" s="3193"/>
      <c r="P25" s="3193"/>
      <c r="Q25" s="3193"/>
      <c r="R25" s="3193"/>
      <c r="S25" s="3193"/>
      <c r="T25" s="3189"/>
      <c r="U25" s="3193"/>
      <c r="V25" s="3193"/>
      <c r="W25" s="3193"/>
      <c r="X25" s="3193"/>
      <c r="Y25" s="3193"/>
      <c r="Z25" s="3193"/>
      <c r="AA25" s="3194"/>
      <c r="AB25" s="3193">
        <v>0</v>
      </c>
      <c r="AC25" s="3193">
        <v>0</v>
      </c>
      <c r="AD25" s="3192"/>
      <c r="AE25" s="3192"/>
      <c r="AF25" s="3192"/>
      <c r="AG25" s="3192">
        <v>150</v>
      </c>
      <c r="AH25" s="3193"/>
      <c r="AI25" s="3189">
        <f t="shared" si="0"/>
        <v>150</v>
      </c>
      <c r="AJ25" s="3190">
        <f t="shared" si="1"/>
        <v>60</v>
      </c>
      <c r="AK25" s="3208" t="s">
        <v>92</v>
      </c>
      <c r="AL25" s="2673"/>
      <c r="AM25" s="2674">
        <f t="shared" si="2"/>
        <v>0</v>
      </c>
    </row>
    <row r="26" spans="1:51" ht="24.75" hidden="1" customHeight="1">
      <c r="A26" s="2672">
        <v>62</v>
      </c>
      <c r="B26" s="2672">
        <v>15</v>
      </c>
      <c r="C26" s="2679" t="str">
        <f>'Chấm công công nhân'!L80</f>
        <v>Thảo lăm ma</v>
      </c>
      <c r="D26" s="3190"/>
      <c r="E26" s="3190"/>
      <c r="F26" s="3190"/>
      <c r="G26" s="3190"/>
      <c r="H26" s="3190"/>
      <c r="I26" s="3195"/>
      <c r="J26" s="3195"/>
      <c r="K26" s="3195"/>
      <c r="L26" s="3195"/>
      <c r="M26" s="3190"/>
      <c r="N26" s="3195"/>
      <c r="O26" s="3195"/>
      <c r="P26" s="3195"/>
      <c r="Q26" s="3195"/>
      <c r="R26" s="3195"/>
      <c r="S26" s="3195"/>
      <c r="T26" s="3190"/>
      <c r="U26" s="3195"/>
      <c r="V26" s="3195"/>
      <c r="W26" s="3195"/>
      <c r="X26" s="3195"/>
      <c r="Y26" s="3195"/>
      <c r="Z26" s="3195"/>
      <c r="AA26" s="3196"/>
      <c r="AB26" s="3195">
        <v>0</v>
      </c>
      <c r="AC26" s="3195">
        <v>0</v>
      </c>
      <c r="AD26" s="3197"/>
      <c r="AE26" s="3197"/>
      <c r="AF26" s="3197"/>
      <c r="AG26" s="3197">
        <v>0</v>
      </c>
      <c r="AH26" s="3195"/>
      <c r="AI26" s="3189"/>
      <c r="AJ26" s="3190">
        <f t="shared" si="1"/>
        <v>0</v>
      </c>
      <c r="AK26" s="2673" t="s">
        <v>52</v>
      </c>
      <c r="AL26" s="2673"/>
      <c r="AM26" s="2674">
        <f t="shared" si="2"/>
        <v>0</v>
      </c>
    </row>
    <row r="27" spans="1:51" s="3200" customFormat="1" ht="34.5" customHeight="1">
      <c r="A27" s="3707" t="s">
        <v>807</v>
      </c>
      <c r="B27" s="3708"/>
      <c r="C27" s="3709"/>
      <c r="D27" s="3198">
        <f>SUM(D12:D26)</f>
        <v>0</v>
      </c>
      <c r="E27" s="3198">
        <f t="shared" ref="E27:AJ27" si="3">SUM(E12:E26)</f>
        <v>0</v>
      </c>
      <c r="F27" s="3198">
        <f t="shared" si="3"/>
        <v>0</v>
      </c>
      <c r="G27" s="3198">
        <f t="shared" si="3"/>
        <v>0</v>
      </c>
      <c r="H27" s="3198">
        <f t="shared" si="3"/>
        <v>0</v>
      </c>
      <c r="I27" s="3198">
        <f t="shared" si="3"/>
        <v>0</v>
      </c>
      <c r="J27" s="3198">
        <f t="shared" si="3"/>
        <v>0</v>
      </c>
      <c r="K27" s="3198">
        <f t="shared" si="3"/>
        <v>0</v>
      </c>
      <c r="L27" s="3198">
        <f t="shared" si="3"/>
        <v>0</v>
      </c>
      <c r="M27" s="3198">
        <f t="shared" si="3"/>
        <v>0</v>
      </c>
      <c r="N27" s="3198">
        <f t="shared" si="3"/>
        <v>0</v>
      </c>
      <c r="O27" s="3198">
        <f t="shared" si="3"/>
        <v>0</v>
      </c>
      <c r="P27" s="3198">
        <f t="shared" si="3"/>
        <v>0</v>
      </c>
      <c r="Q27" s="3198">
        <f t="shared" si="3"/>
        <v>0</v>
      </c>
      <c r="R27" s="3198">
        <f t="shared" si="3"/>
        <v>0</v>
      </c>
      <c r="S27" s="3198">
        <f t="shared" si="3"/>
        <v>0</v>
      </c>
      <c r="T27" s="3198">
        <f t="shared" si="3"/>
        <v>0</v>
      </c>
      <c r="U27" s="3198">
        <f t="shared" si="3"/>
        <v>0</v>
      </c>
      <c r="V27" s="3198">
        <f t="shared" si="3"/>
        <v>0</v>
      </c>
      <c r="W27" s="3198">
        <f t="shared" si="3"/>
        <v>0</v>
      </c>
      <c r="X27" s="3198">
        <f t="shared" si="3"/>
        <v>0</v>
      </c>
      <c r="Y27" s="3198">
        <f t="shared" si="3"/>
        <v>0</v>
      </c>
      <c r="Z27" s="3198">
        <f t="shared" si="3"/>
        <v>0</v>
      </c>
      <c r="AA27" s="3198">
        <f t="shared" si="3"/>
        <v>0</v>
      </c>
      <c r="AB27" s="3198">
        <f t="shared" si="3"/>
        <v>783</v>
      </c>
      <c r="AC27" s="3198">
        <f t="shared" si="3"/>
        <v>1259</v>
      </c>
      <c r="AD27" s="3198">
        <f t="shared" si="3"/>
        <v>0</v>
      </c>
      <c r="AE27" s="3198">
        <f t="shared" si="3"/>
        <v>0</v>
      </c>
      <c r="AF27" s="3198">
        <f t="shared" si="3"/>
        <v>0</v>
      </c>
      <c r="AG27" s="3198">
        <f t="shared" si="3"/>
        <v>693</v>
      </c>
      <c r="AH27" s="3198">
        <f t="shared" si="3"/>
        <v>0</v>
      </c>
      <c r="AI27" s="3198">
        <f t="shared" si="3"/>
        <v>2735</v>
      </c>
      <c r="AJ27" s="3198">
        <f t="shared" si="3"/>
        <v>1094</v>
      </c>
      <c r="AK27" s="3199"/>
      <c r="AL27" s="3199"/>
    </row>
    <row r="28" spans="1:51">
      <c r="A28" s="2682"/>
      <c r="B28" s="2683"/>
      <c r="C28" s="2683"/>
      <c r="D28" s="2684"/>
      <c r="E28" s="2684"/>
      <c r="F28" s="2685"/>
      <c r="G28" s="2684"/>
      <c r="H28" s="2684"/>
      <c r="I28" s="2684"/>
      <c r="J28" s="2686"/>
      <c r="K28" s="2686"/>
      <c r="L28" s="2686"/>
      <c r="M28" s="2686"/>
      <c r="N28" s="2686"/>
      <c r="O28" s="2686"/>
      <c r="P28" s="2686"/>
      <c r="Q28" s="2686"/>
      <c r="R28" s="2686"/>
      <c r="S28" s="2686"/>
      <c r="T28" s="2686"/>
      <c r="U28" s="2686"/>
      <c r="V28" s="2686"/>
      <c r="W28" s="2686"/>
      <c r="X28" s="2686"/>
      <c r="Y28" s="2686"/>
      <c r="Z28" s="2686"/>
      <c r="AA28" s="2686"/>
      <c r="AB28" s="2686"/>
      <c r="AC28" s="2686"/>
      <c r="AK28" s="2687"/>
      <c r="AL28" s="2687"/>
    </row>
    <row r="29" spans="1:51" s="2664" customFormat="1" ht="24" customHeight="1">
      <c r="A29" s="3699" t="s">
        <v>1</v>
      </c>
      <c r="B29" s="3700"/>
      <c r="C29" s="3701"/>
      <c r="D29" s="3702" t="s">
        <v>544</v>
      </c>
      <c r="E29" s="3702"/>
      <c r="F29" s="3702"/>
      <c r="G29" s="3702" t="s">
        <v>1149</v>
      </c>
      <c r="H29" s="3702"/>
      <c r="I29" s="3702"/>
      <c r="J29" s="3702" t="s">
        <v>1150</v>
      </c>
      <c r="K29" s="3702"/>
      <c r="L29" s="3702"/>
      <c r="M29" s="3702"/>
      <c r="N29" s="3702"/>
      <c r="O29" s="3702"/>
      <c r="P29" s="3702" t="s">
        <v>1320</v>
      </c>
      <c r="Q29" s="3702"/>
      <c r="R29" s="3702"/>
      <c r="S29" s="3702"/>
      <c r="T29" s="3702"/>
      <c r="U29" s="3702"/>
      <c r="V29" s="3702"/>
      <c r="W29" s="2688"/>
      <c r="X29" s="2688"/>
      <c r="Y29" s="2688"/>
      <c r="Z29" s="2688"/>
      <c r="AA29" s="2688"/>
      <c r="AB29" s="2688"/>
      <c r="AC29" s="2688"/>
      <c r="AD29" s="2688"/>
      <c r="AE29" s="2688"/>
      <c r="AF29" s="2688"/>
      <c r="AG29" s="2688"/>
      <c r="AI29" s="3201"/>
      <c r="AJ29" s="3184"/>
    </row>
    <row r="30" spans="1:51" ht="24" customHeight="1">
      <c r="A30" s="3694">
        <v>1</v>
      </c>
      <c r="B30" s="3695"/>
      <c r="C30" s="3696"/>
      <c r="D30" s="3697"/>
      <c r="E30" s="3697"/>
      <c r="F30" s="3697"/>
      <c r="G30" s="3697" t="s">
        <v>52</v>
      </c>
      <c r="H30" s="3697"/>
      <c r="I30" s="3697"/>
      <c r="J30" s="3698">
        <f>SUMIF($AK$12:$AK$26,"A",$AI$12:$AI$26)</f>
        <v>1498</v>
      </c>
      <c r="K30" s="3698"/>
      <c r="L30" s="3698"/>
      <c r="M30" s="3698"/>
      <c r="N30" s="3698"/>
      <c r="O30" s="3698"/>
      <c r="P30" s="3698">
        <f>SUMIF($AK$12:$AK$26,"A",$AJ$12:$AJ$26)</f>
        <v>599.20000000000005</v>
      </c>
      <c r="Q30" s="3698"/>
      <c r="R30" s="3698"/>
      <c r="S30" s="3698"/>
      <c r="T30" s="3698"/>
      <c r="U30" s="3698"/>
      <c r="V30" s="3698"/>
    </row>
    <row r="31" spans="1:51" ht="24" customHeight="1">
      <c r="A31" s="3694">
        <v>2</v>
      </c>
      <c r="B31" s="3695"/>
      <c r="C31" s="3696"/>
      <c r="D31" s="3697"/>
      <c r="E31" s="3697"/>
      <c r="F31" s="3697"/>
      <c r="G31" s="3697" t="s">
        <v>92</v>
      </c>
      <c r="H31" s="3697"/>
      <c r="I31" s="3697"/>
      <c r="J31" s="3698">
        <f>SUMIF($AK$12:$AK$26,"B",$AI$12:$AI$26)</f>
        <v>1237</v>
      </c>
      <c r="K31" s="3698"/>
      <c r="L31" s="3698"/>
      <c r="M31" s="3698"/>
      <c r="N31" s="3698"/>
      <c r="O31" s="3698"/>
      <c r="P31" s="3698">
        <f>SUMIF($AK$12:$AK$26,"B",$AJ$12:$AJ$26)</f>
        <v>494.8</v>
      </c>
      <c r="Q31" s="3698"/>
      <c r="R31" s="3698"/>
      <c r="S31" s="3698"/>
      <c r="T31" s="3698"/>
      <c r="U31" s="3698"/>
      <c r="V31" s="3698"/>
      <c r="AB31" s="2969"/>
      <c r="AP31" s="3202">
        <f>97677*43.16</f>
        <v>4215739.3199999994</v>
      </c>
    </row>
    <row r="32" spans="1:51" ht="24" customHeight="1">
      <c r="A32" s="3694">
        <v>3</v>
      </c>
      <c r="B32" s="3695"/>
      <c r="C32" s="3696"/>
      <c r="D32" s="3697"/>
      <c r="E32" s="3697"/>
      <c r="F32" s="3697"/>
      <c r="G32" s="3697" t="s">
        <v>53</v>
      </c>
      <c r="H32" s="3697"/>
      <c r="I32" s="3697"/>
      <c r="J32" s="3698">
        <f>SUMIF($AK$12:$AK$26,"C",$AI$12:$AI$26)</f>
        <v>0</v>
      </c>
      <c r="K32" s="3698"/>
      <c r="L32" s="3698"/>
      <c r="M32" s="3698"/>
      <c r="N32" s="3698"/>
      <c r="O32" s="3698"/>
      <c r="P32" s="3698">
        <f>SUMIF($AK$12:$AK$26,"C",$AJ$12:$AJ$26)</f>
        <v>0</v>
      </c>
      <c r="Q32" s="3698"/>
      <c r="R32" s="3698"/>
      <c r="S32" s="3698"/>
      <c r="T32" s="3698"/>
      <c r="U32" s="3698"/>
      <c r="V32" s="3698"/>
    </row>
    <row r="33" spans="1:40" ht="24" hidden="1" customHeight="1">
      <c r="A33" s="3694">
        <v>4</v>
      </c>
      <c r="B33" s="3695"/>
      <c r="C33" s="3696"/>
      <c r="D33" s="3697">
        <f>SUM(COUNTIF(AK12:AK21,"D"))</f>
        <v>0</v>
      </c>
      <c r="E33" s="3697"/>
      <c r="F33" s="3697"/>
      <c r="G33" s="3697" t="s">
        <v>93</v>
      </c>
      <c r="H33" s="3697"/>
      <c r="I33" s="3697"/>
      <c r="J33" s="3698">
        <f>SUMIF($AK$12:$AK$18,"D",$AI$12:$AI$18)</f>
        <v>0</v>
      </c>
      <c r="K33" s="3698"/>
      <c r="L33" s="3698"/>
      <c r="M33" s="3698"/>
      <c r="N33" s="3698"/>
      <c r="O33" s="3698"/>
      <c r="P33" s="3698">
        <f>SUMIF($AK$12:$AK$18,"D",$AJ$12:$AJ$18)</f>
        <v>0</v>
      </c>
      <c r="Q33" s="3698"/>
      <c r="R33" s="3698"/>
      <c r="S33" s="3698"/>
      <c r="T33" s="3698"/>
      <c r="U33" s="3698"/>
      <c r="V33" s="3698"/>
    </row>
    <row r="34" spans="1:40" s="2671" customFormat="1" ht="24" customHeight="1">
      <c r="A34" s="3699" t="s">
        <v>187</v>
      </c>
      <c r="B34" s="3700"/>
      <c r="C34" s="3701"/>
      <c r="D34" s="3702">
        <f>SUM(D30:F33)</f>
        <v>0</v>
      </c>
      <c r="E34" s="3702"/>
      <c r="F34" s="3702"/>
      <c r="G34" s="3702"/>
      <c r="H34" s="3702"/>
      <c r="I34" s="3702"/>
      <c r="J34" s="3703">
        <f>SUM(J30:O33)</f>
        <v>2735</v>
      </c>
      <c r="K34" s="3703"/>
      <c r="L34" s="3703"/>
      <c r="M34" s="3703"/>
      <c r="N34" s="3703"/>
      <c r="O34" s="3703"/>
      <c r="P34" s="3703">
        <f>SUM(P30:V33)</f>
        <v>1094</v>
      </c>
      <c r="Q34" s="3703"/>
      <c r="R34" s="3703"/>
      <c r="S34" s="3703"/>
      <c r="T34" s="3703"/>
      <c r="U34" s="3703"/>
      <c r="V34" s="3703"/>
      <c r="W34" s="2689"/>
      <c r="X34" s="2689"/>
      <c r="Y34" s="2689"/>
      <c r="Z34" s="2689"/>
      <c r="AA34" s="2689"/>
      <c r="AB34" s="2689"/>
      <c r="AC34" s="2689"/>
      <c r="AD34" s="2689"/>
      <c r="AE34" s="2689"/>
      <c r="AF34" s="2689"/>
      <c r="AG34" s="2689"/>
      <c r="AI34" s="3203"/>
      <c r="AJ34" s="3183"/>
    </row>
    <row r="35" spans="1:40" s="2691" customFormat="1" ht="19.5" customHeight="1">
      <c r="A35" s="2690"/>
      <c r="E35" s="3204"/>
      <c r="G35" s="3204"/>
      <c r="H35" s="3204"/>
      <c r="I35" s="3204"/>
      <c r="J35" s="3205"/>
      <c r="K35" s="2692"/>
      <c r="M35" s="2692"/>
      <c r="N35" s="2692"/>
      <c r="O35" s="2692"/>
      <c r="P35" s="2692"/>
      <c r="Q35" s="2692"/>
      <c r="R35" s="2692"/>
      <c r="S35" s="2693"/>
      <c r="T35" s="2693"/>
      <c r="U35" s="2693"/>
      <c r="V35" s="2693"/>
      <c r="W35" s="2693"/>
      <c r="X35" s="2693"/>
      <c r="Y35" s="2693"/>
      <c r="AA35" s="2693"/>
      <c r="AB35" s="3097"/>
      <c r="AC35" s="3097"/>
      <c r="AD35" s="3097"/>
      <c r="AE35" s="3691" t="s">
        <v>1563</v>
      </c>
      <c r="AF35" s="3691"/>
      <c r="AG35" s="3691"/>
      <c r="AH35" s="3691"/>
      <c r="AI35" s="3691"/>
      <c r="AJ35" s="3691"/>
      <c r="AK35" s="3691"/>
      <c r="AL35" s="3100"/>
      <c r="AM35" s="3097"/>
      <c r="AN35" s="3097"/>
    </row>
    <row r="36" spans="1:40" ht="28.5" customHeight="1">
      <c r="B36" s="2694"/>
      <c r="C36" s="2692" t="s">
        <v>46</v>
      </c>
      <c r="D36" s="2694"/>
      <c r="E36" s="3206"/>
      <c r="F36" s="3206"/>
      <c r="G36" s="3207"/>
      <c r="H36" s="3207"/>
      <c r="I36" s="3207"/>
      <c r="J36" s="2695"/>
      <c r="K36" s="2661"/>
      <c r="L36" s="2696"/>
      <c r="M36" s="2696"/>
      <c r="N36" s="2696"/>
      <c r="O36" s="3692" t="s">
        <v>1147</v>
      </c>
      <c r="P36" s="3692"/>
      <c r="Q36" s="3692"/>
      <c r="R36" s="3692"/>
      <c r="S36" s="3692"/>
      <c r="T36" s="3692"/>
      <c r="U36" s="3692"/>
      <c r="V36" s="3692"/>
      <c r="W36" s="2661"/>
      <c r="X36" s="2695"/>
      <c r="Y36" s="2697"/>
      <c r="Z36" s="2697"/>
      <c r="AA36" s="2697"/>
      <c r="AB36" s="2697"/>
      <c r="AC36" s="2661"/>
      <c r="AD36" s="2661"/>
      <c r="AE36" s="3692" t="s">
        <v>1107</v>
      </c>
      <c r="AF36" s="3692"/>
      <c r="AG36" s="3692"/>
      <c r="AH36" s="3692"/>
      <c r="AI36" s="3692"/>
      <c r="AJ36" s="3692"/>
      <c r="AK36" s="3692"/>
      <c r="AL36" s="3096"/>
    </row>
    <row r="42" spans="1:40">
      <c r="AE42" s="3693" t="s">
        <v>1013</v>
      </c>
      <c r="AF42" s="3693"/>
      <c r="AG42" s="3693"/>
      <c r="AH42" s="3693"/>
      <c r="AI42" s="3693"/>
      <c r="AJ42" s="3693"/>
      <c r="AK42" s="3693"/>
    </row>
  </sheetData>
  <mergeCells count="49">
    <mergeCell ref="A8:AL8"/>
    <mergeCell ref="A1:AL1"/>
    <mergeCell ref="A2:AL2"/>
    <mergeCell ref="A3:AL3"/>
    <mergeCell ref="A5:N5"/>
    <mergeCell ref="A6:N6"/>
    <mergeCell ref="AK10:AK11"/>
    <mergeCell ref="AL10:AL11"/>
    <mergeCell ref="A27:C27"/>
    <mergeCell ref="A10:A11"/>
    <mergeCell ref="B10:B11"/>
    <mergeCell ref="C10:C11"/>
    <mergeCell ref="D10:AH10"/>
    <mergeCell ref="AI10:AI11"/>
    <mergeCell ref="AJ10:AJ11"/>
    <mergeCell ref="A30:C30"/>
    <mergeCell ref="D30:F30"/>
    <mergeCell ref="G30:I30"/>
    <mergeCell ref="J30:O30"/>
    <mergeCell ref="P30:V30"/>
    <mergeCell ref="A29:C29"/>
    <mergeCell ref="D29:F29"/>
    <mergeCell ref="G29:I29"/>
    <mergeCell ref="J29:O29"/>
    <mergeCell ref="P29:V29"/>
    <mergeCell ref="A32:C32"/>
    <mergeCell ref="D32:F32"/>
    <mergeCell ref="G32:I32"/>
    <mergeCell ref="J32:O32"/>
    <mergeCell ref="P32:V32"/>
    <mergeCell ref="A31:C31"/>
    <mergeCell ref="D31:F31"/>
    <mergeCell ref="G31:I31"/>
    <mergeCell ref="J31:O31"/>
    <mergeCell ref="P31:V31"/>
    <mergeCell ref="AE35:AK35"/>
    <mergeCell ref="O36:V36"/>
    <mergeCell ref="AE36:AK36"/>
    <mergeCell ref="AE42:AK42"/>
    <mergeCell ref="A33:C33"/>
    <mergeCell ref="D33:F33"/>
    <mergeCell ref="G33:I33"/>
    <mergeCell ref="J33:O33"/>
    <mergeCell ref="P33:V33"/>
    <mergeCell ref="A34:C34"/>
    <mergeCell ref="D34:F34"/>
    <mergeCell ref="G34:I34"/>
    <mergeCell ref="J34:O34"/>
    <mergeCell ref="P34:V34"/>
  </mergeCells>
  <pageMargins left="0.32" right="0.25" top="0.56999999999999995" bottom="0.75" header="0.3" footer="0.3"/>
  <pageSetup paperSize="9" scale="49" orientation="landscape" r:id="rId1"/>
  <colBreaks count="1" manualBreakCount="1">
    <brk id="48" max="1048575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D3CCD9EF-E4DF-428D-977E-0DA68197D78D}">
            <xm:f>'\NHÂN 2024\Tháng 08\SL TỔ\[SL mủ Tổ 3 T8.xlsx]axit đánh đông'!#REF!="x"</xm:f>
            <x14:dxf>
              <fill>
                <patternFill>
                  <bgColor rgb="FF00B050"/>
                </patternFill>
              </fill>
            </x14:dxf>
          </x14:cfRule>
          <xm:sqref>D12:K23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I38"/>
  <sheetViews>
    <sheetView workbookViewId="0">
      <selection activeCell="C10" sqref="C10:H12"/>
    </sheetView>
  </sheetViews>
  <sheetFormatPr defaultRowHeight="15.75"/>
  <cols>
    <col min="1" max="1" width="6" style="1124" customWidth="1"/>
    <col min="2" max="2" width="10" style="1161" hidden="1" customWidth="1"/>
    <col min="3" max="3" width="17.25" style="1124" customWidth="1"/>
    <col min="4" max="4" width="7" style="1124" hidden="1" customWidth="1"/>
    <col min="5" max="5" width="10.25" style="1129" customWidth="1"/>
    <col min="6" max="6" width="12.875" style="1129" customWidth="1"/>
    <col min="7" max="7" width="19.625" style="1155" customWidth="1"/>
    <col min="8" max="8" width="15.375" style="1132" customWidth="1"/>
    <col min="9" max="9" width="13.375" style="1132" customWidth="1"/>
  </cols>
  <sheetData>
    <row r="1" spans="1:9">
      <c r="A1" s="1123" t="s">
        <v>164</v>
      </c>
      <c r="B1" s="1124"/>
      <c r="E1" s="1124"/>
      <c r="F1" s="1124"/>
      <c r="G1" s="3724" t="s">
        <v>165</v>
      </c>
      <c r="H1" s="3724"/>
      <c r="I1" s="3724"/>
    </row>
    <row r="2" spans="1:9" ht="16.5">
      <c r="A2" s="3730"/>
      <c r="B2" s="3730"/>
      <c r="C2" s="3730"/>
      <c r="D2" s="3730"/>
      <c r="E2" s="3730"/>
      <c r="F2" s="3730"/>
      <c r="G2" s="3731" t="s">
        <v>171</v>
      </c>
      <c r="H2" s="3731"/>
      <c r="I2" s="3731"/>
    </row>
    <row r="3" spans="1:9" ht="16.5">
      <c r="A3" s="1125"/>
      <c r="B3" s="1125"/>
      <c r="C3" s="1125"/>
      <c r="D3" s="1125"/>
      <c r="E3" s="1125"/>
      <c r="F3" s="1125"/>
      <c r="G3" s="1129"/>
      <c r="H3" s="1129"/>
      <c r="I3" s="1129"/>
    </row>
    <row r="4" spans="1:9">
      <c r="A4" s="1126"/>
      <c r="B4" s="1127"/>
      <c r="C4" s="1128"/>
      <c r="D4" s="1128"/>
      <c r="G4" s="1130"/>
      <c r="H4" s="1131"/>
    </row>
    <row r="5" spans="1:9" ht="39.75" customHeight="1">
      <c r="A5" s="3732" t="s">
        <v>841</v>
      </c>
      <c r="B5" s="3733"/>
      <c r="C5" s="3733"/>
      <c r="D5" s="3733"/>
      <c r="E5" s="3733"/>
      <c r="F5" s="3733"/>
      <c r="G5" s="3733"/>
      <c r="H5" s="3733"/>
      <c r="I5" s="3733"/>
    </row>
    <row r="6" spans="1:9">
      <c r="A6" s="3734" t="s">
        <v>834</v>
      </c>
      <c r="B6" s="3734"/>
      <c r="C6" s="3734"/>
      <c r="D6" s="3734"/>
      <c r="E6" s="3734"/>
      <c r="F6" s="3734"/>
      <c r="G6" s="3734"/>
      <c r="H6" s="3734"/>
      <c r="I6" s="3734"/>
    </row>
    <row r="7" spans="1:9" ht="14.25" customHeight="1">
      <c r="A7" s="3744" t="s">
        <v>1</v>
      </c>
      <c r="B7" s="3746" t="s">
        <v>20</v>
      </c>
      <c r="C7" s="3746"/>
      <c r="D7" s="3744" t="s">
        <v>830</v>
      </c>
      <c r="E7" s="3747" t="s">
        <v>26</v>
      </c>
      <c r="F7" s="3744" t="s">
        <v>831</v>
      </c>
      <c r="G7" s="3735" t="s">
        <v>835</v>
      </c>
      <c r="H7" s="3738" t="s">
        <v>836</v>
      </c>
      <c r="I7" s="3741" t="s">
        <v>9</v>
      </c>
    </row>
    <row r="8" spans="1:9" ht="14.25">
      <c r="A8" s="3744"/>
      <c r="B8" s="3746"/>
      <c r="C8" s="3746"/>
      <c r="D8" s="3744"/>
      <c r="E8" s="3748"/>
      <c r="F8" s="3744"/>
      <c r="G8" s="3736"/>
      <c r="H8" s="3739"/>
      <c r="I8" s="3742"/>
    </row>
    <row r="9" spans="1:9">
      <c r="A9" s="3745"/>
      <c r="B9" s="1166" t="s">
        <v>33</v>
      </c>
      <c r="C9" s="1166" t="s">
        <v>4</v>
      </c>
      <c r="D9" s="3744"/>
      <c r="E9" s="3749"/>
      <c r="F9" s="3745"/>
      <c r="G9" s="3737"/>
      <c r="H9" s="3740"/>
      <c r="I9" s="3743"/>
    </row>
    <row r="10" spans="1:9" ht="16.5">
      <c r="A10" s="1167">
        <v>1</v>
      </c>
      <c r="B10" s="1168" t="e">
        <f>VLOOKUP(C10,[4]Sheet1!$B$9:$C$115,2,0)</f>
        <v>#N/A</v>
      </c>
      <c r="C10" s="1186"/>
      <c r="D10" s="1169"/>
      <c r="E10" s="1170"/>
      <c r="F10" s="1171"/>
      <c r="G10" s="1093"/>
      <c r="H10" s="1187"/>
      <c r="I10" s="1171"/>
    </row>
    <row r="11" spans="1:9" ht="16.5">
      <c r="A11" s="1172">
        <v>2</v>
      </c>
      <c r="B11" s="1173" t="e">
        <f>VLOOKUP(C11,[4]Sheet1!$B$9:$C$115,2,0)</f>
        <v>#N/A</v>
      </c>
      <c r="C11" s="1174"/>
      <c r="D11" s="1175"/>
      <c r="E11" s="1176"/>
      <c r="F11" s="1177"/>
      <c r="G11" s="1094"/>
      <c r="H11" s="1165"/>
      <c r="I11" s="1177"/>
    </row>
    <row r="12" spans="1:9" ht="16.5">
      <c r="A12" s="1178">
        <v>3</v>
      </c>
      <c r="B12" s="1179" t="e">
        <f>VLOOKUP(C12,[4]Sheet1!$B$9:$C$115,2,0)</f>
        <v>#N/A</v>
      </c>
      <c r="C12" s="1180"/>
      <c r="D12" s="1181"/>
      <c r="E12" s="1182"/>
      <c r="F12" s="1183"/>
      <c r="G12" s="1184"/>
      <c r="H12" s="1188"/>
      <c r="I12" s="1183"/>
    </row>
    <row r="13" spans="1:9" ht="14.25">
      <c r="A13" s="3725" t="s">
        <v>688</v>
      </c>
      <c r="B13" s="3726"/>
      <c r="C13" s="3726"/>
      <c r="D13" s="3726"/>
      <c r="E13" s="3726"/>
      <c r="F13" s="1133"/>
      <c r="G13" s="1134">
        <f>SUBTOTAL(9,G10:G12)</f>
        <v>0</v>
      </c>
      <c r="H13" s="1134">
        <f>SUBTOTAL(9,H10:H12)</f>
        <v>0</v>
      </c>
      <c r="I13" s="1135"/>
    </row>
    <row r="14" spans="1:9" ht="15">
      <c r="A14" s="1136"/>
      <c r="B14" s="1136"/>
      <c r="C14" s="1136"/>
      <c r="D14" s="1136"/>
      <c r="E14" s="1136"/>
      <c r="F14" s="1137"/>
      <c r="G14" s="1138"/>
      <c r="H14" s="3727" t="s">
        <v>840</v>
      </c>
      <c r="I14" s="3727"/>
    </row>
    <row r="15" spans="1:9" ht="14.25">
      <c r="A15" s="3728" t="s">
        <v>832</v>
      </c>
      <c r="B15" s="3728"/>
      <c r="C15" s="3728"/>
      <c r="D15" s="3728"/>
      <c r="E15" s="3728" t="s">
        <v>833</v>
      </c>
      <c r="F15" s="3728"/>
      <c r="G15" s="1185" t="s">
        <v>167</v>
      </c>
      <c r="H15" s="3729" t="s">
        <v>839</v>
      </c>
      <c r="I15" s="3729"/>
    </row>
    <row r="16" spans="1:9" ht="18.75">
      <c r="A16" s="1139"/>
      <c r="B16" s="3722"/>
      <c r="C16" s="3722"/>
      <c r="D16" s="3722"/>
      <c r="E16" s="3722"/>
      <c r="F16" s="3722"/>
      <c r="G16" s="3723"/>
      <c r="H16" s="3723"/>
      <c r="I16" s="1140"/>
    </row>
    <row r="17" spans="1:9" ht="18.75">
      <c r="A17" s="1141"/>
      <c r="B17" s="1141"/>
      <c r="C17" s="1142"/>
      <c r="D17" s="1141"/>
      <c r="E17" s="1143"/>
      <c r="F17" s="1143"/>
      <c r="G17" s="1144"/>
      <c r="H17" s="1141"/>
      <c r="I17" s="1141"/>
    </row>
    <row r="18" spans="1:9" ht="18.75">
      <c r="A18" s="1141"/>
      <c r="B18" s="1141"/>
      <c r="C18" s="1142"/>
      <c r="D18" s="1141"/>
      <c r="E18" s="1143"/>
      <c r="F18" s="1145"/>
      <c r="G18" s="1144"/>
      <c r="H18" s="1141"/>
      <c r="I18" s="1141"/>
    </row>
    <row r="19" spans="1:9" ht="18.75">
      <c r="A19" s="1141"/>
      <c r="B19" s="1141"/>
      <c r="C19" s="1142"/>
      <c r="D19" s="1141"/>
      <c r="E19" s="1143"/>
      <c r="F19" s="1145"/>
      <c r="G19" s="1144"/>
      <c r="H19" s="1141"/>
      <c r="I19" s="1141"/>
    </row>
    <row r="20" spans="1:9" ht="18.75">
      <c r="A20" s="1141"/>
      <c r="B20" s="1141"/>
      <c r="C20" s="1142"/>
      <c r="D20" s="1141"/>
      <c r="E20" s="1146"/>
      <c r="F20" s="1147"/>
      <c r="G20" s="1144"/>
      <c r="H20" s="1142"/>
      <c r="I20" s="1141"/>
    </row>
    <row r="21" spans="1:9" ht="18.75">
      <c r="A21" s="1141"/>
      <c r="B21" s="1141"/>
      <c r="C21" s="1142"/>
      <c r="D21" s="1141"/>
      <c r="E21" s="1148"/>
      <c r="F21" s="1149"/>
      <c r="G21" s="1144"/>
      <c r="H21" s="1150"/>
      <c r="I21" s="1141"/>
    </row>
    <row r="22" spans="1:9" ht="18.75">
      <c r="A22" s="1141"/>
      <c r="B22" s="1141"/>
      <c r="C22" s="1142"/>
      <c r="D22" s="1141"/>
      <c r="E22" s="1146"/>
      <c r="F22" s="1151"/>
      <c r="G22" s="1144"/>
      <c r="H22" s="1152"/>
      <c r="I22" s="1141"/>
    </row>
    <row r="23" spans="1:9" ht="18.75">
      <c r="A23" s="1141"/>
      <c r="B23" s="1141"/>
      <c r="C23" s="1141"/>
      <c r="D23" s="1141"/>
      <c r="E23" s="1146"/>
      <c r="F23" s="1147"/>
      <c r="G23" s="1144"/>
      <c r="H23" s="1141"/>
      <c r="I23" s="1141"/>
    </row>
    <row r="24" spans="1:9">
      <c r="A24" s="1132"/>
      <c r="B24" s="1132"/>
      <c r="C24" s="1132"/>
      <c r="D24" s="1132"/>
      <c r="F24" s="1153"/>
      <c r="G24" s="3724"/>
      <c r="H24" s="3724"/>
      <c r="I24" s="1154"/>
    </row>
    <row r="25" spans="1:9">
      <c r="A25" s="1132"/>
      <c r="B25" s="1132"/>
      <c r="C25" s="1132"/>
      <c r="D25" s="1132"/>
    </row>
    <row r="26" spans="1:9">
      <c r="A26" s="1132"/>
      <c r="B26" s="1132"/>
      <c r="C26" s="1156"/>
      <c r="D26" s="1132"/>
      <c r="H26" s="1156"/>
    </row>
    <row r="27" spans="1:9">
      <c r="A27" s="1132"/>
      <c r="B27" s="1132"/>
      <c r="C27" s="1132"/>
      <c r="D27" s="1132"/>
    </row>
    <row r="28" spans="1:9">
      <c r="A28" s="1132"/>
      <c r="B28" s="1132"/>
      <c r="C28" s="1132"/>
      <c r="D28" s="1132"/>
      <c r="E28" s="1157"/>
      <c r="I28" s="1158"/>
    </row>
    <row r="29" spans="1:9">
      <c r="A29" s="1132"/>
      <c r="B29" s="1132"/>
      <c r="C29" s="1132"/>
      <c r="D29" s="1132"/>
      <c r="F29" s="1159"/>
      <c r="H29" s="1160"/>
    </row>
    <row r="30" spans="1:9">
      <c r="C30" s="1162"/>
      <c r="H30" s="1156"/>
    </row>
    <row r="31" spans="1:9">
      <c r="G31" s="1163"/>
    </row>
    <row r="32" spans="1:9">
      <c r="C32" s="1164"/>
      <c r="G32" s="1163"/>
    </row>
    <row r="33" spans="1:7">
      <c r="A33" s="1132"/>
      <c r="B33" s="1132"/>
      <c r="C33" s="1132"/>
      <c r="D33" s="1132"/>
      <c r="G33" s="1163"/>
    </row>
    <row r="34" spans="1:7">
      <c r="A34" s="1132"/>
      <c r="B34" s="1132"/>
      <c r="C34" s="1132"/>
      <c r="D34" s="1132"/>
    </row>
    <row r="35" spans="1:7">
      <c r="A35" s="1132"/>
      <c r="B35" s="1132"/>
      <c r="C35" s="1132"/>
      <c r="D35" s="1132"/>
      <c r="E35" s="1132"/>
      <c r="F35" s="1132"/>
      <c r="G35" s="1132"/>
    </row>
    <row r="38" spans="1:7">
      <c r="A38" s="1132"/>
      <c r="B38" s="1132"/>
      <c r="C38" s="1132"/>
      <c r="D38" s="1132"/>
      <c r="E38" s="1132"/>
      <c r="F38" s="1132"/>
      <c r="G38" s="1132"/>
    </row>
  </sheetData>
  <mergeCells count="21">
    <mergeCell ref="G7:G9"/>
    <mergeCell ref="H7:H9"/>
    <mergeCell ref="I7:I9"/>
    <mergeCell ref="A7:A9"/>
    <mergeCell ref="B7:C8"/>
    <mergeCell ref="D7:D9"/>
    <mergeCell ref="E7:E9"/>
    <mergeCell ref="F7:F9"/>
    <mergeCell ref="G1:I1"/>
    <mergeCell ref="A2:F2"/>
    <mergeCell ref="G2:I2"/>
    <mergeCell ref="A5:I5"/>
    <mergeCell ref="A6:I6"/>
    <mergeCell ref="B16:F16"/>
    <mergeCell ref="G16:H16"/>
    <mergeCell ref="G24:H24"/>
    <mergeCell ref="A13:E13"/>
    <mergeCell ref="H14:I14"/>
    <mergeCell ref="A15:D15"/>
    <mergeCell ref="E15:F15"/>
    <mergeCell ref="H15:I15"/>
  </mergeCells>
  <pageMargins left="0.35433070866141736" right="0.19685039370078741" top="0.74803149606299213" bottom="0.74803149606299213" header="0.31496062992125984" footer="0.31496062992125984"/>
  <pageSetup paperSize="9" scale="95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4"/>
  <sheetViews>
    <sheetView topLeftCell="A24" workbookViewId="0">
      <selection activeCell="A8" sqref="A8:X8"/>
    </sheetView>
  </sheetViews>
  <sheetFormatPr defaultColWidth="8" defaultRowHeight="15.75" outlineLevelRow="2"/>
  <cols>
    <col min="1" max="1" width="4.625" style="42" customWidth="1"/>
    <col min="2" max="2" width="11.875" style="1296" hidden="1" customWidth="1"/>
    <col min="3" max="3" width="25.625" style="42" customWidth="1"/>
    <col min="4" max="4" width="8.875" style="165" hidden="1" customWidth="1"/>
    <col min="5" max="5" width="8.375" style="41" hidden="1" customWidth="1"/>
    <col min="6" max="6" width="7.25" style="41" customWidth="1"/>
    <col min="7" max="8" width="17.625" style="42" customWidth="1"/>
    <col min="9" max="9" width="17.625" style="42" hidden="1" customWidth="1"/>
    <col min="10" max="11" width="9.375" style="42" hidden="1" customWidth="1"/>
    <col min="12" max="12" width="12.125" style="1335" customWidth="1"/>
    <col min="13" max="13" width="7" style="42" hidden="1" customWidth="1"/>
    <col min="14" max="14" width="11.875" style="42" customWidth="1"/>
    <col min="15" max="15" width="12.25" style="42" customWidth="1"/>
    <col min="16" max="16" width="12.375" style="42" customWidth="1"/>
    <col min="17" max="17" width="8" style="42" hidden="1" customWidth="1"/>
    <col min="18" max="18" width="8.375" style="42" hidden="1" customWidth="1"/>
    <col min="19" max="19" width="12.375" style="42" customWidth="1"/>
    <col min="20" max="20" width="7.875" style="42" hidden="1" customWidth="1"/>
    <col min="21" max="21" width="8" style="42" hidden="1" customWidth="1"/>
    <col min="22" max="22" width="12.375" style="42" customWidth="1"/>
    <col min="23" max="23" width="1.25" style="42" hidden="1" customWidth="1"/>
    <col min="24" max="24" width="10" style="42" customWidth="1"/>
    <col min="25" max="25" width="17.125" style="42" customWidth="1"/>
    <col min="26" max="26" width="14.375" style="42" customWidth="1"/>
    <col min="27" max="16384" width="8" style="42"/>
  </cols>
  <sheetData>
    <row r="1" spans="1:24" ht="17.25" customHeight="1">
      <c r="A1" s="3799" t="s">
        <v>165</v>
      </c>
      <c r="B1" s="3799"/>
      <c r="C1" s="3799"/>
      <c r="D1" s="3799"/>
      <c r="E1" s="3799"/>
      <c r="F1" s="3799"/>
      <c r="G1" s="3799"/>
      <c r="H1" s="3799"/>
      <c r="I1" s="3799"/>
      <c r="J1" s="3799"/>
      <c r="K1" s="3799"/>
      <c r="L1" s="3799"/>
      <c r="M1" s="3799"/>
      <c r="N1" s="3799"/>
      <c r="O1" s="3799"/>
      <c r="P1" s="3799"/>
      <c r="Q1" s="3799"/>
      <c r="R1" s="3799"/>
      <c r="S1" s="3799"/>
      <c r="T1" s="3799"/>
      <c r="U1" s="3799"/>
      <c r="V1" s="3799"/>
      <c r="W1" s="3799"/>
      <c r="X1" s="3799"/>
    </row>
    <row r="2" spans="1:24" ht="18" customHeight="1">
      <c r="A2" s="3799" t="s">
        <v>171</v>
      </c>
      <c r="B2" s="3799"/>
      <c r="C2" s="3799"/>
      <c r="D2" s="3799"/>
      <c r="E2" s="3799"/>
      <c r="F2" s="3799"/>
      <c r="G2" s="3799"/>
      <c r="H2" s="3799"/>
      <c r="I2" s="3799"/>
      <c r="J2" s="3799"/>
      <c r="K2" s="3799"/>
      <c r="L2" s="3799"/>
      <c r="M2" s="3799"/>
      <c r="N2" s="3799"/>
      <c r="O2" s="3799"/>
      <c r="P2" s="3799"/>
      <c r="Q2" s="3799"/>
      <c r="R2" s="3799"/>
      <c r="S2" s="3799"/>
      <c r="T2" s="3799"/>
      <c r="U2" s="3799"/>
      <c r="V2" s="3799"/>
      <c r="W2" s="3799"/>
      <c r="X2" s="3799"/>
    </row>
    <row r="3" spans="1:24" ht="17.25" customHeight="1">
      <c r="A3" s="3671" t="s">
        <v>726</v>
      </c>
      <c r="B3" s="3671"/>
      <c r="C3" s="3671"/>
      <c r="D3" s="3671"/>
      <c r="E3" s="3671"/>
      <c r="F3" s="3671"/>
      <c r="G3" s="3671"/>
      <c r="H3" s="3671"/>
      <c r="I3" s="3671"/>
      <c r="J3" s="3671"/>
      <c r="K3" s="3671"/>
      <c r="L3" s="3671"/>
      <c r="M3" s="3671"/>
      <c r="N3" s="3671"/>
      <c r="O3" s="3671"/>
      <c r="P3" s="3671"/>
      <c r="Q3" s="3671"/>
      <c r="R3" s="3671"/>
      <c r="S3" s="3671"/>
      <c r="T3" s="3671"/>
      <c r="U3" s="3671"/>
      <c r="V3" s="3671"/>
      <c r="W3" s="3671"/>
      <c r="X3" s="3671"/>
    </row>
    <row r="4" spans="1:24" ht="17.25" customHeight="1">
      <c r="A4" s="3800" t="s">
        <v>602</v>
      </c>
      <c r="B4" s="3800"/>
      <c r="C4" s="3800"/>
      <c r="D4" s="3800"/>
      <c r="E4" s="3800"/>
      <c r="F4" s="3800"/>
      <c r="G4" s="3800"/>
      <c r="H4" s="1291"/>
      <c r="I4" s="1291"/>
      <c r="J4" s="1291"/>
      <c r="K4" s="1291"/>
      <c r="L4" s="1292"/>
      <c r="M4" s="1290"/>
      <c r="N4" s="1290"/>
      <c r="O4" s="1290"/>
      <c r="P4" s="157"/>
      <c r="Q4" s="157"/>
      <c r="R4" s="157"/>
      <c r="S4" s="157"/>
      <c r="T4" s="157"/>
      <c r="U4" s="157"/>
      <c r="V4" s="157"/>
      <c r="W4" s="157"/>
      <c r="X4" s="156"/>
    </row>
    <row r="5" spans="1:24" ht="17.25" customHeight="1">
      <c r="A5" s="3799" t="s">
        <v>541</v>
      </c>
      <c r="B5" s="3799"/>
      <c r="C5" s="3799"/>
      <c r="D5" s="3799"/>
      <c r="E5" s="3799"/>
      <c r="F5" s="3799"/>
      <c r="G5" s="3799"/>
      <c r="H5" s="1293"/>
      <c r="I5" s="1293"/>
      <c r="J5" s="1293"/>
      <c r="K5" s="1293"/>
      <c r="L5" s="1294"/>
      <c r="M5" s="1293"/>
      <c r="N5" s="1293"/>
      <c r="O5" s="1293"/>
      <c r="P5" s="1295"/>
      <c r="Q5" s="1295"/>
      <c r="R5" s="1295"/>
      <c r="S5" s="156"/>
      <c r="T5" s="156"/>
      <c r="U5" s="156"/>
      <c r="V5" s="157"/>
      <c r="W5" s="156"/>
      <c r="X5" s="156"/>
    </row>
    <row r="6" spans="1:24" ht="17.25" customHeight="1">
      <c r="A6" s="280"/>
      <c r="B6" s="693"/>
      <c r="C6" s="913"/>
      <c r="D6" s="913"/>
      <c r="E6" s="913"/>
      <c r="F6" s="913"/>
      <c r="G6" s="913"/>
      <c r="H6" s="1293"/>
      <c r="I6" s="1293"/>
      <c r="J6" s="1293"/>
      <c r="K6" s="1293"/>
      <c r="L6" s="1294"/>
      <c r="M6" s="1293"/>
      <c r="N6" s="1293"/>
      <c r="O6" s="1293"/>
      <c r="P6" s="1295"/>
      <c r="Q6" s="1295"/>
      <c r="R6" s="1295"/>
      <c r="S6" s="156"/>
      <c r="T6" s="156"/>
      <c r="U6" s="156"/>
      <c r="V6" s="157"/>
      <c r="W6" s="156"/>
      <c r="X6" s="156"/>
    </row>
    <row r="7" spans="1:24" s="40" customFormat="1" ht="21.75" customHeight="1">
      <c r="A7" s="3798" t="s">
        <v>1327</v>
      </c>
      <c r="B7" s="3798"/>
      <c r="C7" s="3798"/>
      <c r="D7" s="3798"/>
      <c r="E7" s="3798"/>
      <c r="F7" s="3798"/>
      <c r="G7" s="3798"/>
      <c r="H7" s="3798"/>
      <c r="I7" s="3798"/>
      <c r="J7" s="3798"/>
      <c r="K7" s="3798"/>
      <c r="L7" s="3798"/>
      <c r="M7" s="3798"/>
      <c r="N7" s="3798"/>
      <c r="O7" s="3798"/>
      <c r="P7" s="3798"/>
      <c r="Q7" s="3798"/>
      <c r="R7" s="3798"/>
      <c r="S7" s="3798"/>
      <c r="T7" s="3798"/>
      <c r="U7" s="3798"/>
      <c r="V7" s="3798"/>
      <c r="W7" s="3798"/>
      <c r="X7" s="3798"/>
    </row>
    <row r="8" spans="1:24" s="40" customFormat="1" ht="28.5" customHeight="1">
      <c r="A8" s="3798"/>
      <c r="B8" s="3798"/>
      <c r="C8" s="3798"/>
      <c r="D8" s="3798"/>
      <c r="E8" s="3798"/>
      <c r="F8" s="3798"/>
      <c r="G8" s="3798"/>
      <c r="H8" s="3798"/>
      <c r="I8" s="3798"/>
      <c r="J8" s="3798"/>
      <c r="K8" s="3798"/>
      <c r="L8" s="3798"/>
      <c r="M8" s="3798"/>
      <c r="N8" s="3798"/>
      <c r="O8" s="3798"/>
      <c r="P8" s="3798"/>
      <c r="Q8" s="3798"/>
      <c r="R8" s="3798"/>
      <c r="S8" s="3798"/>
      <c r="T8" s="3798"/>
      <c r="U8" s="3798"/>
      <c r="V8" s="3798"/>
      <c r="W8" s="3798"/>
      <c r="X8" s="3798"/>
    </row>
    <row r="9" spans="1:24" ht="17.25" hidden="1" customHeight="1">
      <c r="A9" s="41"/>
      <c r="C9" s="1297" t="s">
        <v>871</v>
      </c>
      <c r="D9" s="3786">
        <f>+'Lương Tổng NT'!E6</f>
        <v>21555</v>
      </c>
      <c r="E9" s="3786"/>
      <c r="F9" s="3786"/>
      <c r="G9" s="1298"/>
      <c r="H9" s="1299"/>
      <c r="I9" s="1299"/>
      <c r="J9" s="1299"/>
      <c r="K9" s="1299"/>
      <c r="L9" s="1300"/>
      <c r="M9" s="1299"/>
      <c r="N9" s="1299"/>
      <c r="O9" s="1299"/>
      <c r="P9" s="1301"/>
      <c r="Q9" s="1301"/>
      <c r="R9" s="1301"/>
      <c r="V9" s="40"/>
    </row>
    <row r="10" spans="1:24" ht="17.25" hidden="1" customHeight="1">
      <c r="A10" s="41"/>
      <c r="B10" s="3787" t="s">
        <v>872</v>
      </c>
      <c r="C10" s="3787"/>
      <c r="D10" s="3788">
        <f>+'Lương Tổng NT'!E7</f>
        <v>0.98939999999999995</v>
      </c>
      <c r="E10" s="3788"/>
      <c r="F10" s="3788"/>
      <c r="G10" s="1298"/>
      <c r="H10" s="1299"/>
      <c r="I10" s="1299"/>
      <c r="J10" s="1299"/>
      <c r="K10" s="1299"/>
      <c r="L10" s="1300"/>
      <c r="M10" s="1299"/>
      <c r="N10" s="1299"/>
      <c r="O10" s="1299"/>
      <c r="P10" s="1301"/>
      <c r="Q10" s="1301"/>
      <c r="R10" s="1301"/>
      <c r="V10" s="40"/>
      <c r="W10" s="44"/>
    </row>
    <row r="11" spans="1:24" ht="17.25" hidden="1" customHeight="1">
      <c r="A11" s="43"/>
      <c r="B11" s="1380"/>
      <c r="C11" s="1482" t="s">
        <v>905</v>
      </c>
      <c r="D11" s="1381"/>
      <c r="E11" s="1381"/>
      <c r="F11" s="1448">
        <f>+'Lương Tổng NT'!E8</f>
        <v>670.65</v>
      </c>
      <c r="G11" s="1302"/>
      <c r="H11" s="1303"/>
      <c r="I11" s="1303"/>
      <c r="J11" s="1303"/>
      <c r="K11" s="1303"/>
      <c r="L11" s="1304"/>
      <c r="M11" s="1303"/>
      <c r="N11" s="1303"/>
      <c r="O11" s="1303"/>
      <c r="P11" s="1305"/>
      <c r="Q11" s="1305"/>
      <c r="R11" s="1305"/>
      <c r="S11" s="44"/>
      <c r="T11" s="44"/>
      <c r="U11" s="44"/>
      <c r="V11" s="1306"/>
    </row>
    <row r="12" spans="1:24" s="1356" customFormat="1" ht="17.25" customHeight="1">
      <c r="A12" s="3789" t="s">
        <v>1</v>
      </c>
      <c r="B12" s="3792" t="s">
        <v>20</v>
      </c>
      <c r="C12" s="3793"/>
      <c r="D12" s="3789" t="s">
        <v>830</v>
      </c>
      <c r="E12" s="3783" t="s">
        <v>26</v>
      </c>
      <c r="F12" s="3789" t="s">
        <v>873</v>
      </c>
      <c r="G12" s="3779" t="s">
        <v>27</v>
      </c>
      <c r="H12" s="3780"/>
      <c r="I12" s="3780"/>
      <c r="J12" s="3780"/>
      <c r="K12" s="3780"/>
      <c r="L12" s="3780"/>
      <c r="M12" s="3780"/>
      <c r="N12" s="3780"/>
      <c r="O12" s="3781"/>
      <c r="P12" s="3772" t="s">
        <v>874</v>
      </c>
      <c r="Q12" s="3772" t="s">
        <v>875</v>
      </c>
      <c r="R12" s="3772" t="s">
        <v>876</v>
      </c>
      <c r="S12" s="3772" t="s">
        <v>877</v>
      </c>
      <c r="T12" s="3772" t="s">
        <v>878</v>
      </c>
      <c r="U12" s="3772" t="s">
        <v>879</v>
      </c>
      <c r="V12" s="3738" t="s">
        <v>880</v>
      </c>
      <c r="W12" s="3773" t="s">
        <v>9</v>
      </c>
      <c r="X12" s="3776" t="s">
        <v>634</v>
      </c>
    </row>
    <row r="13" spans="1:24" s="1356" customFormat="1" ht="17.25" customHeight="1" outlineLevel="1">
      <c r="A13" s="3789"/>
      <c r="B13" s="3794"/>
      <c r="C13" s="3795"/>
      <c r="D13" s="3789"/>
      <c r="E13" s="3784"/>
      <c r="F13" s="3789"/>
      <c r="G13" s="3772" t="s">
        <v>1163</v>
      </c>
      <c r="H13" s="3772"/>
      <c r="I13" s="3783" t="s">
        <v>881</v>
      </c>
      <c r="J13" s="3783" t="s">
        <v>882</v>
      </c>
      <c r="K13" s="3783" t="s">
        <v>883</v>
      </c>
      <c r="L13" s="3735" t="s">
        <v>884</v>
      </c>
      <c r="M13" s="3738" t="s">
        <v>885</v>
      </c>
      <c r="N13" s="3738" t="s">
        <v>56</v>
      </c>
      <c r="O13" s="3738" t="s">
        <v>57</v>
      </c>
      <c r="P13" s="3772"/>
      <c r="Q13" s="3772"/>
      <c r="R13" s="3772"/>
      <c r="S13" s="3772"/>
      <c r="T13" s="3772"/>
      <c r="U13" s="3772"/>
      <c r="V13" s="3739"/>
      <c r="W13" s="3774"/>
      <c r="X13" s="3777"/>
    </row>
    <row r="14" spans="1:24" s="1356" customFormat="1" ht="17.25" customHeight="1" outlineLevel="1">
      <c r="A14" s="3789"/>
      <c r="B14" s="3794"/>
      <c r="C14" s="3795"/>
      <c r="D14" s="3789"/>
      <c r="E14" s="3784"/>
      <c r="F14" s="3789"/>
      <c r="G14" s="3772" t="s">
        <v>362</v>
      </c>
      <c r="H14" s="3772" t="s">
        <v>24</v>
      </c>
      <c r="I14" s="3784"/>
      <c r="J14" s="3784"/>
      <c r="K14" s="3784"/>
      <c r="L14" s="3736"/>
      <c r="M14" s="3739"/>
      <c r="N14" s="3739"/>
      <c r="O14" s="3739"/>
      <c r="P14" s="3772"/>
      <c r="Q14" s="3772"/>
      <c r="R14" s="3772"/>
      <c r="S14" s="3772"/>
      <c r="T14" s="3772"/>
      <c r="U14" s="3772"/>
      <c r="V14" s="3739"/>
      <c r="W14" s="3774"/>
      <c r="X14" s="3777"/>
    </row>
    <row r="15" spans="1:24" s="1357" customFormat="1" ht="41.25" customHeight="1" outlineLevel="1">
      <c r="A15" s="3790"/>
      <c r="B15" s="3796"/>
      <c r="C15" s="3797"/>
      <c r="D15" s="3789"/>
      <c r="E15" s="3791"/>
      <c r="F15" s="3790"/>
      <c r="G15" s="3772"/>
      <c r="H15" s="3772"/>
      <c r="I15" s="3785"/>
      <c r="J15" s="3785"/>
      <c r="K15" s="3785"/>
      <c r="L15" s="3737"/>
      <c r="M15" s="3740"/>
      <c r="N15" s="3740"/>
      <c r="O15" s="3740"/>
      <c r="P15" s="3772"/>
      <c r="Q15" s="3772"/>
      <c r="R15" s="3772"/>
      <c r="S15" s="3782"/>
      <c r="T15" s="3772"/>
      <c r="U15" s="3772"/>
      <c r="V15" s="3740"/>
      <c r="W15" s="3775"/>
      <c r="X15" s="3778"/>
    </row>
    <row r="16" spans="1:24" s="123" customFormat="1" ht="26.25" customHeight="1" outlineLevel="1">
      <c r="A16" s="1307" t="s">
        <v>147</v>
      </c>
      <c r="B16" s="1307"/>
      <c r="C16" s="3760" t="s">
        <v>886</v>
      </c>
      <c r="D16" s="3761"/>
      <c r="E16" s="3762"/>
      <c r="F16" s="1367">
        <v>4</v>
      </c>
      <c r="G16" s="1373">
        <f>10400000/25000</f>
        <v>416</v>
      </c>
      <c r="H16" s="1373">
        <f>G16*25000</f>
        <v>10400000</v>
      </c>
      <c r="I16" s="1373"/>
      <c r="J16" s="1373"/>
      <c r="K16" s="1373"/>
      <c r="L16" s="1373">
        <f>+H16</f>
        <v>10400000</v>
      </c>
      <c r="M16" s="1373"/>
      <c r="N16" s="1373"/>
      <c r="O16" s="1373"/>
      <c r="P16" s="1373">
        <f>+L16</f>
        <v>10400000</v>
      </c>
      <c r="Q16" s="1373"/>
      <c r="R16" s="1373"/>
      <c r="S16" s="1373">
        <f t="shared" ref="S16" si="0">P16-Q16</f>
        <v>10400000</v>
      </c>
      <c r="T16" s="1373"/>
      <c r="U16" s="1373"/>
      <c r="V16" s="1373">
        <f>S16</f>
        <v>10400000</v>
      </c>
      <c r="W16" s="1212"/>
      <c r="X16" s="1483"/>
    </row>
    <row r="17" spans="1:27" s="1358" customFormat="1" ht="26.25" customHeight="1" outlineLevel="1">
      <c r="A17" s="1309" t="s">
        <v>148</v>
      </c>
      <c r="B17" s="1310"/>
      <c r="C17" s="3763" t="s">
        <v>887</v>
      </c>
      <c r="D17" s="3763"/>
      <c r="E17" s="3763"/>
      <c r="F17" s="1369">
        <f>+F21+F18+F23</f>
        <v>54</v>
      </c>
      <c r="G17" s="1369">
        <f t="shared" ref="G17:W17" si="1">+G21+G18+G23</f>
        <v>0</v>
      </c>
      <c r="H17" s="1373">
        <f>H18+H21+H23</f>
        <v>0</v>
      </c>
      <c r="I17" s="1373">
        <f t="shared" ref="I17:U17" si="2">I18+I21+I23</f>
        <v>0</v>
      </c>
      <c r="J17" s="1373">
        <f t="shared" si="2"/>
        <v>0</v>
      </c>
      <c r="K17" s="1373">
        <f t="shared" si="2"/>
        <v>0</v>
      </c>
      <c r="L17" s="1373">
        <f t="shared" si="2"/>
        <v>0</v>
      </c>
      <c r="M17" s="1373">
        <f t="shared" si="2"/>
        <v>0</v>
      </c>
      <c r="N17" s="1373" t="e">
        <f t="shared" si="2"/>
        <v>#REF!</v>
      </c>
      <c r="O17" s="1373" t="e">
        <f t="shared" si="2"/>
        <v>#REF!</v>
      </c>
      <c r="P17" s="1373" t="e">
        <f t="shared" si="2"/>
        <v>#REF!</v>
      </c>
      <c r="Q17" s="1373">
        <f t="shared" si="2"/>
        <v>0</v>
      </c>
      <c r="R17" s="1373">
        <f t="shared" si="2"/>
        <v>0</v>
      </c>
      <c r="S17" s="1373" t="e">
        <f t="shared" si="2"/>
        <v>#REF!</v>
      </c>
      <c r="T17" s="1373">
        <f t="shared" si="2"/>
        <v>0</v>
      </c>
      <c r="U17" s="1373">
        <f t="shared" si="2"/>
        <v>0</v>
      </c>
      <c r="V17" s="1373" t="e">
        <f t="shared" ref="V17:V29" si="3">S17</f>
        <v>#REF!</v>
      </c>
      <c r="W17" s="1369">
        <f t="shared" si="1"/>
        <v>0</v>
      </c>
      <c r="X17" s="1483"/>
      <c r="Y17" s="123"/>
      <c r="Z17" s="1359"/>
    </row>
    <row r="18" spans="1:27" s="123" customFormat="1" ht="21.75" customHeight="1" outlineLevel="1">
      <c r="A18" s="1315">
        <v>1</v>
      </c>
      <c r="B18" s="1316"/>
      <c r="C18" s="1366" t="s">
        <v>321</v>
      </c>
      <c r="D18" s="1316"/>
      <c r="E18" s="1316"/>
      <c r="F18" s="1367">
        <v>32</v>
      </c>
      <c r="G18" s="1612">
        <f t="shared" ref="G18:U18" si="4">+G19</f>
        <v>0</v>
      </c>
      <c r="H18" s="1373">
        <f t="shared" ref="H18:H29" si="5">G18*25000</f>
        <v>0</v>
      </c>
      <c r="I18" s="1376">
        <f t="shared" si="4"/>
        <v>0</v>
      </c>
      <c r="J18" s="1376">
        <f t="shared" si="4"/>
        <v>0</v>
      </c>
      <c r="K18" s="1376">
        <f t="shared" si="4"/>
        <v>0</v>
      </c>
      <c r="L18" s="1376">
        <f t="shared" si="4"/>
        <v>0</v>
      </c>
      <c r="M18" s="1376">
        <f t="shared" si="4"/>
        <v>0</v>
      </c>
      <c r="N18" s="1376">
        <f>+'Tổ 1'!K53</f>
        <v>139328159.60353053</v>
      </c>
      <c r="O18" s="1376">
        <f>+'Tổ 1'!L53</f>
        <v>959</v>
      </c>
      <c r="P18" s="1376">
        <f>+'Tổ 1'!M53</f>
        <v>139329118.60353053</v>
      </c>
      <c r="Q18" s="1376">
        <f t="shared" si="4"/>
        <v>0</v>
      </c>
      <c r="R18" s="1376">
        <f t="shared" si="4"/>
        <v>0</v>
      </c>
      <c r="S18" s="1376">
        <f>+'Tổ 1'!O53</f>
        <v>139329118.60353053</v>
      </c>
      <c r="T18" s="1376">
        <f t="shared" si="4"/>
        <v>0</v>
      </c>
      <c r="U18" s="1376">
        <f t="shared" si="4"/>
        <v>0</v>
      </c>
      <c r="V18" s="1373">
        <f t="shared" si="3"/>
        <v>139329118.60353053</v>
      </c>
      <c r="W18" s="1212"/>
      <c r="X18" s="1483"/>
      <c r="Z18" s="1360"/>
    </row>
    <row r="19" spans="1:27" s="123" customFormat="1" ht="26.25" customHeight="1" outlineLevel="2">
      <c r="A19" s="1312" t="s">
        <v>837</v>
      </c>
      <c r="B19" s="1317"/>
      <c r="C19" s="1318" t="s">
        <v>888</v>
      </c>
      <c r="D19" s="1313"/>
      <c r="E19" s="1314"/>
      <c r="F19" s="1371">
        <v>32</v>
      </c>
      <c r="G19" s="1861">
        <f>'Tổ 1'!H53</f>
        <v>0</v>
      </c>
      <c r="H19" s="1373">
        <f t="shared" si="5"/>
        <v>0</v>
      </c>
      <c r="I19" s="1375"/>
      <c r="J19" s="1375"/>
      <c r="K19" s="1375"/>
      <c r="L19" s="1375">
        <f>+H19</f>
        <v>0</v>
      </c>
      <c r="M19" s="1375"/>
      <c r="N19" s="1375">
        <f>'1'!L51</f>
        <v>139328159.60353053</v>
      </c>
      <c r="O19" s="1375">
        <f>'1'!S51</f>
        <v>73110091.200000018</v>
      </c>
      <c r="P19" s="1375">
        <f>O19+L19+N19</f>
        <v>212438250.80353054</v>
      </c>
      <c r="Q19" s="1375"/>
      <c r="R19" s="1375"/>
      <c r="S19" s="1375">
        <f>+P19</f>
        <v>212438250.80353054</v>
      </c>
      <c r="T19" s="1375"/>
      <c r="U19" s="1375"/>
      <c r="V19" s="1373">
        <f t="shared" si="3"/>
        <v>212438250.80353054</v>
      </c>
      <c r="W19" s="1484"/>
      <c r="X19" s="1308"/>
      <c r="Z19" s="1338"/>
    </row>
    <row r="20" spans="1:27" s="123" customFormat="1" ht="26.25" customHeight="1" outlineLevel="2">
      <c r="A20" s="1312" t="s">
        <v>838</v>
      </c>
      <c r="B20" s="1317"/>
      <c r="C20" s="1515" t="s">
        <v>934</v>
      </c>
      <c r="D20" s="1313"/>
      <c r="E20" s="1314"/>
      <c r="F20" s="1970"/>
      <c r="G20" s="1971">
        <f>'Tổ 1'!H52</f>
        <v>0</v>
      </c>
      <c r="H20" s="1373">
        <f t="shared" si="5"/>
        <v>0</v>
      </c>
      <c r="I20" s="1508"/>
      <c r="J20" s="1508"/>
      <c r="K20" s="1508"/>
      <c r="L20" s="1508">
        <f>+H20</f>
        <v>0</v>
      </c>
      <c r="M20" s="1508"/>
      <c r="N20" s="1508"/>
      <c r="O20" s="1508"/>
      <c r="P20" s="1508">
        <f>O20+L20+N20</f>
        <v>0</v>
      </c>
      <c r="Q20" s="1508"/>
      <c r="R20" s="1508"/>
      <c r="S20" s="1508">
        <f>+P20</f>
        <v>0</v>
      </c>
      <c r="T20" s="1508"/>
      <c r="U20" s="1508"/>
      <c r="V20" s="1373">
        <f t="shared" si="3"/>
        <v>0</v>
      </c>
      <c r="W20" s="1484"/>
      <c r="X20" s="1308"/>
      <c r="Z20" s="1338"/>
    </row>
    <row r="21" spans="1:27" s="123" customFormat="1" ht="18.75" customHeight="1" outlineLevel="2">
      <c r="A21" s="1319">
        <v>2</v>
      </c>
      <c r="B21" s="1320"/>
      <c r="C21" s="1502" t="s">
        <v>322</v>
      </c>
      <c r="D21" s="1503"/>
      <c r="E21" s="1504"/>
      <c r="F21" s="1498">
        <f>+F22</f>
        <v>15</v>
      </c>
      <c r="G21" s="1614">
        <f t="shared" ref="G21:U21" si="6">+G22</f>
        <v>0</v>
      </c>
      <c r="H21" s="1373">
        <f t="shared" si="5"/>
        <v>0</v>
      </c>
      <c r="I21" s="1373">
        <f t="shared" si="6"/>
        <v>0</v>
      </c>
      <c r="J21" s="1373">
        <f t="shared" si="6"/>
        <v>0</v>
      </c>
      <c r="K21" s="1373">
        <f t="shared" si="6"/>
        <v>0</v>
      </c>
      <c r="L21" s="1373">
        <f t="shared" si="6"/>
        <v>0</v>
      </c>
      <c r="M21" s="1373">
        <f t="shared" si="6"/>
        <v>0</v>
      </c>
      <c r="N21" s="1373" t="e">
        <f t="shared" si="6"/>
        <v>#REF!</v>
      </c>
      <c r="O21" s="1373" t="e">
        <f t="shared" si="6"/>
        <v>#REF!</v>
      </c>
      <c r="P21" s="1373">
        <f t="shared" si="6"/>
        <v>61486596.903489992</v>
      </c>
      <c r="Q21" s="1373">
        <f t="shared" si="6"/>
        <v>0</v>
      </c>
      <c r="R21" s="1373">
        <f t="shared" si="6"/>
        <v>0</v>
      </c>
      <c r="S21" s="1373">
        <f t="shared" si="6"/>
        <v>61486596.903489992</v>
      </c>
      <c r="T21" s="1373">
        <f t="shared" si="6"/>
        <v>0</v>
      </c>
      <c r="U21" s="1373">
        <f t="shared" si="6"/>
        <v>0</v>
      </c>
      <c r="V21" s="1373">
        <f t="shared" si="3"/>
        <v>61486596.903489992</v>
      </c>
      <c r="W21" s="1485"/>
      <c r="X21" s="1505"/>
      <c r="Z21" s="1338"/>
    </row>
    <row r="22" spans="1:27" s="123" customFormat="1" ht="26.25" customHeight="1" outlineLevel="2">
      <c r="A22" s="1321" t="s">
        <v>893</v>
      </c>
      <c r="B22" s="1322"/>
      <c r="C22" s="1318" t="s">
        <v>888</v>
      </c>
      <c r="D22" s="1323"/>
      <c r="E22" s="1324"/>
      <c r="F22" s="1372">
        <v>15</v>
      </c>
      <c r="G22" s="1613">
        <f>+'Tổ 2'!H30</f>
        <v>0</v>
      </c>
      <c r="H22" s="1373">
        <f t="shared" si="5"/>
        <v>0</v>
      </c>
      <c r="I22" s="1377"/>
      <c r="J22" s="1377"/>
      <c r="K22" s="1377"/>
      <c r="L22" s="1377">
        <f>+H22</f>
        <v>0</v>
      </c>
      <c r="M22" s="1377"/>
      <c r="N22" s="1377" t="e">
        <f>#REF!</f>
        <v>#REF!</v>
      </c>
      <c r="O22" s="1377" t="e">
        <f>#REF!</f>
        <v>#REF!</v>
      </c>
      <c r="P22" s="1377">
        <f>+'Tổ 2'!M30</f>
        <v>61486596.903489992</v>
      </c>
      <c r="Q22" s="1377"/>
      <c r="R22" s="1377"/>
      <c r="S22" s="1486">
        <f>+P22</f>
        <v>61486596.903489992</v>
      </c>
      <c r="T22" s="1377"/>
      <c r="U22" s="1377"/>
      <c r="V22" s="1373">
        <f t="shared" si="3"/>
        <v>61486596.903489992</v>
      </c>
      <c r="W22" s="1216"/>
      <c r="X22" s="1506"/>
      <c r="Z22" s="1338"/>
    </row>
    <row r="23" spans="1:27" s="123" customFormat="1" ht="25.5" customHeight="1" outlineLevel="1">
      <c r="A23" s="1315">
        <v>3</v>
      </c>
      <c r="B23" s="1316"/>
      <c r="C23" s="1366" t="s">
        <v>371</v>
      </c>
      <c r="D23" s="1366"/>
      <c r="E23" s="1366"/>
      <c r="F23" s="1367">
        <v>7</v>
      </c>
      <c r="G23" s="1612">
        <f t="shared" ref="G23:U23" si="7">+G24</f>
        <v>0</v>
      </c>
      <c r="H23" s="1373">
        <f t="shared" si="5"/>
        <v>0</v>
      </c>
      <c r="I23" s="1373">
        <f t="shared" si="7"/>
        <v>0</v>
      </c>
      <c r="J23" s="1373">
        <f t="shared" si="7"/>
        <v>0</v>
      </c>
      <c r="K23" s="1373">
        <f t="shared" si="7"/>
        <v>0</v>
      </c>
      <c r="L23" s="1373">
        <f t="shared" si="7"/>
        <v>0</v>
      </c>
      <c r="M23" s="1376">
        <f t="shared" si="7"/>
        <v>0</v>
      </c>
      <c r="N23" s="1376" t="e">
        <f t="shared" si="7"/>
        <v>#REF!</v>
      </c>
      <c r="O23" s="1376" t="e">
        <f t="shared" si="7"/>
        <v>#REF!</v>
      </c>
      <c r="P23" s="1376" t="e">
        <f t="shared" si="7"/>
        <v>#REF!</v>
      </c>
      <c r="Q23" s="1376">
        <f t="shared" si="7"/>
        <v>0</v>
      </c>
      <c r="R23" s="1376">
        <f t="shared" si="7"/>
        <v>0</v>
      </c>
      <c r="S23" s="1376" t="e">
        <f t="shared" si="7"/>
        <v>#REF!</v>
      </c>
      <c r="T23" s="1376">
        <f t="shared" si="7"/>
        <v>0</v>
      </c>
      <c r="U23" s="1376">
        <f t="shared" si="7"/>
        <v>0</v>
      </c>
      <c r="V23" s="1373" t="e">
        <f t="shared" si="3"/>
        <v>#REF!</v>
      </c>
      <c r="W23" s="1212"/>
      <c r="X23" s="1483"/>
      <c r="Y23" s="123">
        <f>+[5]VCKD!AD163</f>
        <v>104551558</v>
      </c>
      <c r="Z23" s="1361" t="e">
        <f>+Y23-V23</f>
        <v>#REF!</v>
      </c>
    </row>
    <row r="24" spans="1:27" s="123" customFormat="1" ht="26.25" customHeight="1" outlineLevel="2">
      <c r="A24" s="1487" t="s">
        <v>889</v>
      </c>
      <c r="B24" s="1507"/>
      <c r="C24" s="1318" t="s">
        <v>888</v>
      </c>
      <c r="D24" s="1318"/>
      <c r="E24" s="1321"/>
      <c r="F24" s="1488">
        <v>7</v>
      </c>
      <c r="G24" s="1613">
        <f>+'Tổ 3'!H24</f>
        <v>0</v>
      </c>
      <c r="H24" s="1373">
        <f t="shared" si="5"/>
        <v>0</v>
      </c>
      <c r="I24" s="1508"/>
      <c r="J24" s="1508"/>
      <c r="K24" s="1508"/>
      <c r="L24" s="1508">
        <f>+H24</f>
        <v>0</v>
      </c>
      <c r="M24" s="1489"/>
      <c r="N24" s="1377" t="e">
        <f>'3'!#REF!</f>
        <v>#REF!</v>
      </c>
      <c r="O24" s="1377" t="e">
        <f>'3'!#REF!</f>
        <v>#REF!</v>
      </c>
      <c r="P24" s="1377" t="e">
        <f>+L24+N24+O24</f>
        <v>#REF!</v>
      </c>
      <c r="Q24" s="1377"/>
      <c r="R24" s="1377"/>
      <c r="S24" s="1377" t="e">
        <f>+P24</f>
        <v>#REF!</v>
      </c>
      <c r="T24" s="1377"/>
      <c r="U24" s="1377"/>
      <c r="V24" s="1373" t="e">
        <f t="shared" si="3"/>
        <v>#REF!</v>
      </c>
      <c r="W24" s="1490"/>
      <c r="X24" s="1506"/>
    </row>
    <row r="25" spans="1:27" s="1481" customFormat="1" ht="26.25" hidden="1" customHeight="1" outlineLevel="2">
      <c r="A25" s="1487" t="s">
        <v>970</v>
      </c>
      <c r="B25" s="1509"/>
      <c r="C25" s="1510" t="s">
        <v>930</v>
      </c>
      <c r="D25" s="1511"/>
      <c r="E25" s="1512"/>
      <c r="F25" s="1513"/>
      <c r="G25" s="1494">
        <f>+G26</f>
        <v>0</v>
      </c>
      <c r="H25" s="1373">
        <f t="shared" si="5"/>
        <v>0</v>
      </c>
      <c r="I25" s="1508">
        <f t="shared" ref="I25:U25" si="8">+I26</f>
        <v>0</v>
      </c>
      <c r="J25" s="1508">
        <f t="shared" si="8"/>
        <v>0</v>
      </c>
      <c r="K25" s="1508">
        <f t="shared" si="8"/>
        <v>0</v>
      </c>
      <c r="L25" s="1508">
        <f t="shared" ref="L25:L27" si="9">+H25</f>
        <v>0</v>
      </c>
      <c r="M25" s="1494">
        <f t="shared" si="8"/>
        <v>0</v>
      </c>
      <c r="N25" s="1494">
        <f t="shared" si="8"/>
        <v>0</v>
      </c>
      <c r="O25" s="1494">
        <f t="shared" si="8"/>
        <v>0</v>
      </c>
      <c r="P25" s="1377">
        <f t="shared" ref="P25:P27" si="10">+L25+N25+O25</f>
        <v>0</v>
      </c>
      <c r="Q25" s="1494">
        <f t="shared" si="8"/>
        <v>0</v>
      </c>
      <c r="R25" s="1494">
        <f t="shared" si="8"/>
        <v>0</v>
      </c>
      <c r="S25" s="1377">
        <f t="shared" ref="S25:S27" si="11">+P25</f>
        <v>0</v>
      </c>
      <c r="T25" s="1494">
        <f t="shared" si="8"/>
        <v>0</v>
      </c>
      <c r="U25" s="1494">
        <f t="shared" si="8"/>
        <v>0</v>
      </c>
      <c r="V25" s="1373">
        <f t="shared" si="3"/>
        <v>0</v>
      </c>
      <c r="W25" s="1495"/>
      <c r="X25" s="1514"/>
    </row>
    <row r="26" spans="1:27" s="123" customFormat="1" ht="26.25" hidden="1" customHeight="1" outlineLevel="2">
      <c r="A26" s="1487" t="s">
        <v>1079</v>
      </c>
      <c r="B26" s="1509"/>
      <c r="C26" s="1515" t="s">
        <v>934</v>
      </c>
      <c r="D26" s="1491"/>
      <c r="E26" s="1516"/>
      <c r="F26" s="1492"/>
      <c r="G26" s="1493">
        <v>0</v>
      </c>
      <c r="H26" s="1373">
        <f t="shared" si="5"/>
        <v>0</v>
      </c>
      <c r="I26" s="1508"/>
      <c r="J26" s="1508"/>
      <c r="K26" s="1508"/>
      <c r="L26" s="1508">
        <f t="shared" si="9"/>
        <v>0</v>
      </c>
      <c r="M26" s="1494"/>
      <c r="N26" s="1493"/>
      <c r="O26" s="1493"/>
      <c r="P26" s="1377">
        <f t="shared" si="10"/>
        <v>0</v>
      </c>
      <c r="Q26" s="1493"/>
      <c r="R26" s="1493"/>
      <c r="S26" s="1377">
        <f t="shared" si="11"/>
        <v>0</v>
      </c>
      <c r="T26" s="1493"/>
      <c r="U26" s="1493"/>
      <c r="V26" s="1373">
        <f t="shared" si="3"/>
        <v>0</v>
      </c>
      <c r="W26" s="1495"/>
      <c r="X26" s="1517"/>
    </row>
    <row r="27" spans="1:27" s="123" customFormat="1" ht="26.25" customHeight="1" outlineLevel="2">
      <c r="A27" s="1487" t="s">
        <v>970</v>
      </c>
      <c r="B27" s="1509"/>
      <c r="C27" s="1515" t="s">
        <v>934</v>
      </c>
      <c r="D27" s="1491"/>
      <c r="E27" s="1516"/>
      <c r="F27" s="1492"/>
      <c r="G27" s="1493">
        <f>'Tổ 3'!H24</f>
        <v>0</v>
      </c>
      <c r="H27" s="1373">
        <f t="shared" si="5"/>
        <v>0</v>
      </c>
      <c r="I27" s="1508"/>
      <c r="J27" s="1508"/>
      <c r="K27" s="1508"/>
      <c r="L27" s="1508">
        <f t="shared" si="9"/>
        <v>0</v>
      </c>
      <c r="M27" s="1494"/>
      <c r="N27" s="1493"/>
      <c r="O27" s="1493"/>
      <c r="P27" s="1377">
        <f t="shared" si="10"/>
        <v>0</v>
      </c>
      <c r="Q27" s="1493"/>
      <c r="R27" s="1493"/>
      <c r="S27" s="1377">
        <f t="shared" si="11"/>
        <v>0</v>
      </c>
      <c r="T27" s="1493"/>
      <c r="U27" s="1493"/>
      <c r="V27" s="1373">
        <f t="shared" si="3"/>
        <v>0</v>
      </c>
      <c r="W27" s="1495"/>
      <c r="X27" s="1517"/>
      <c r="Y27" s="123">
        <f>1700000/25000</f>
        <v>68</v>
      </c>
    </row>
    <row r="28" spans="1:27" s="123" customFormat="1" ht="26.25" customHeight="1" outlineLevel="1">
      <c r="A28" s="1496" t="s">
        <v>933</v>
      </c>
      <c r="B28" s="1497"/>
      <c r="C28" s="3768" t="s">
        <v>870</v>
      </c>
      <c r="D28" s="3769"/>
      <c r="E28" s="3770"/>
      <c r="F28" s="1498">
        <f>+F29</f>
        <v>1</v>
      </c>
      <c r="G28" s="1494">
        <f t="shared" ref="G28:U28" si="12">+G29</f>
        <v>68</v>
      </c>
      <c r="H28" s="1373">
        <f t="shared" si="5"/>
        <v>1700000</v>
      </c>
      <c r="I28" s="1373">
        <f t="shared" si="12"/>
        <v>0</v>
      </c>
      <c r="J28" s="1373">
        <f t="shared" si="12"/>
        <v>0</v>
      </c>
      <c r="K28" s="1373">
        <f t="shared" si="12"/>
        <v>0</v>
      </c>
      <c r="L28" s="1373">
        <f t="shared" si="12"/>
        <v>1700000</v>
      </c>
      <c r="M28" s="1373">
        <f t="shared" si="12"/>
        <v>0</v>
      </c>
      <c r="N28" s="1373">
        <f t="shared" si="12"/>
        <v>0</v>
      </c>
      <c r="O28" s="1373">
        <f t="shared" si="12"/>
        <v>0</v>
      </c>
      <c r="P28" s="1373">
        <f t="shared" si="12"/>
        <v>1700000</v>
      </c>
      <c r="Q28" s="1373">
        <f t="shared" si="12"/>
        <v>0</v>
      </c>
      <c r="R28" s="1373">
        <f t="shared" si="12"/>
        <v>0</v>
      </c>
      <c r="S28" s="1373">
        <f t="shared" si="12"/>
        <v>1700000</v>
      </c>
      <c r="T28" s="1373">
        <f t="shared" si="12"/>
        <v>0</v>
      </c>
      <c r="U28" s="1373">
        <f t="shared" si="12"/>
        <v>0</v>
      </c>
      <c r="V28" s="1373">
        <f t="shared" si="3"/>
        <v>1700000</v>
      </c>
      <c r="W28" s="1212">
        <f>+SUM(W29:W29)</f>
        <v>0</v>
      </c>
      <c r="X28" s="1483"/>
      <c r="Z28" s="1363">
        <f>+'[5]TRạm Cán'!V26</f>
        <v>28133235</v>
      </c>
      <c r="AA28" s="1360">
        <f>+Z28-V28</f>
        <v>26433235</v>
      </c>
    </row>
    <row r="29" spans="1:27" s="123" customFormat="1" ht="26.25" customHeight="1" outlineLevel="1">
      <c r="A29" s="1325">
        <v>1</v>
      </c>
      <c r="B29" s="1326"/>
      <c r="C29" s="1368" t="s">
        <v>654</v>
      </c>
      <c r="D29" s="1328"/>
      <c r="E29" s="1327"/>
      <c r="F29" s="1370">
        <v>1</v>
      </c>
      <c r="G29" s="1493">
        <v>68</v>
      </c>
      <c r="H29" s="1373">
        <f t="shared" si="5"/>
        <v>1700000</v>
      </c>
      <c r="I29" s="1508"/>
      <c r="J29" s="1508"/>
      <c r="K29" s="1508"/>
      <c r="L29" s="1508">
        <f>+H29</f>
        <v>1700000</v>
      </c>
      <c r="M29" s="1374"/>
      <c r="N29" s="1374"/>
      <c r="O29" s="1374"/>
      <c r="P29" s="1374">
        <f>+L29</f>
        <v>1700000</v>
      </c>
      <c r="Q29" s="1374"/>
      <c r="R29" s="1374"/>
      <c r="S29" s="1374">
        <f>+P29</f>
        <v>1700000</v>
      </c>
      <c r="T29" s="1374"/>
      <c r="U29" s="1374"/>
      <c r="V29" s="1373">
        <f t="shared" si="3"/>
        <v>1700000</v>
      </c>
      <c r="W29" s="1329"/>
      <c r="X29" s="1330"/>
      <c r="Z29" s="1363"/>
      <c r="AA29" s="1360"/>
    </row>
    <row r="30" spans="1:27" s="123" customFormat="1" ht="21.75" customHeight="1">
      <c r="A30" s="3764" t="s">
        <v>890</v>
      </c>
      <c r="B30" s="3765"/>
      <c r="C30" s="3765"/>
      <c r="D30" s="3765"/>
      <c r="E30" s="3765"/>
      <c r="F30" s="1499">
        <f>+F28+F17+F16</f>
        <v>59</v>
      </c>
      <c r="G30" s="1500">
        <f t="shared" ref="G30:V30" si="13">+G28+G17+G16+G25</f>
        <v>484</v>
      </c>
      <c r="H30" s="1373">
        <f>+H28+H17+H16+H25</f>
        <v>12100000</v>
      </c>
      <c r="I30" s="1373">
        <f t="shared" si="13"/>
        <v>0</v>
      </c>
      <c r="J30" s="1373">
        <f t="shared" si="13"/>
        <v>0</v>
      </c>
      <c r="K30" s="1373">
        <f t="shared" si="13"/>
        <v>0</v>
      </c>
      <c r="L30" s="1373">
        <f t="shared" si="13"/>
        <v>12100000</v>
      </c>
      <c r="M30" s="1500">
        <f t="shared" si="13"/>
        <v>0</v>
      </c>
      <c r="N30" s="1500" t="e">
        <f t="shared" si="13"/>
        <v>#REF!</v>
      </c>
      <c r="O30" s="1500" t="e">
        <f t="shared" si="13"/>
        <v>#REF!</v>
      </c>
      <c r="P30" s="1500" t="e">
        <f t="shared" si="13"/>
        <v>#REF!</v>
      </c>
      <c r="Q30" s="1500">
        <f t="shared" si="13"/>
        <v>0</v>
      </c>
      <c r="R30" s="1500">
        <f t="shared" si="13"/>
        <v>0</v>
      </c>
      <c r="S30" s="1500" t="e">
        <f t="shared" si="13"/>
        <v>#REF!</v>
      </c>
      <c r="T30" s="1500">
        <f t="shared" si="13"/>
        <v>0</v>
      </c>
      <c r="U30" s="1500">
        <f t="shared" si="13"/>
        <v>0</v>
      </c>
      <c r="V30" s="1500" t="e">
        <f t="shared" si="13"/>
        <v>#REF!</v>
      </c>
      <c r="W30" s="1501"/>
      <c r="X30" s="1483"/>
    </row>
    <row r="31" spans="1:27" s="1362" customFormat="1" ht="24.6" customHeight="1">
      <c r="A31" s="3766" t="s">
        <v>1164</v>
      </c>
      <c r="B31" s="3766"/>
      <c r="C31" s="3766"/>
      <c r="D31" s="3766"/>
      <c r="E31" s="3766"/>
      <c r="F31" s="3766"/>
      <c r="G31" s="3766"/>
      <c r="H31" s="3766"/>
      <c r="I31" s="3766"/>
      <c r="J31" s="3766"/>
      <c r="K31" s="3766"/>
      <c r="L31" s="3766"/>
      <c r="M31" s="3766"/>
      <c r="N31" s="3766"/>
      <c r="O31" s="3766"/>
      <c r="P31" s="3766"/>
      <c r="Q31" s="3766"/>
      <c r="R31" s="3766"/>
      <c r="S31" s="3766"/>
      <c r="T31" s="3766"/>
      <c r="U31" s="3766"/>
      <c r="V31" s="3766"/>
      <c r="W31" s="3766"/>
      <c r="X31" s="3766"/>
      <c r="Y31" s="1364"/>
    </row>
    <row r="32" spans="1:27" s="123" customFormat="1" ht="24.6" customHeight="1">
      <c r="A32" s="1331"/>
      <c r="B32" s="1296"/>
      <c r="C32" s="42"/>
      <c r="D32" s="165"/>
      <c r="E32" s="41"/>
      <c r="F32" s="41"/>
      <c r="G32" s="217"/>
      <c r="H32" s="3767"/>
      <c r="I32" s="3767"/>
      <c r="J32" s="3767"/>
      <c r="K32" s="3767"/>
      <c r="L32" s="3767"/>
      <c r="M32" s="58"/>
      <c r="N32" s="58"/>
      <c r="O32" s="58"/>
      <c r="P32" s="58"/>
      <c r="Q32" s="3771" t="s">
        <v>1324</v>
      </c>
      <c r="R32" s="3771"/>
      <c r="S32" s="3771"/>
      <c r="T32" s="3771"/>
      <c r="U32" s="3771"/>
      <c r="V32" s="3771"/>
      <c r="W32" s="3771"/>
      <c r="X32" s="3771"/>
      <c r="Y32" s="214"/>
    </row>
    <row r="33" spans="1:27" s="801" customFormat="1" ht="24.6" customHeight="1">
      <c r="A33" s="1332"/>
      <c r="B33" s="3750" t="s">
        <v>891</v>
      </c>
      <c r="C33" s="3750"/>
      <c r="D33" s="3750"/>
      <c r="E33" s="3750"/>
      <c r="F33" s="3750"/>
      <c r="G33" s="3750"/>
      <c r="H33" s="3750"/>
      <c r="I33" s="3750"/>
      <c r="J33" s="3750"/>
      <c r="K33" s="3750"/>
      <c r="L33" s="3750"/>
      <c r="M33" s="3750"/>
      <c r="N33" s="3750"/>
      <c r="O33" s="1333"/>
      <c r="Q33" s="1333"/>
      <c r="R33" s="1333"/>
      <c r="S33" s="3750" t="s">
        <v>1107</v>
      </c>
      <c r="T33" s="3750"/>
      <c r="U33" s="3750"/>
      <c r="V33" s="3750"/>
      <c r="W33" s="3750"/>
      <c r="X33" s="3750"/>
      <c r="Y33" s="1365"/>
    </row>
    <row r="34" spans="1:27" s="123" customFormat="1" ht="24.6" customHeight="1">
      <c r="A34" s="1334"/>
      <c r="B34" s="1296"/>
      <c r="C34" s="58"/>
      <c r="D34" s="165"/>
      <c r="E34" s="41"/>
      <c r="F34" s="41"/>
      <c r="G34" s="217"/>
      <c r="H34" s="42"/>
      <c r="I34" s="42"/>
      <c r="J34" s="42"/>
      <c r="K34" s="42"/>
      <c r="L34" s="1335"/>
      <c r="M34" s="42"/>
      <c r="N34" s="42"/>
      <c r="O34" s="42"/>
      <c r="P34" s="1336"/>
      <c r="Q34" s="58"/>
      <c r="R34" s="42"/>
      <c r="S34" s="58"/>
      <c r="T34" s="42"/>
      <c r="U34" s="42"/>
      <c r="V34" s="42"/>
      <c r="W34" s="1337"/>
      <c r="X34" s="1338"/>
      <c r="AA34" s="123">
        <v>112</v>
      </c>
    </row>
    <row r="35" spans="1:27" s="123" customFormat="1" ht="24.6" customHeight="1">
      <c r="A35" s="1339"/>
      <c r="B35" s="1296"/>
      <c r="C35" s="58"/>
      <c r="D35" s="165"/>
      <c r="E35" s="41"/>
      <c r="F35" s="41"/>
      <c r="G35" s="1160"/>
      <c r="H35" s="1335"/>
      <c r="I35" s="42"/>
      <c r="J35" s="42"/>
      <c r="K35" s="42"/>
      <c r="L35" s="1335"/>
      <c r="M35" s="42"/>
      <c r="N35" s="1335"/>
      <c r="O35" s="1335"/>
      <c r="P35" s="1335"/>
      <c r="Q35" s="42"/>
      <c r="R35" s="42"/>
      <c r="S35" s="3759"/>
      <c r="T35" s="3759"/>
      <c r="U35" s="42"/>
      <c r="V35" s="42"/>
      <c r="W35" s="1337"/>
    </row>
    <row r="36" spans="1:27" s="123" customFormat="1" ht="24.6" customHeight="1">
      <c r="A36" s="1334"/>
      <c r="B36" s="1296"/>
      <c r="C36" s="58"/>
      <c r="D36" s="165"/>
      <c r="E36" s="41"/>
      <c r="F36" s="41"/>
      <c r="G36" s="58"/>
      <c r="H36" s="2042"/>
      <c r="I36" s="1340"/>
      <c r="J36" s="1340"/>
      <c r="K36" s="1340"/>
      <c r="L36" s="1335"/>
      <c r="M36" s="1335"/>
      <c r="N36" s="1335"/>
      <c r="O36" s="1335"/>
      <c r="P36" s="1335"/>
      <c r="Q36" s="1335"/>
      <c r="R36" s="42"/>
      <c r="S36" s="58"/>
      <c r="T36" s="42"/>
      <c r="U36" s="42"/>
      <c r="V36" s="1131"/>
      <c r="W36" s="1337"/>
    </row>
    <row r="37" spans="1:27" s="1343" customFormat="1" ht="24.6" customHeight="1">
      <c r="A37" s="1339"/>
      <c r="B37" s="1296"/>
      <c r="C37" s="58"/>
      <c r="D37" s="165"/>
      <c r="E37" s="1341"/>
      <c r="F37" s="41"/>
      <c r="G37" s="42"/>
      <c r="H37" s="2043"/>
      <c r="I37" s="1342"/>
      <c r="J37" s="1342"/>
      <c r="K37" s="1342"/>
      <c r="L37" s="1335"/>
      <c r="M37" s="42"/>
      <c r="N37" s="3752"/>
      <c r="O37" s="3752"/>
      <c r="P37" s="3753"/>
      <c r="Q37" s="3753"/>
      <c r="R37" s="42"/>
      <c r="S37" s="58"/>
      <c r="T37" s="42"/>
      <c r="V37" s="1344"/>
    </row>
    <row r="38" spans="1:27" s="1343" customFormat="1" ht="24.6" customHeight="1">
      <c r="A38" s="1334"/>
      <c r="B38" s="1296"/>
      <c r="C38" s="58"/>
      <c r="D38" s="165"/>
      <c r="E38" s="1345"/>
      <c r="F38" s="41"/>
      <c r="G38" s="42"/>
      <c r="H38" s="217"/>
      <c r="I38" s="217"/>
      <c r="J38" s="217"/>
      <c r="K38" s="217"/>
      <c r="L38" s="1335"/>
      <c r="M38" s="42"/>
      <c r="N38" s="3754"/>
      <c r="O38" s="3754"/>
      <c r="P38" s="3753"/>
      <c r="Q38" s="3753"/>
      <c r="R38" s="42"/>
      <c r="S38" s="58"/>
      <c r="T38" s="42"/>
      <c r="U38" s="3755"/>
      <c r="V38" s="3756"/>
      <c r="W38" s="3756"/>
    </row>
    <row r="39" spans="1:27" s="1343" customFormat="1" ht="24.6" customHeight="1">
      <c r="A39" s="1334"/>
      <c r="B39" s="1296"/>
      <c r="C39" s="58"/>
      <c r="D39" s="165"/>
      <c r="E39" s="1341"/>
      <c r="F39" s="1340"/>
      <c r="G39" s="42"/>
      <c r="H39" s="1346"/>
      <c r="I39" s="1346"/>
      <c r="J39" s="1346"/>
      <c r="K39" s="1346"/>
      <c r="L39" s="1347"/>
      <c r="M39" s="1131"/>
      <c r="N39" s="3757"/>
      <c r="O39" s="3758"/>
      <c r="P39" s="1160"/>
      <c r="Q39" s="42"/>
      <c r="R39" s="42"/>
      <c r="S39" s="58"/>
      <c r="T39" s="42"/>
      <c r="U39" s="42"/>
      <c r="V39" s="1348"/>
      <c r="W39" s="1349"/>
      <c r="X39" s="1350"/>
    </row>
    <row r="40" spans="1:27" s="1343" customFormat="1" ht="24.6" customHeight="1">
      <c r="A40" s="1339"/>
      <c r="B40" s="1296"/>
      <c r="C40" s="58"/>
      <c r="D40" s="165"/>
      <c r="E40" s="1351"/>
      <c r="F40" s="1340"/>
      <c r="G40" s="42"/>
      <c r="H40" s="42"/>
      <c r="I40" s="42"/>
      <c r="J40" s="42"/>
      <c r="K40" s="42"/>
      <c r="L40" s="1347"/>
      <c r="M40" s="1131"/>
      <c r="N40" s="58"/>
      <c r="O40" s="58"/>
      <c r="P40" s="1352"/>
      <c r="Q40" s="58"/>
      <c r="R40" s="58"/>
      <c r="S40" s="58"/>
      <c r="T40" s="3752"/>
      <c r="U40" s="3752"/>
      <c r="V40" s="58"/>
      <c r="W40" s="1353"/>
    </row>
    <row r="41" spans="1:27" s="1343" customFormat="1" ht="24.6" customHeight="1">
      <c r="A41" s="1334"/>
      <c r="B41" s="1296"/>
      <c r="C41" s="58"/>
      <c r="D41" s="165"/>
      <c r="E41" s="41"/>
      <c r="F41" s="41"/>
      <c r="G41" s="42"/>
      <c r="H41" s="42"/>
      <c r="I41" s="42"/>
      <c r="J41" s="42"/>
      <c r="K41" s="42"/>
      <c r="L41" s="1335"/>
      <c r="M41" s="42"/>
      <c r="N41" s="58"/>
      <c r="O41" s="42"/>
      <c r="P41" s="1352"/>
      <c r="Q41" s="58"/>
      <c r="R41" s="58"/>
      <c r="S41" s="58"/>
      <c r="T41" s="58"/>
      <c r="U41" s="58"/>
      <c r="V41" s="42"/>
      <c r="W41" s="1353"/>
    </row>
    <row r="42" spans="1:27" s="1343" customFormat="1" ht="24.6" customHeight="1">
      <c r="A42" s="1334"/>
      <c r="B42" s="1296"/>
      <c r="C42" s="42"/>
      <c r="D42" s="165"/>
      <c r="E42" s="41"/>
      <c r="F42" s="41"/>
      <c r="G42" s="42"/>
      <c r="H42" s="42"/>
      <c r="I42" s="42"/>
      <c r="J42" s="42"/>
      <c r="K42" s="42"/>
      <c r="L42" s="1335"/>
      <c r="M42" s="42"/>
      <c r="N42" s="42"/>
      <c r="O42" s="42"/>
      <c r="P42" s="58"/>
      <c r="Q42" s="58"/>
      <c r="R42" s="58"/>
      <c r="S42" s="58"/>
      <c r="T42" s="58"/>
      <c r="U42" s="58"/>
      <c r="V42" s="42"/>
      <c r="W42" s="1349"/>
    </row>
    <row r="43" spans="1:27" s="1343" customFormat="1" ht="24.6" customHeight="1">
      <c r="A43" s="1339"/>
      <c r="B43" s="1296"/>
      <c r="C43" s="42"/>
      <c r="D43" s="165"/>
      <c r="E43" s="41"/>
      <c r="F43" s="41"/>
      <c r="G43" s="42"/>
      <c r="H43" s="42"/>
      <c r="I43" s="42"/>
      <c r="J43" s="42"/>
      <c r="K43" s="42"/>
      <c r="L43" s="1335"/>
      <c r="M43" s="42"/>
      <c r="N43" s="42"/>
      <c r="O43" s="42"/>
      <c r="P43" s="58"/>
      <c r="Q43" s="3751"/>
      <c r="R43" s="3751"/>
      <c r="S43" s="3751"/>
      <c r="T43" s="3751"/>
      <c r="U43" s="39"/>
      <c r="V43" s="39"/>
      <c r="W43" s="1353"/>
    </row>
    <row r="44" spans="1:27" s="1343" customFormat="1" ht="24.6" customHeight="1">
      <c r="A44" s="1339"/>
      <c r="B44" s="1296"/>
      <c r="C44" s="42"/>
      <c r="D44" s="165"/>
      <c r="E44" s="41"/>
      <c r="F44" s="41"/>
      <c r="G44" s="42"/>
      <c r="H44" s="42"/>
      <c r="I44" s="42"/>
      <c r="J44" s="42"/>
      <c r="K44" s="42"/>
      <c r="L44" s="1335"/>
      <c r="M44" s="42"/>
      <c r="N44" s="42"/>
      <c r="O44" s="42"/>
      <c r="P44" s="1160"/>
      <c r="Q44" s="42"/>
      <c r="R44" s="42"/>
      <c r="S44" s="42"/>
      <c r="T44" s="42"/>
      <c r="U44" s="42"/>
      <c r="V44" s="42"/>
      <c r="W44" s="1353"/>
    </row>
    <row r="45" spans="1:27" s="1343" customFormat="1" ht="24.6" customHeight="1">
      <c r="A45" s="1311"/>
      <c r="B45" s="1296"/>
      <c r="C45" s="42"/>
      <c r="D45" s="165"/>
      <c r="E45" s="41"/>
      <c r="F45" s="41"/>
      <c r="G45" s="42"/>
      <c r="H45" s="42"/>
      <c r="I45" s="42"/>
      <c r="J45" s="42"/>
      <c r="K45" s="42"/>
      <c r="L45" s="1335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1349"/>
    </row>
    <row r="46" spans="1:27" s="123" customFormat="1" ht="24.6" customHeight="1">
      <c r="A46" s="42"/>
      <c r="B46" s="1296"/>
      <c r="C46" s="42"/>
      <c r="D46" s="165"/>
      <c r="E46" s="41"/>
      <c r="F46" s="41"/>
      <c r="G46" s="42"/>
      <c r="H46" s="42"/>
      <c r="I46" s="42"/>
      <c r="J46" s="42"/>
      <c r="K46" s="42"/>
      <c r="L46" s="1335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1353"/>
    </row>
    <row r="47" spans="1:27" s="123" customFormat="1" ht="30" customHeight="1">
      <c r="A47" s="40"/>
      <c r="B47" s="1296"/>
      <c r="C47" s="42"/>
      <c r="D47" s="165"/>
      <c r="E47" s="41"/>
      <c r="F47" s="41"/>
      <c r="G47" s="42"/>
      <c r="H47" s="42"/>
      <c r="I47" s="42"/>
      <c r="J47" s="42"/>
      <c r="K47" s="42"/>
      <c r="L47" s="1335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1354"/>
    </row>
    <row r="48" spans="1:27" ht="21" customHeight="1">
      <c r="P48" s="1160"/>
      <c r="V48" s="1158"/>
      <c r="W48" s="1355"/>
    </row>
    <row r="49" spans="1:23" s="40" customFormat="1" ht="21.75" customHeight="1">
      <c r="A49" s="42"/>
      <c r="B49" s="1296"/>
      <c r="C49" s="42"/>
      <c r="D49" s="165"/>
      <c r="E49" s="41"/>
      <c r="F49" s="41"/>
      <c r="G49" s="42"/>
      <c r="H49" s="42"/>
      <c r="I49" s="42"/>
      <c r="J49" s="42"/>
      <c r="K49" s="42"/>
      <c r="L49" s="1335"/>
      <c r="M49" s="42"/>
      <c r="N49" s="42"/>
      <c r="O49" s="42"/>
      <c r="P49" s="1160"/>
      <c r="Q49" s="42"/>
      <c r="R49" s="42"/>
      <c r="S49" s="42"/>
      <c r="T49" s="42"/>
      <c r="U49" s="42"/>
      <c r="V49" s="42"/>
      <c r="W49" s="39"/>
    </row>
    <row r="51" spans="1:23">
      <c r="P51" s="58"/>
      <c r="S51" s="58"/>
    </row>
    <row r="54" spans="1:23">
      <c r="W54" s="58"/>
    </row>
    <row r="59" spans="1:23">
      <c r="W59" s="39"/>
    </row>
    <row r="64" spans="1:23">
      <c r="W64" s="1158"/>
    </row>
  </sheetData>
  <mergeCells count="54">
    <mergeCell ref="A8:X8"/>
    <mergeCell ref="A1:X1"/>
    <mergeCell ref="A2:X2"/>
    <mergeCell ref="A7:X7"/>
    <mergeCell ref="A3:X3"/>
    <mergeCell ref="A4:G4"/>
    <mergeCell ref="A5:G5"/>
    <mergeCell ref="A12:A15"/>
    <mergeCell ref="D12:D15"/>
    <mergeCell ref="E12:E15"/>
    <mergeCell ref="F12:F15"/>
    <mergeCell ref="B12:C15"/>
    <mergeCell ref="D9:F9"/>
    <mergeCell ref="B10:C10"/>
    <mergeCell ref="D10:F10"/>
    <mergeCell ref="I13:I15"/>
    <mergeCell ref="J13:J15"/>
    <mergeCell ref="G14:G15"/>
    <mergeCell ref="H14:H15"/>
    <mergeCell ref="G13:H13"/>
    <mergeCell ref="U12:U15"/>
    <mergeCell ref="V12:V15"/>
    <mergeCell ref="W12:W15"/>
    <mergeCell ref="X12:X15"/>
    <mergeCell ref="G12:O12"/>
    <mergeCell ref="P12:P15"/>
    <mergeCell ref="Q12:Q15"/>
    <mergeCell ref="R12:R15"/>
    <mergeCell ref="S12:S15"/>
    <mergeCell ref="T12:T15"/>
    <mergeCell ref="N13:N15"/>
    <mergeCell ref="O13:O15"/>
    <mergeCell ref="K13:K15"/>
    <mergeCell ref="L13:L15"/>
    <mergeCell ref="M13:M15"/>
    <mergeCell ref="C16:E16"/>
    <mergeCell ref="C17:E17"/>
    <mergeCell ref="A30:E30"/>
    <mergeCell ref="A31:X31"/>
    <mergeCell ref="H32:L32"/>
    <mergeCell ref="C28:E28"/>
    <mergeCell ref="Q32:X32"/>
    <mergeCell ref="B33:G33"/>
    <mergeCell ref="S33:X33"/>
    <mergeCell ref="Q43:T43"/>
    <mergeCell ref="N37:O37"/>
    <mergeCell ref="P37:Q37"/>
    <mergeCell ref="N38:O38"/>
    <mergeCell ref="P38:Q38"/>
    <mergeCell ref="U38:W38"/>
    <mergeCell ref="N39:O39"/>
    <mergeCell ref="T40:U40"/>
    <mergeCell ref="H33:N33"/>
    <mergeCell ref="S35:T35"/>
  </mergeCells>
  <pageMargins left="0.15748031496062992" right="0.23622047244094491" top="0.43307086614173229" bottom="0.31496062992125984" header="0.31496062992125984" footer="0.31496062992125984"/>
  <pageSetup scale="7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X58"/>
  <sheetViews>
    <sheetView zoomScale="85" zoomScaleNormal="85" workbookViewId="0">
      <selection activeCell="F50" sqref="F50"/>
    </sheetView>
  </sheetViews>
  <sheetFormatPr defaultColWidth="9.375" defaultRowHeight="16.5"/>
  <cols>
    <col min="1" max="1" width="4.375" style="156" customWidth="1"/>
    <col min="2" max="2" width="5.375" style="156" hidden="1" customWidth="1"/>
    <col min="3" max="3" width="23.25" style="280" customWidth="1"/>
    <col min="4" max="4" width="8.375" style="156" hidden="1" customWidth="1"/>
    <col min="5" max="5" width="13.125" style="280" customWidth="1"/>
    <col min="6" max="6" width="13.125" style="1995" customWidth="1"/>
    <col min="7" max="7" width="11" style="280" customWidth="1"/>
    <col min="8" max="8" width="17.125" style="156" customWidth="1"/>
    <col min="9" max="9" width="12.25" style="156" hidden="1" customWidth="1"/>
    <col min="10" max="10" width="19.75" style="798" customWidth="1"/>
    <col min="11" max="12" width="17.25" style="156" customWidth="1"/>
    <col min="13" max="13" width="19.875" style="156" customWidth="1"/>
    <col min="14" max="14" width="17.25" style="156" hidden="1" customWidth="1"/>
    <col min="15" max="15" width="19" style="156" customWidth="1"/>
    <col min="16" max="16" width="19.375" style="156" customWidth="1"/>
    <col min="17" max="17" width="19.25" style="156" bestFit="1" customWidth="1"/>
    <col min="18" max="18" width="13.375" style="156" customWidth="1"/>
    <col min="19" max="19" width="18.25" style="156" customWidth="1"/>
    <col min="20" max="20" width="16.125" style="156" customWidth="1"/>
    <col min="21" max="21" width="16.25" style="156" bestFit="1" customWidth="1"/>
    <col min="22" max="22" width="14.625" style="156" customWidth="1"/>
    <col min="23" max="23" width="15" style="156" customWidth="1"/>
    <col min="24" max="24" width="20.25" style="156" customWidth="1"/>
    <col min="25" max="16384" width="9.375" style="156"/>
  </cols>
  <sheetData>
    <row r="1" spans="1:24">
      <c r="A1" s="3666" t="s">
        <v>165</v>
      </c>
      <c r="B1" s="3666"/>
      <c r="C1" s="3666"/>
      <c r="D1" s="3666"/>
      <c r="E1" s="3666"/>
      <c r="F1" s="3666"/>
      <c r="G1" s="3666"/>
      <c r="H1" s="3666"/>
      <c r="I1" s="3666"/>
      <c r="J1" s="3666"/>
      <c r="K1" s="3666"/>
      <c r="L1" s="3666"/>
      <c r="M1" s="3666"/>
      <c r="N1" s="3666"/>
      <c r="O1" s="3666"/>
      <c r="P1" s="1700"/>
    </row>
    <row r="2" spans="1:24">
      <c r="A2" s="3666" t="s">
        <v>171</v>
      </c>
      <c r="B2" s="3666"/>
      <c r="C2" s="3666"/>
      <c r="D2" s="3666"/>
      <c r="E2" s="3666"/>
      <c r="F2" s="3666"/>
      <c r="G2" s="3666"/>
      <c r="H2" s="3666"/>
      <c r="I2" s="3666"/>
      <c r="J2" s="3666"/>
      <c r="K2" s="3666"/>
      <c r="L2" s="3666"/>
      <c r="M2" s="3666"/>
      <c r="N2" s="3666"/>
      <c r="O2" s="3666"/>
      <c r="P2" s="1700"/>
    </row>
    <row r="3" spans="1:24">
      <c r="A3" s="3671" t="s">
        <v>726</v>
      </c>
      <c r="B3" s="3671"/>
      <c r="C3" s="3671"/>
      <c r="D3" s="3671"/>
      <c r="E3" s="3671"/>
      <c r="F3" s="3671"/>
      <c r="G3" s="3671"/>
      <c r="H3" s="3671"/>
      <c r="I3" s="3671"/>
      <c r="J3" s="3671"/>
      <c r="K3" s="3671"/>
      <c r="L3" s="3671"/>
      <c r="M3" s="3671"/>
      <c r="N3" s="3671"/>
      <c r="O3" s="3671"/>
      <c r="P3" s="1701"/>
    </row>
    <row r="4" spans="1:24">
      <c r="A4" s="3670" t="s">
        <v>574</v>
      </c>
      <c r="B4" s="3670"/>
      <c r="C4" s="3670"/>
      <c r="D4" s="3670"/>
      <c r="E4" s="3670"/>
      <c r="F4" s="3670"/>
      <c r="G4" s="3670"/>
      <c r="H4" s="3670"/>
      <c r="I4" s="1535"/>
      <c r="J4" s="1535"/>
    </row>
    <row r="5" spans="1:24" ht="15.75" customHeight="1">
      <c r="A5" s="3666" t="s">
        <v>541</v>
      </c>
      <c r="B5" s="3666"/>
      <c r="C5" s="3666"/>
      <c r="D5" s="3666"/>
      <c r="E5" s="3666"/>
      <c r="F5" s="3666"/>
      <c r="G5" s="3666"/>
      <c r="H5" s="3666"/>
      <c r="I5" s="1536"/>
      <c r="J5" s="1536"/>
    </row>
    <row r="6" spans="1:24">
      <c r="A6" s="693"/>
      <c r="B6" s="693"/>
      <c r="C6" s="693"/>
      <c r="D6" s="693"/>
      <c r="E6" s="693"/>
      <c r="F6" s="1994"/>
      <c r="G6" s="693"/>
      <c r="H6" s="693"/>
      <c r="I6" s="693"/>
      <c r="J6" s="693"/>
      <c r="K6" s="693"/>
      <c r="L6" s="693"/>
      <c r="M6" s="693"/>
      <c r="N6" s="693"/>
      <c r="O6" s="693"/>
      <c r="P6" s="1700"/>
    </row>
    <row r="7" spans="1:24" ht="18.75">
      <c r="A7" s="3672" t="s">
        <v>1156</v>
      </c>
      <c r="B7" s="3672"/>
      <c r="C7" s="3672"/>
      <c r="D7" s="3672"/>
      <c r="E7" s="3672"/>
      <c r="F7" s="3672"/>
      <c r="G7" s="3672"/>
      <c r="H7" s="3672"/>
      <c r="I7" s="3672"/>
      <c r="J7" s="3672"/>
      <c r="K7" s="3672"/>
      <c r="L7" s="3672"/>
      <c r="M7" s="3672"/>
      <c r="N7" s="3672"/>
      <c r="O7" s="3672"/>
      <c r="P7" s="1702"/>
    </row>
    <row r="8" spans="1:24" ht="18.75">
      <c r="A8" s="3672" t="s">
        <v>321</v>
      </c>
      <c r="B8" s="3672"/>
      <c r="C8" s="3672"/>
      <c r="D8" s="3672"/>
      <c r="E8" s="3672"/>
      <c r="F8" s="3672"/>
      <c r="G8" s="3672"/>
      <c r="H8" s="3672"/>
      <c r="I8" s="3672"/>
      <c r="J8" s="3672"/>
      <c r="K8" s="3672"/>
      <c r="L8" s="3672"/>
      <c r="M8" s="3672"/>
      <c r="N8" s="3672"/>
      <c r="O8" s="3672"/>
      <c r="P8" s="1702"/>
    </row>
    <row r="9" spans="1:24" ht="18.75" hidden="1">
      <c r="A9" s="1379"/>
      <c r="B9" s="1379"/>
      <c r="C9" s="1389" t="s">
        <v>847</v>
      </c>
      <c r="D9" s="1389"/>
      <c r="E9" s="1389">
        <v>21178</v>
      </c>
      <c r="F9" s="1389"/>
      <c r="G9" s="1379"/>
      <c r="H9" s="1379"/>
      <c r="I9" s="1379"/>
      <c r="J9" s="1379"/>
      <c r="K9" s="1379"/>
      <c r="L9" s="1379"/>
      <c r="M9" s="1379"/>
      <c r="N9" s="1379"/>
      <c r="O9" s="1379"/>
      <c r="P9" s="1702"/>
    </row>
    <row r="10" spans="1:24" hidden="1">
      <c r="C10" s="1390" t="s">
        <v>848</v>
      </c>
      <c r="D10" s="1391"/>
      <c r="E10" s="1393">
        <v>0.98919999999999997</v>
      </c>
      <c r="F10" s="1393"/>
    </row>
    <row r="11" spans="1:24" hidden="1">
      <c r="C11" s="1390" t="s">
        <v>894</v>
      </c>
      <c r="D11" s="1391"/>
      <c r="E11" s="1392">
        <v>653.07000000000005</v>
      </c>
      <c r="F11" s="1392"/>
    </row>
    <row r="12" spans="1:24" ht="16.5" customHeight="1">
      <c r="A12" s="3812" t="s">
        <v>1</v>
      </c>
      <c r="B12" s="3803" t="s">
        <v>2</v>
      </c>
      <c r="C12" s="3804"/>
      <c r="D12" s="1524"/>
      <c r="E12" s="3812" t="s">
        <v>5</v>
      </c>
      <c r="F12" s="3812" t="s">
        <v>17</v>
      </c>
      <c r="G12" s="3812" t="s">
        <v>853</v>
      </c>
      <c r="H12" s="3802" t="s">
        <v>6</v>
      </c>
      <c r="I12" s="3802"/>
      <c r="J12" s="3802"/>
      <c r="K12" s="3802"/>
      <c r="L12" s="3802"/>
      <c r="M12" s="3812" t="s">
        <v>233</v>
      </c>
      <c r="N12" s="3802" t="s">
        <v>8</v>
      </c>
      <c r="O12" s="3819" t="s">
        <v>1155</v>
      </c>
      <c r="P12" s="1706"/>
    </row>
    <row r="13" spans="1:24" ht="42" customHeight="1">
      <c r="A13" s="3813"/>
      <c r="B13" s="3805"/>
      <c r="C13" s="3806"/>
      <c r="D13" s="1524" t="s">
        <v>239</v>
      </c>
      <c r="E13" s="3813"/>
      <c r="F13" s="3813"/>
      <c r="G13" s="3813"/>
      <c r="H13" s="3809" t="s">
        <v>1161</v>
      </c>
      <c r="I13" s="3810"/>
      <c r="J13" s="3811"/>
      <c r="K13" s="3819" t="s">
        <v>56</v>
      </c>
      <c r="L13" s="3819" t="s">
        <v>57</v>
      </c>
      <c r="M13" s="3813"/>
      <c r="N13" s="3802"/>
      <c r="O13" s="3821"/>
      <c r="P13" s="1707"/>
    </row>
    <row r="14" spans="1:24" ht="27.75" customHeight="1">
      <c r="A14" s="3814"/>
      <c r="B14" s="3807"/>
      <c r="C14" s="3808"/>
      <c r="D14" s="1998"/>
      <c r="E14" s="3814"/>
      <c r="F14" s="3814"/>
      <c r="G14" s="3814"/>
      <c r="H14" s="1997" t="s">
        <v>362</v>
      </c>
      <c r="I14" s="1997"/>
      <c r="J14" s="800" t="s">
        <v>24</v>
      </c>
      <c r="K14" s="3820"/>
      <c r="L14" s="3820"/>
      <c r="M14" s="3814"/>
      <c r="N14" s="1998"/>
      <c r="O14" s="3820"/>
      <c r="P14" s="1707"/>
    </row>
    <row r="15" spans="1:24" ht="18" hidden="1" customHeight="1">
      <c r="A15" s="1524">
        <v>1</v>
      </c>
      <c r="B15" s="1524">
        <v>2</v>
      </c>
      <c r="C15" s="1524">
        <v>2</v>
      </c>
      <c r="D15" s="1524">
        <v>4</v>
      </c>
      <c r="E15" s="1524">
        <v>3</v>
      </c>
      <c r="F15" s="2005"/>
      <c r="G15" s="2005">
        <v>4</v>
      </c>
      <c r="H15" s="2005">
        <v>5</v>
      </c>
      <c r="I15" s="2005">
        <v>6</v>
      </c>
      <c r="J15" s="2005">
        <v>6</v>
      </c>
      <c r="K15" s="2005">
        <v>7</v>
      </c>
      <c r="L15" s="2005">
        <v>8</v>
      </c>
      <c r="M15" s="2005">
        <v>9</v>
      </c>
      <c r="N15" s="2005">
        <v>10</v>
      </c>
      <c r="O15" s="2005">
        <v>10</v>
      </c>
      <c r="P15" s="1707"/>
      <c r="Q15" s="684"/>
      <c r="S15" s="156" t="s">
        <v>720</v>
      </c>
      <c r="T15" s="798">
        <f>'CV KHAC'!M13</f>
        <v>500000</v>
      </c>
      <c r="V15" s="895">
        <v>648</v>
      </c>
      <c r="W15" s="895">
        <v>304</v>
      </c>
      <c r="X15" s="894">
        <f>+V15-W15</f>
        <v>344</v>
      </c>
    </row>
    <row r="16" spans="1:24" s="157" customFormat="1" ht="27" customHeight="1">
      <c r="A16" s="1585">
        <v>1</v>
      </c>
      <c r="B16" s="1586" t="s">
        <v>195</v>
      </c>
      <c r="C16" s="1616" t="str">
        <f>'Chấm công công nhân'!L13</f>
        <v>Vắt Đi</v>
      </c>
      <c r="D16" s="1587"/>
      <c r="E16" s="2020" t="s">
        <v>40</v>
      </c>
      <c r="F16" s="1592"/>
      <c r="G16" s="1592" t="s">
        <v>272</v>
      </c>
      <c r="H16" s="1606">
        <f>VLOOKUP(C16,'BẢNG LƯƠNG KT'!C17:G53,5,0)</f>
        <v>0</v>
      </c>
      <c r="I16" s="1592"/>
      <c r="J16" s="1597">
        <f>H16*25000</f>
        <v>0</v>
      </c>
      <c r="K16" s="1597">
        <f>+VLOOKUP(C16,'BẢNG LƯƠNG KT'!C17:L17,10,0)</f>
        <v>5165366.8331253603</v>
      </c>
      <c r="L16" s="1597">
        <f>VLOOKUP(C16,'BẢNG LƯƠNG KT'!C17:S17,15,0)</f>
        <v>30</v>
      </c>
      <c r="M16" s="1597">
        <f>SUM(J16:L16)</f>
        <v>5165396.8331253603</v>
      </c>
      <c r="N16" s="1597"/>
      <c r="O16" s="1597">
        <f>M16</f>
        <v>5165396.8331253603</v>
      </c>
      <c r="P16" s="1708"/>
      <c r="S16" s="157" t="s">
        <v>722</v>
      </c>
      <c r="T16" s="897">
        <v>1500000</v>
      </c>
      <c r="V16" s="896">
        <f>SUM(V15:V15)</f>
        <v>648</v>
      </c>
      <c r="W16" s="896">
        <f>SUM(W15:W15)</f>
        <v>304</v>
      </c>
      <c r="X16" s="894">
        <f>+V16-W16</f>
        <v>344</v>
      </c>
    </row>
    <row r="17" spans="1:24" ht="22.5">
      <c r="A17" s="1592">
        <v>2</v>
      </c>
      <c r="B17" s="1593" t="s">
        <v>420</v>
      </c>
      <c r="C17" s="1616" t="str">
        <f>'Chấm công công nhân'!L14</f>
        <v>T Ô Vên</v>
      </c>
      <c r="D17" s="1594"/>
      <c r="E17" s="2021" t="s">
        <v>40</v>
      </c>
      <c r="F17" s="1592"/>
      <c r="G17" s="1592" t="s">
        <v>272</v>
      </c>
      <c r="H17" s="1606">
        <f>VLOOKUP(C17,'BẢNG LƯƠNG KT'!C18:G54,5,0)</f>
        <v>0</v>
      </c>
      <c r="I17" s="1592"/>
      <c r="J17" s="1597">
        <f t="shared" ref="J17:J52" si="0">H17*25000</f>
        <v>0</v>
      </c>
      <c r="K17" s="1597">
        <f>+VLOOKUP(C17,'BẢNG LƯƠNG KT'!C18:L18,10,0)</f>
        <v>4297011.6905100318</v>
      </c>
      <c r="L17" s="1597">
        <f>VLOOKUP(C17,'BẢNG LƯƠNG KT'!C18:S18,15,0)</f>
        <v>31</v>
      </c>
      <c r="M17" s="1597">
        <f t="shared" ref="M17:M46" si="1">SUM(J17:L17)</f>
        <v>4297042.6905100318</v>
      </c>
      <c r="N17" s="1597"/>
      <c r="O17" s="1597">
        <f t="shared" ref="O17:O52" si="2">M17</f>
        <v>4297042.6905100318</v>
      </c>
      <c r="P17" s="1708"/>
    </row>
    <row r="18" spans="1:24" ht="22.5">
      <c r="A18" s="1585">
        <v>3</v>
      </c>
      <c r="B18" s="1593" t="s">
        <v>427</v>
      </c>
      <c r="C18" s="1616" t="str">
        <f>'Chấm công công nhân'!L15</f>
        <v>Nàng Túc</v>
      </c>
      <c r="D18" s="1594"/>
      <c r="E18" s="2021" t="s">
        <v>40</v>
      </c>
      <c r="F18" s="1592"/>
      <c r="G18" s="1592" t="s">
        <v>272</v>
      </c>
      <c r="H18" s="1606">
        <f>VLOOKUP(C18,'BẢNG LƯƠNG KT'!C19:G55,5,0)</f>
        <v>0</v>
      </c>
      <c r="I18" s="1592"/>
      <c r="J18" s="1597">
        <f t="shared" si="0"/>
        <v>0</v>
      </c>
      <c r="K18" s="1597">
        <f>+VLOOKUP(C18,'BẢNG LƯƠNG KT'!C19:L19,10,0)</f>
        <v>4189421.9476039791</v>
      </c>
      <c r="L18" s="1597">
        <f>VLOOKUP(C18,'BẢNG LƯƠNG KT'!C19:S19,15,0)</f>
        <v>31</v>
      </c>
      <c r="M18" s="1597">
        <f t="shared" si="1"/>
        <v>4189452.9476039791</v>
      </c>
      <c r="N18" s="1597"/>
      <c r="O18" s="1597">
        <f t="shared" si="2"/>
        <v>4189452.9476039791</v>
      </c>
      <c r="P18" s="1708"/>
      <c r="R18" s="684"/>
      <c r="W18" s="156">
        <f>+V16-W16</f>
        <v>344</v>
      </c>
    </row>
    <row r="19" spans="1:24" s="1862" customFormat="1" ht="22.5" hidden="1">
      <c r="A19" s="1983">
        <v>4</v>
      </c>
      <c r="B19" s="1984" t="s">
        <v>425</v>
      </c>
      <c r="C19" s="1985" t="str">
        <f>'Chấm công công nhân'!L16</f>
        <v>Thảo Say</v>
      </c>
      <c r="D19" s="1986"/>
      <c r="E19" s="2022" t="s">
        <v>40</v>
      </c>
      <c r="F19" s="1983"/>
      <c r="G19" s="1983" t="s">
        <v>272</v>
      </c>
      <c r="H19" s="1606">
        <f>VLOOKUP(C19,'BẢNG LƯƠNG KT'!C20:G56,5,0)</f>
        <v>0</v>
      </c>
      <c r="I19" s="1983"/>
      <c r="J19" s="1597">
        <f t="shared" si="0"/>
        <v>0</v>
      </c>
      <c r="K19" s="1608">
        <f>+VLOOKUP(C19,'BẢNG LƯƠNG KT'!C20:L20,10,0)</f>
        <v>2394234.1285347468</v>
      </c>
      <c r="L19" s="1608">
        <f>VLOOKUP(C19,'BẢNG LƯƠNG KT'!C20:S20,15,0)</f>
        <v>18</v>
      </c>
      <c r="M19" s="1608">
        <f t="shared" si="1"/>
        <v>2394252.1285347468</v>
      </c>
      <c r="N19" s="1608"/>
      <c r="O19" s="1608">
        <f t="shared" si="2"/>
        <v>2394252.1285347468</v>
      </c>
      <c r="P19" s="1987"/>
      <c r="S19" s="1862" t="s">
        <v>724</v>
      </c>
      <c r="T19" s="1988">
        <f>SUM(T15:T16)</f>
        <v>2000000</v>
      </c>
    </row>
    <row r="20" spans="1:24" ht="22.5">
      <c r="A20" s="1585">
        <v>4</v>
      </c>
      <c r="B20" s="1593"/>
      <c r="C20" s="1616" t="str">
        <f>'Chấm công công nhân'!L17</f>
        <v>Thảo Pheng</v>
      </c>
      <c r="D20" s="1594"/>
      <c r="E20" s="2021" t="s">
        <v>40</v>
      </c>
      <c r="F20" s="1592"/>
      <c r="G20" s="1592" t="s">
        <v>272</v>
      </c>
      <c r="H20" s="1606">
        <f>VLOOKUP(C20,'BẢNG LƯƠNG KT'!C21:G57,5,0)</f>
        <v>0</v>
      </c>
      <c r="I20" s="1592"/>
      <c r="J20" s="1597">
        <f t="shared" si="0"/>
        <v>0</v>
      </c>
      <c r="K20" s="1597">
        <f>+VLOOKUP(C20,'BẢNG LƯƠNG KT'!C21:L21,10,0)</f>
        <v>3421688.3002971606</v>
      </c>
      <c r="L20" s="1597">
        <f>VLOOKUP(C20,'BẢNG LƯƠNG KT'!C21:S21,15,0)</f>
        <v>28</v>
      </c>
      <c r="M20" s="1597">
        <f t="shared" si="1"/>
        <v>3421716.3002971606</v>
      </c>
      <c r="N20" s="1597"/>
      <c r="O20" s="1597">
        <f t="shared" si="2"/>
        <v>3421716.3002971606</v>
      </c>
      <c r="P20" s="1708"/>
      <c r="S20" s="156" t="s">
        <v>723</v>
      </c>
      <c r="T20" s="798">
        <v>6000000</v>
      </c>
      <c r="W20" s="156">
        <f>100*20</f>
        <v>2000</v>
      </c>
    </row>
    <row r="21" spans="1:24" ht="22.5">
      <c r="A21" s="1592">
        <v>5</v>
      </c>
      <c r="B21" s="1593"/>
      <c r="C21" s="1616" t="str">
        <f>'Chấm công công nhân'!L18</f>
        <v>Nàng Chay</v>
      </c>
      <c r="D21" s="1594"/>
      <c r="E21" s="2021" t="s">
        <v>40</v>
      </c>
      <c r="F21" s="1592"/>
      <c r="G21" s="1592" t="s">
        <v>272</v>
      </c>
      <c r="H21" s="1606">
        <f>VLOOKUP(C21,'BẢNG LƯƠNG KT'!C22:G58,5,0)</f>
        <v>0</v>
      </c>
      <c r="I21" s="1592"/>
      <c r="J21" s="1597">
        <f t="shared" si="0"/>
        <v>0</v>
      </c>
      <c r="K21" s="1597">
        <f>+VLOOKUP(C21,'BẢNG LƯƠNG KT'!C22:L22,10,0)</f>
        <v>3991467.9698529979</v>
      </c>
      <c r="L21" s="1597">
        <f>VLOOKUP(C21,'BẢNG LƯƠNG KT'!C22:S22,15,0)</f>
        <v>31</v>
      </c>
      <c r="M21" s="1597">
        <f t="shared" si="1"/>
        <v>3991498.9698529979</v>
      </c>
      <c r="N21" s="1597"/>
      <c r="O21" s="1597">
        <f t="shared" si="2"/>
        <v>3991498.9698529979</v>
      </c>
      <c r="P21" s="1708"/>
      <c r="U21" s="798"/>
      <c r="W21" s="156">
        <f>100*20</f>
        <v>2000</v>
      </c>
    </row>
    <row r="22" spans="1:24" ht="22.5">
      <c r="A22" s="1585">
        <v>6</v>
      </c>
      <c r="B22" s="1593"/>
      <c r="C22" s="1616" t="str">
        <f>'Chấm công công nhân'!L19</f>
        <v>Nàng Hđao</v>
      </c>
      <c r="D22" s="1594"/>
      <c r="E22" s="2021" t="s">
        <v>40</v>
      </c>
      <c r="F22" s="1592"/>
      <c r="G22" s="1592" t="s">
        <v>272</v>
      </c>
      <c r="H22" s="1606">
        <f>VLOOKUP(C22,'BẢNG LƯƠNG KT'!C23:G59,5,0)</f>
        <v>0</v>
      </c>
      <c r="I22" s="1592"/>
      <c r="J22" s="1597">
        <f t="shared" si="0"/>
        <v>0</v>
      </c>
      <c r="K22" s="1597">
        <f>+VLOOKUP(C22,'BẢNG LƯƠNG KT'!C23:L23,10,0)</f>
        <v>3409479.9305062662</v>
      </c>
      <c r="L22" s="1597">
        <f>VLOOKUP(C22,'BẢNG LƯƠNG KT'!C23:S23,15,0)</f>
        <v>25</v>
      </c>
      <c r="M22" s="1597">
        <f t="shared" si="1"/>
        <v>3409504.9305062662</v>
      </c>
      <c r="N22" s="1597"/>
      <c r="O22" s="1597">
        <f t="shared" si="2"/>
        <v>3409504.9305062662</v>
      </c>
      <c r="P22" s="1708"/>
      <c r="W22" s="156">
        <f>40*20+200</f>
        <v>1000</v>
      </c>
    </row>
    <row r="23" spans="1:24" ht="22.5">
      <c r="A23" s="1585">
        <v>7</v>
      </c>
      <c r="B23" s="1593"/>
      <c r="C23" s="1616" t="str">
        <f>'Chấm công công nhân'!L20</f>
        <v xml:space="preserve">Thảo Ken </v>
      </c>
      <c r="D23" s="1594"/>
      <c r="E23" s="2021" t="s">
        <v>40</v>
      </c>
      <c r="F23" s="1592"/>
      <c r="G23" s="1592" t="s">
        <v>272</v>
      </c>
      <c r="H23" s="1606">
        <f>VLOOKUP(C23,'BẢNG LƯƠNG KT'!C24:G60,5,0)</f>
        <v>0</v>
      </c>
      <c r="I23" s="1592"/>
      <c r="J23" s="1597">
        <f t="shared" si="0"/>
        <v>0</v>
      </c>
      <c r="K23" s="1597">
        <f>+VLOOKUP(C23,'BẢNG LƯƠNG KT'!C24:L24,10,0)</f>
        <v>4218326.2386385845</v>
      </c>
      <c r="L23" s="1597">
        <f>VLOOKUP(C23,'BẢNG LƯƠNG KT'!C24:S24,15,0)</f>
        <v>31</v>
      </c>
      <c r="M23" s="1597">
        <f t="shared" si="1"/>
        <v>4218357.2386385845</v>
      </c>
      <c r="N23" s="1597"/>
      <c r="O23" s="1597">
        <f t="shared" si="2"/>
        <v>4218357.2386385845</v>
      </c>
      <c r="P23" s="1708"/>
    </row>
    <row r="24" spans="1:24" ht="22.5">
      <c r="A24" s="1592">
        <v>8</v>
      </c>
      <c r="B24" s="1593"/>
      <c r="C24" s="1616" t="str">
        <f>'Chấm công công nhân'!L21</f>
        <v>Thảo Cợt</v>
      </c>
      <c r="D24" s="1594"/>
      <c r="E24" s="2021" t="s">
        <v>40</v>
      </c>
      <c r="F24" s="1592"/>
      <c r="G24" s="1592" t="s">
        <v>272</v>
      </c>
      <c r="H24" s="1606">
        <f>VLOOKUP(C24,'BẢNG LƯƠNG KT'!C25:G61,5,0)</f>
        <v>0</v>
      </c>
      <c r="I24" s="1592"/>
      <c r="J24" s="1597">
        <f t="shared" si="0"/>
        <v>0</v>
      </c>
      <c r="K24" s="1597">
        <f>+VLOOKUP(C24,'BẢNG LƯƠNG KT'!C25:L25,10,0)</f>
        <v>3537193.9724740214</v>
      </c>
      <c r="L24" s="1597">
        <f>VLOOKUP(C24,'BẢNG LƯƠNG KT'!C25:S25,15,0)</f>
        <v>23</v>
      </c>
      <c r="M24" s="1597">
        <f t="shared" si="1"/>
        <v>3537216.9724740214</v>
      </c>
      <c r="N24" s="1597"/>
      <c r="O24" s="1597">
        <f t="shared" si="2"/>
        <v>3537216.9724740214</v>
      </c>
      <c r="P24" s="1708"/>
      <c r="T24" s="798">
        <v>244427</v>
      </c>
    </row>
    <row r="25" spans="1:24" ht="22.5">
      <c r="A25" s="1585">
        <v>9</v>
      </c>
      <c r="B25" s="1593"/>
      <c r="C25" s="1616" t="str">
        <f>'Chấm công công nhân'!L22</f>
        <v>Thảo Mi</v>
      </c>
      <c r="D25" s="1594"/>
      <c r="E25" s="2021" t="s">
        <v>40</v>
      </c>
      <c r="F25" s="1592"/>
      <c r="G25" s="1592" t="s">
        <v>272</v>
      </c>
      <c r="H25" s="1606">
        <f>VLOOKUP(C25,'BẢNG LƯƠNG KT'!C26:G62,5,0)</f>
        <v>0</v>
      </c>
      <c r="I25" s="1592"/>
      <c r="J25" s="1597">
        <f t="shared" si="0"/>
        <v>0</v>
      </c>
      <c r="K25" s="1597">
        <f>+VLOOKUP(C25,'BẢNG LƯƠNG KT'!C26:L26,10,0)</f>
        <v>2376451.1606658185</v>
      </c>
      <c r="L25" s="1597">
        <f>VLOOKUP(C25,'BẢNG LƯƠNG KT'!C26:S26,15,0)</f>
        <v>19</v>
      </c>
      <c r="M25" s="1597">
        <f t="shared" si="1"/>
        <v>2376470.1606658185</v>
      </c>
      <c r="N25" s="1597"/>
      <c r="O25" s="1597">
        <f t="shared" si="2"/>
        <v>2376470.1606658185</v>
      </c>
      <c r="P25" s="1708"/>
      <c r="T25" s="798">
        <v>14473</v>
      </c>
    </row>
    <row r="26" spans="1:24" ht="22.5">
      <c r="A26" s="1585">
        <v>10</v>
      </c>
      <c r="B26" s="1593"/>
      <c r="C26" s="1616" t="str">
        <f>'Chấm công công nhân'!L23</f>
        <v>Thảo Phét</v>
      </c>
      <c r="D26" s="1594"/>
      <c r="E26" s="2021" t="s">
        <v>40</v>
      </c>
      <c r="F26" s="1592"/>
      <c r="G26" s="1592" t="s">
        <v>272</v>
      </c>
      <c r="H26" s="1606">
        <f>VLOOKUP(C26,'BẢNG LƯƠNG KT'!C27:G63,5,0)</f>
        <v>0</v>
      </c>
      <c r="I26" s="1592"/>
      <c r="J26" s="1597">
        <f t="shared" si="0"/>
        <v>0</v>
      </c>
      <c r="K26" s="1597">
        <f>+VLOOKUP(C26,'BẢNG LƯƠNG KT'!C27:L27,10,0)</f>
        <v>3757557.8344986988</v>
      </c>
      <c r="L26" s="1597">
        <f>VLOOKUP(C26,'BẢNG LƯƠNG KT'!C27:S27,15,0)</f>
        <v>28</v>
      </c>
      <c r="M26" s="1597">
        <f t="shared" si="1"/>
        <v>3757585.8344986988</v>
      </c>
      <c r="N26" s="1597"/>
      <c r="O26" s="1597">
        <f t="shared" si="2"/>
        <v>3757585.8344986988</v>
      </c>
      <c r="P26" s="1708"/>
      <c r="T26" s="814">
        <f>+T24+T25</f>
        <v>258900</v>
      </c>
      <c r="U26" s="684"/>
      <c r="V26" s="156">
        <v>3</v>
      </c>
      <c r="W26" s="156">
        <v>50</v>
      </c>
      <c r="X26" s="156">
        <f>+V26*W26</f>
        <v>150</v>
      </c>
    </row>
    <row r="27" spans="1:24" ht="22.5">
      <c r="A27" s="1592">
        <v>11</v>
      </c>
      <c r="B27" s="1593"/>
      <c r="C27" s="1616" t="str">
        <f>'Chấm công công nhân'!L24</f>
        <v>Thảo Hăm</v>
      </c>
      <c r="D27" s="1594"/>
      <c r="E27" s="2021" t="s">
        <v>40</v>
      </c>
      <c r="F27" s="1592"/>
      <c r="G27" s="1592" t="s">
        <v>272</v>
      </c>
      <c r="H27" s="1606">
        <f>VLOOKUP(C27,'BẢNG LƯƠNG KT'!C28:G64,5,0)</f>
        <v>0</v>
      </c>
      <c r="I27" s="1592"/>
      <c r="J27" s="1597">
        <f t="shared" si="0"/>
        <v>0</v>
      </c>
      <c r="K27" s="1597">
        <f>+VLOOKUP(C27,'BẢNG LƯƠNG KT'!C28:L28,10,0)</f>
        <v>4344144.9172598077</v>
      </c>
      <c r="L27" s="1597">
        <f>VLOOKUP(C27,'BẢNG LƯƠNG KT'!C28:S28,15,0)</f>
        <v>28</v>
      </c>
      <c r="M27" s="1597">
        <f t="shared" si="1"/>
        <v>4344172.9172598077</v>
      </c>
      <c r="N27" s="1597"/>
      <c r="O27" s="1597">
        <f t="shared" si="2"/>
        <v>4344172.9172598077</v>
      </c>
      <c r="P27" s="1708"/>
      <c r="T27" s="156">
        <v>850</v>
      </c>
      <c r="U27" s="814"/>
      <c r="X27" s="156">
        <v>100</v>
      </c>
    </row>
    <row r="28" spans="1:24" ht="22.5">
      <c r="A28" s="1585">
        <v>12</v>
      </c>
      <c r="B28" s="1593" t="s">
        <v>196</v>
      </c>
      <c r="C28" s="1616" t="str">
        <f>'Chấm công công nhân'!L25</f>
        <v>Nang Lon</v>
      </c>
      <c r="D28" s="1594"/>
      <c r="E28" s="2021" t="s">
        <v>40</v>
      </c>
      <c r="F28" s="1592"/>
      <c r="G28" s="1592" t="s">
        <v>272</v>
      </c>
      <c r="H28" s="1606">
        <f>VLOOKUP(C28,'BẢNG LƯƠNG KT'!C29:G65,5,0)</f>
        <v>0</v>
      </c>
      <c r="I28" s="1592"/>
      <c r="J28" s="1597">
        <f t="shared" si="0"/>
        <v>0</v>
      </c>
      <c r="K28" s="1597">
        <f>+VLOOKUP(C28,'BẢNG LƯƠNG KT'!C29:L29,10,0)</f>
        <v>4349245.6745012086</v>
      </c>
      <c r="L28" s="1597">
        <f>VLOOKUP(C28,'BẢNG LƯƠNG KT'!C29:S29,15,0)</f>
        <v>29</v>
      </c>
      <c r="M28" s="1597">
        <f t="shared" si="1"/>
        <v>4349274.6745012086</v>
      </c>
      <c r="N28" s="1597"/>
      <c r="O28" s="1597">
        <f t="shared" si="2"/>
        <v>4349274.6745012086</v>
      </c>
      <c r="P28" s="1708"/>
      <c r="T28" s="814">
        <f>+T26-T27</f>
        <v>258050</v>
      </c>
    </row>
    <row r="29" spans="1:24" ht="22.5">
      <c r="A29" s="1585">
        <v>13</v>
      </c>
      <c r="B29" s="1593" t="s">
        <v>429</v>
      </c>
      <c r="C29" s="1616" t="str">
        <f>'Chấm công công nhân'!L26</f>
        <v>Thảo Phết</v>
      </c>
      <c r="D29" s="1594"/>
      <c r="E29" s="2021" t="s">
        <v>40</v>
      </c>
      <c r="F29" s="1592"/>
      <c r="G29" s="1592" t="s">
        <v>272</v>
      </c>
      <c r="H29" s="1606">
        <f>VLOOKUP(C29,'BẢNG LƯƠNG KT'!C30:G66,5,0)</f>
        <v>0</v>
      </c>
      <c r="I29" s="1592"/>
      <c r="J29" s="1597">
        <f t="shared" si="0"/>
        <v>0</v>
      </c>
      <c r="K29" s="1597">
        <f>+VLOOKUP(C29,'BẢNG LƯƠNG KT'!C30:L30,10,0)</f>
        <v>3962368.567885661</v>
      </c>
      <c r="L29" s="1597">
        <f>VLOOKUP(C29,'BẢNG LƯƠNG KT'!C30:S30,15,0)</f>
        <v>23</v>
      </c>
      <c r="M29" s="1597">
        <f t="shared" si="1"/>
        <v>3962391.567885661</v>
      </c>
      <c r="N29" s="1597"/>
      <c r="O29" s="1597">
        <f t="shared" si="2"/>
        <v>3962391.567885661</v>
      </c>
      <c r="P29" s="1708"/>
    </row>
    <row r="30" spans="1:24" ht="22.5">
      <c r="A30" s="1592">
        <v>14</v>
      </c>
      <c r="B30" s="1593" t="s">
        <v>431</v>
      </c>
      <c r="C30" s="1616" t="str">
        <f>'Chấm công công nhân'!L27</f>
        <v>Vĩ Lay</v>
      </c>
      <c r="D30" s="1594"/>
      <c r="E30" s="2021" t="s">
        <v>40</v>
      </c>
      <c r="F30" s="1592"/>
      <c r="G30" s="1592" t="s">
        <v>272</v>
      </c>
      <c r="H30" s="1606">
        <f>VLOOKUP(C30,'BẢNG LƯƠNG KT'!C31:G67,5,0)</f>
        <v>0</v>
      </c>
      <c r="I30" s="1592"/>
      <c r="J30" s="1597">
        <f t="shared" si="0"/>
        <v>0</v>
      </c>
      <c r="K30" s="1597">
        <f>+VLOOKUP(C30,'BẢNG LƯƠNG KT'!C31:L31,10,0)</f>
        <v>5400001.6662298031</v>
      </c>
      <c r="L30" s="1597">
        <f>VLOOKUP(C30,'BẢNG LƯƠNG KT'!C31:S31,15,0)</f>
        <v>31</v>
      </c>
      <c r="M30" s="1597">
        <f t="shared" si="1"/>
        <v>5400032.6662298031</v>
      </c>
      <c r="N30" s="1597"/>
      <c r="O30" s="1597">
        <f t="shared" si="2"/>
        <v>5400032.6662298031</v>
      </c>
      <c r="P30" s="1708"/>
    </row>
    <row r="31" spans="1:24" s="1862" customFormat="1" ht="22.5" hidden="1">
      <c r="A31" s="1585">
        <v>15</v>
      </c>
      <c r="B31" s="1984" t="s">
        <v>433</v>
      </c>
      <c r="C31" s="1985" t="str">
        <f>'Chấm công công nhân'!L28</f>
        <v>Pha Xúc</v>
      </c>
      <c r="D31" s="1986"/>
      <c r="E31" s="2022" t="s">
        <v>40</v>
      </c>
      <c r="F31" s="1983"/>
      <c r="G31" s="1983" t="s">
        <v>272</v>
      </c>
      <c r="H31" s="1606">
        <f>VLOOKUP(C31,'BẢNG LƯƠNG KT'!C32:G68,5,0)</f>
        <v>0</v>
      </c>
      <c r="I31" s="1983"/>
      <c r="J31" s="1597">
        <f t="shared" si="0"/>
        <v>0</v>
      </c>
      <c r="K31" s="1608">
        <f>+VLOOKUP(C31,'BẢNG LƯƠNG KT'!C32:L32,10,0)</f>
        <v>3924182.5710511291</v>
      </c>
      <c r="L31" s="1608">
        <f>VLOOKUP(C31,'BẢNG LƯƠNG KT'!C32:S32,15,0)</f>
        <v>29</v>
      </c>
      <c r="M31" s="1608">
        <f t="shared" si="1"/>
        <v>3924211.5710511291</v>
      </c>
      <c r="N31" s="1608"/>
      <c r="O31" s="1608">
        <f t="shared" si="2"/>
        <v>3924211.5710511291</v>
      </c>
      <c r="P31" s="1987"/>
    </row>
    <row r="32" spans="1:24" ht="22.5">
      <c r="A32" s="1585">
        <v>15</v>
      </c>
      <c r="B32" s="1607" t="s">
        <v>434</v>
      </c>
      <c r="C32" s="1616" t="str">
        <f>'Chấm công công nhân'!L29</f>
        <v>Nàng Đao</v>
      </c>
      <c r="D32" s="1594"/>
      <c r="E32" s="2021" t="s">
        <v>40</v>
      </c>
      <c r="F32" s="1592"/>
      <c r="G32" s="1592" t="s">
        <v>272</v>
      </c>
      <c r="H32" s="1606">
        <f>VLOOKUP(C32,'BẢNG LƯƠNG KT'!C33:G69,5,0)</f>
        <v>0</v>
      </c>
      <c r="I32" s="1592"/>
      <c r="J32" s="1597">
        <f t="shared" si="0"/>
        <v>0</v>
      </c>
      <c r="K32" s="1597">
        <f>+VLOOKUP(C32,'BẢNG LƯƠNG KT'!C33:L33,10,0)</f>
        <v>3734423.2524748575</v>
      </c>
      <c r="L32" s="1597">
        <f>VLOOKUP(C32,'BẢNG LƯƠNG KT'!C33:S33,15,0)</f>
        <v>30</v>
      </c>
      <c r="M32" s="1597">
        <f t="shared" si="1"/>
        <v>3734453.2524748575</v>
      </c>
      <c r="N32" s="1597"/>
      <c r="O32" s="1597">
        <f t="shared" si="2"/>
        <v>3734453.2524748575</v>
      </c>
      <c r="P32" s="1708"/>
    </row>
    <row r="33" spans="1:16" ht="22.5">
      <c r="A33" s="1592">
        <v>16</v>
      </c>
      <c r="B33" s="1607" t="s">
        <v>422</v>
      </c>
      <c r="C33" s="1616" t="str">
        <f>'Chấm công công nhân'!L30</f>
        <v>Nàng Kiên</v>
      </c>
      <c r="D33" s="1594"/>
      <c r="E33" s="2021" t="s">
        <v>40</v>
      </c>
      <c r="F33" s="1592"/>
      <c r="G33" s="1592" t="s">
        <v>272</v>
      </c>
      <c r="H33" s="1606">
        <f>VLOOKUP(C33,'BẢNG LƯƠNG KT'!C34:G71,5,0)</f>
        <v>0</v>
      </c>
      <c r="I33" s="1592"/>
      <c r="J33" s="1597">
        <f t="shared" si="0"/>
        <v>0</v>
      </c>
      <c r="K33" s="1597">
        <f>+VLOOKUP(C33,'BẢNG LƯƠNG KT'!C34:L34,10,0)</f>
        <v>3619837.3889808729</v>
      </c>
      <c r="L33" s="1597">
        <f>VLOOKUP(C33,'BẢNG LƯƠNG KT'!C34:S34,15,0)</f>
        <v>29</v>
      </c>
      <c r="M33" s="1597">
        <f t="shared" si="1"/>
        <v>3619866.3889808729</v>
      </c>
      <c r="N33" s="1597"/>
      <c r="O33" s="1597">
        <f t="shared" si="2"/>
        <v>3619866.3889808729</v>
      </c>
      <c r="P33" s="1708"/>
    </row>
    <row r="34" spans="1:16" ht="22.5">
      <c r="A34" s="1585">
        <v>17</v>
      </c>
      <c r="B34" s="1607" t="s">
        <v>458</v>
      </c>
      <c r="C34" s="1616" t="str">
        <f>'Chấm công công nhân'!L31</f>
        <v>Nàng Túc 2</v>
      </c>
      <c r="D34" s="1594"/>
      <c r="E34" s="2021" t="s">
        <v>40</v>
      </c>
      <c r="F34" s="1592"/>
      <c r="G34" s="1592" t="s">
        <v>272</v>
      </c>
      <c r="H34" s="1606">
        <f>VLOOKUP(C34,'BẢNG LƯƠNG KT'!C35:G72,5,0)</f>
        <v>0</v>
      </c>
      <c r="I34" s="1592"/>
      <c r="J34" s="1597">
        <f t="shared" si="0"/>
        <v>0</v>
      </c>
      <c r="K34" s="1597">
        <f>+VLOOKUP(C34,'BẢNG LƯƠNG KT'!C35:L35,10,0)</f>
        <v>3737656.5193601171</v>
      </c>
      <c r="L34" s="1597">
        <f>VLOOKUP(C34,'BẢNG LƯƠNG KT'!C35:S35,15,0)</f>
        <v>29</v>
      </c>
      <c r="M34" s="1597">
        <f t="shared" si="1"/>
        <v>3737685.5193601171</v>
      </c>
      <c r="N34" s="1597"/>
      <c r="O34" s="1597">
        <f t="shared" si="2"/>
        <v>3737685.5193601171</v>
      </c>
      <c r="P34" s="1708"/>
    </row>
    <row r="35" spans="1:16" ht="22.5">
      <c r="A35" s="1592">
        <v>18</v>
      </c>
      <c r="B35" s="1593" t="s">
        <v>460</v>
      </c>
      <c r="C35" s="1616" t="str">
        <f>'Chấm công công nhân'!L32</f>
        <v>Nàng Phon</v>
      </c>
      <c r="D35" s="1594"/>
      <c r="E35" s="2021" t="s">
        <v>40</v>
      </c>
      <c r="F35" s="1592"/>
      <c r="G35" s="1592" t="s">
        <v>272</v>
      </c>
      <c r="H35" s="1606">
        <f>VLOOKUP(C35,'BẢNG LƯƠNG KT'!C36:G73,5,0)</f>
        <v>0</v>
      </c>
      <c r="I35" s="1592"/>
      <c r="J35" s="1597">
        <f t="shared" si="0"/>
        <v>0</v>
      </c>
      <c r="K35" s="1597">
        <f>+VLOOKUP(C35,'BẢNG LƯƠNG KT'!C36:L36,10,0)</f>
        <v>3351169.6346100331</v>
      </c>
      <c r="L35" s="1597">
        <f>VLOOKUP(C35,'BẢNG LƯƠNG KT'!C36:S36,15,0)</f>
        <v>29</v>
      </c>
      <c r="M35" s="1597">
        <f t="shared" si="1"/>
        <v>3351198.6346100331</v>
      </c>
      <c r="N35" s="1597"/>
      <c r="O35" s="1597">
        <f t="shared" si="2"/>
        <v>3351198.6346100331</v>
      </c>
      <c r="P35" s="1708"/>
    </row>
    <row r="36" spans="1:16" ht="22.5">
      <c r="A36" s="1585">
        <v>19</v>
      </c>
      <c r="B36" s="1607" t="s">
        <v>462</v>
      </c>
      <c r="C36" s="1616" t="str">
        <f>'Chấm công công nhân'!L33</f>
        <v>Thảo Chòi</v>
      </c>
      <c r="D36" s="1594"/>
      <c r="E36" s="2021" t="s">
        <v>40</v>
      </c>
      <c r="F36" s="1592"/>
      <c r="G36" s="1592" t="s">
        <v>272</v>
      </c>
      <c r="H36" s="1606">
        <f>VLOOKUP(C36,'BẢNG LƯƠNG KT'!C37:G74,5,0)</f>
        <v>0</v>
      </c>
      <c r="I36" s="1592"/>
      <c r="J36" s="1597">
        <f t="shared" si="0"/>
        <v>0</v>
      </c>
      <c r="K36" s="1597">
        <f>+VLOOKUP(C36,'BẢNG LƯƠNG KT'!C37:L37,10,0)</f>
        <v>4119711.5986381662</v>
      </c>
      <c r="L36" s="1597">
        <f>VLOOKUP(C36,'BẢNG LƯƠNG KT'!C37:S37,15,0)</f>
        <v>30</v>
      </c>
      <c r="M36" s="1597">
        <f t="shared" si="1"/>
        <v>4119741.5986381662</v>
      </c>
      <c r="N36" s="1597"/>
      <c r="O36" s="1597">
        <f t="shared" si="2"/>
        <v>4119741.5986381662</v>
      </c>
      <c r="P36" s="1708"/>
    </row>
    <row r="37" spans="1:16" ht="22.5">
      <c r="A37" s="1592">
        <v>20</v>
      </c>
      <c r="B37" s="1607" t="s">
        <v>467</v>
      </c>
      <c r="C37" s="1616" t="str">
        <f>'Chấm công công nhân'!L34</f>
        <v>Thong La</v>
      </c>
      <c r="D37" s="1594"/>
      <c r="E37" s="2021" t="s">
        <v>40</v>
      </c>
      <c r="F37" s="1592"/>
      <c r="G37" s="1592" t="s">
        <v>272</v>
      </c>
      <c r="H37" s="1606">
        <f>VLOOKUP(C37,'BẢNG LƯƠNG KT'!C38:G75,5,0)</f>
        <v>0</v>
      </c>
      <c r="I37" s="1592"/>
      <c r="J37" s="1597">
        <f t="shared" si="0"/>
        <v>0</v>
      </c>
      <c r="K37" s="1597">
        <f>+VLOOKUP(C37,'BẢNG LƯƠNG KT'!C38:L38,10,0)</f>
        <v>4847419.6317447005</v>
      </c>
      <c r="L37" s="1597">
        <f>VLOOKUP(C37,'BẢNG LƯƠNG KT'!C38:S38,15,0)</f>
        <v>31</v>
      </c>
      <c r="M37" s="1597">
        <f t="shared" si="1"/>
        <v>4847450.6317447005</v>
      </c>
      <c r="N37" s="1597"/>
      <c r="O37" s="1597">
        <f t="shared" si="2"/>
        <v>4847450.6317447005</v>
      </c>
      <c r="P37" s="1708"/>
    </row>
    <row r="38" spans="1:16" ht="22.5">
      <c r="A38" s="1585">
        <v>21</v>
      </c>
      <c r="B38" s="1607" t="s">
        <v>468</v>
      </c>
      <c r="C38" s="1616" t="str">
        <f>'Chấm công công nhân'!L35</f>
        <v>Thảo kok</v>
      </c>
      <c r="D38" s="1594"/>
      <c r="E38" s="2021" t="s">
        <v>40</v>
      </c>
      <c r="F38" s="1592"/>
      <c r="G38" s="1592" t="s">
        <v>272</v>
      </c>
      <c r="H38" s="1606">
        <f>VLOOKUP(C38,'BẢNG LƯƠNG KT'!C39:G76,5,0)</f>
        <v>0</v>
      </c>
      <c r="I38" s="1592"/>
      <c r="J38" s="1597">
        <f t="shared" si="0"/>
        <v>0</v>
      </c>
      <c r="K38" s="1597">
        <f>+VLOOKUP(C38,'BẢNG LƯƠNG KT'!C39:L39,10,0)</f>
        <v>4573678.9931228505</v>
      </c>
      <c r="L38" s="1597">
        <f>VLOOKUP(C38,'BẢNG LƯƠNG KT'!C39:S39,15,0)</f>
        <v>29</v>
      </c>
      <c r="M38" s="1597">
        <f t="shared" si="1"/>
        <v>4573707.9931228505</v>
      </c>
      <c r="N38" s="1597"/>
      <c r="O38" s="1597">
        <f t="shared" si="2"/>
        <v>4573707.9931228505</v>
      </c>
      <c r="P38" s="1708"/>
    </row>
    <row r="39" spans="1:16" ht="22.5">
      <c r="A39" s="1592">
        <v>22</v>
      </c>
      <c r="B39" s="1607" t="s">
        <v>470</v>
      </c>
      <c r="C39" s="1616" t="str">
        <f>'Chấm công công nhân'!L36</f>
        <v>Thảo Hôm</v>
      </c>
      <c r="D39" s="1594"/>
      <c r="E39" s="2021" t="s">
        <v>40</v>
      </c>
      <c r="F39" s="1592"/>
      <c r="G39" s="1592" t="s">
        <v>272</v>
      </c>
      <c r="H39" s="1606">
        <f>VLOOKUP(C39,'BẢNG LƯƠNG KT'!C40:G77,5,0)</f>
        <v>0</v>
      </c>
      <c r="I39" s="1592"/>
      <c r="J39" s="1597">
        <f t="shared" si="0"/>
        <v>0</v>
      </c>
      <c r="K39" s="1597">
        <f>+VLOOKUP(C39,'BẢNG LƯƠNG KT'!C40:L40,10,0)</f>
        <v>2251998.2585737137</v>
      </c>
      <c r="L39" s="1597">
        <f>VLOOKUP(C39,'BẢNG LƯƠNG KT'!C40:S40,15,0)</f>
        <v>19</v>
      </c>
      <c r="M39" s="1597">
        <f t="shared" si="1"/>
        <v>2252017.2585737137</v>
      </c>
      <c r="N39" s="1597"/>
      <c r="O39" s="1597">
        <f t="shared" si="2"/>
        <v>2252017.2585737137</v>
      </c>
      <c r="P39" s="1708"/>
    </row>
    <row r="40" spans="1:16" ht="22.5">
      <c r="A40" s="1585">
        <v>23</v>
      </c>
      <c r="B40" s="1607" t="s">
        <v>420</v>
      </c>
      <c r="C40" s="1616" t="str">
        <f>'Chấm công công nhân'!L37</f>
        <v>Nàng Lam</v>
      </c>
      <c r="D40" s="1594"/>
      <c r="E40" s="2021" t="s">
        <v>40</v>
      </c>
      <c r="F40" s="1592"/>
      <c r="G40" s="1592" t="s">
        <v>272</v>
      </c>
      <c r="H40" s="1606">
        <f>VLOOKUP(C40,'BẢNG LƯƠNG KT'!C41:G78,5,0)</f>
        <v>0</v>
      </c>
      <c r="I40" s="1592"/>
      <c r="J40" s="1597">
        <f t="shared" si="0"/>
        <v>0</v>
      </c>
      <c r="K40" s="1597">
        <f>+VLOOKUP(C40,'BẢNG LƯƠNG KT'!C41:L41,10,0)</f>
        <v>2402317.2957478957</v>
      </c>
      <c r="L40" s="1597">
        <f>VLOOKUP(C40,'BẢNG LƯƠNG KT'!C41:S41,15,0)</f>
        <v>19</v>
      </c>
      <c r="M40" s="1597">
        <f t="shared" si="1"/>
        <v>2402336.2957478957</v>
      </c>
      <c r="N40" s="1597"/>
      <c r="O40" s="1597">
        <f t="shared" si="2"/>
        <v>2402336.2957478957</v>
      </c>
      <c r="P40" s="1708"/>
    </row>
    <row r="41" spans="1:16" ht="22.5">
      <c r="A41" s="1585">
        <v>24</v>
      </c>
      <c r="B41" s="1607" t="s">
        <v>436</v>
      </c>
      <c r="C41" s="1616" t="str">
        <f>'Chấm công công nhân'!L38</f>
        <v>Thảo Hơ Phơ</v>
      </c>
      <c r="D41" s="1594"/>
      <c r="E41" s="2021" t="s">
        <v>40</v>
      </c>
      <c r="F41" s="1592"/>
      <c r="G41" s="1592" t="s">
        <v>272</v>
      </c>
      <c r="H41" s="1606">
        <f>VLOOKUP(C41,'BẢNG LƯƠNG KT'!C42:G78,5,0)</f>
        <v>0</v>
      </c>
      <c r="I41" s="1592"/>
      <c r="J41" s="1597">
        <f t="shared" si="0"/>
        <v>0</v>
      </c>
      <c r="K41" s="1597">
        <f>+VLOOKUP(C41,'BẢNG LƯƠNG KT'!C42:L42,10,0)</f>
        <v>3507620.7296700524</v>
      </c>
      <c r="L41" s="1597">
        <f>VLOOKUP(C41,'BẢNG LƯƠNG KT'!C42:S42,15,0)</f>
        <v>21</v>
      </c>
      <c r="M41" s="1597">
        <f t="shared" si="1"/>
        <v>3507641.7296700524</v>
      </c>
      <c r="N41" s="1597"/>
      <c r="O41" s="1597">
        <f t="shared" si="2"/>
        <v>3507641.7296700524</v>
      </c>
      <c r="P41" s="1708"/>
    </row>
    <row r="42" spans="1:16" ht="22.5">
      <c r="A42" s="1592">
        <v>25</v>
      </c>
      <c r="B42" s="1607" t="s">
        <v>473</v>
      </c>
      <c r="C42" s="1616" t="str">
        <f>'Chấm công công nhân'!L39</f>
        <v>Thảo Lay</v>
      </c>
      <c r="D42" s="1594"/>
      <c r="E42" s="2021" t="s">
        <v>40</v>
      </c>
      <c r="F42" s="1592"/>
      <c r="G42" s="1592" t="s">
        <v>272</v>
      </c>
      <c r="H42" s="1606">
        <f>VLOOKUP(C42,'BẢNG LƯƠNG KT'!C43:G78,5,0)</f>
        <v>0</v>
      </c>
      <c r="I42" s="1592"/>
      <c r="J42" s="1597">
        <f t="shared" si="0"/>
        <v>0</v>
      </c>
      <c r="K42" s="1597">
        <f>+VLOOKUP(C42,'BẢNG LƯƠNG KT'!C43:L43,10,0)</f>
        <v>4546474.9545020452</v>
      </c>
      <c r="L42" s="1597">
        <f>VLOOKUP(C42,'BẢNG LƯƠNG KT'!C43:S43,15,0)</f>
        <v>31</v>
      </c>
      <c r="M42" s="1597">
        <f t="shared" si="1"/>
        <v>4546505.9545020452</v>
      </c>
      <c r="N42" s="1597"/>
      <c r="O42" s="1597">
        <f t="shared" si="2"/>
        <v>4546505.9545020452</v>
      </c>
      <c r="P42" s="1708"/>
    </row>
    <row r="43" spans="1:16" ht="22.5">
      <c r="A43" s="1585">
        <v>26</v>
      </c>
      <c r="B43" s="1607" t="s">
        <v>454</v>
      </c>
      <c r="C43" s="1616" t="str">
        <f>'Chấm công công nhân'!L40</f>
        <v>Thảo Khốc</v>
      </c>
      <c r="D43" s="1594"/>
      <c r="E43" s="2021" t="s">
        <v>40</v>
      </c>
      <c r="F43" s="1592"/>
      <c r="G43" s="1592" t="s">
        <v>272</v>
      </c>
      <c r="H43" s="1606">
        <f>VLOOKUP(C43,'BẢNG LƯƠNG KT'!C44:G78,5,0)</f>
        <v>0</v>
      </c>
      <c r="I43" s="1592"/>
      <c r="J43" s="1597">
        <f t="shared" si="0"/>
        <v>0</v>
      </c>
      <c r="K43" s="1597">
        <f>+VLOOKUP(C43,'BẢNG LƯƠNG KT'!C44:L44,10,0)</f>
        <v>4481865.3627776336</v>
      </c>
      <c r="L43" s="1597">
        <f>VLOOKUP(C43,'BẢNG LƯƠNG KT'!C44:S44,15,0)</f>
        <v>23</v>
      </c>
      <c r="M43" s="1597">
        <f t="shared" si="1"/>
        <v>4481888.3627776336</v>
      </c>
      <c r="N43" s="1597"/>
      <c r="O43" s="1597">
        <f t="shared" si="2"/>
        <v>4481888.3627776336</v>
      </c>
      <c r="P43" s="1708"/>
    </row>
    <row r="44" spans="1:16" ht="22.5">
      <c r="A44" s="1585">
        <v>27</v>
      </c>
      <c r="B44" s="1607" t="s">
        <v>464</v>
      </c>
      <c r="C44" s="1616" t="str">
        <f>'Chấm công công nhân'!L41</f>
        <v>Thảo Sợt</v>
      </c>
      <c r="D44" s="1594"/>
      <c r="E44" s="2021" t="s">
        <v>40</v>
      </c>
      <c r="F44" s="1592"/>
      <c r="G44" s="1592" t="s">
        <v>272</v>
      </c>
      <c r="H44" s="1606">
        <f>VLOOKUP(C44,'BẢNG LƯƠNG KT'!C45:G78,5,0)</f>
        <v>0</v>
      </c>
      <c r="I44" s="1592"/>
      <c r="J44" s="1597">
        <f t="shared" si="0"/>
        <v>0</v>
      </c>
      <c r="K44" s="1597">
        <f>+VLOOKUP(C44,'BẢNG LƯƠNG KT'!C45:L45,10,0)</f>
        <v>4272762.1888705846</v>
      </c>
      <c r="L44" s="1597">
        <f>VLOOKUP(C44,'BẢNG LƯƠNG KT'!C45:S45,15,0)</f>
        <v>23</v>
      </c>
      <c r="M44" s="1597">
        <f t="shared" si="1"/>
        <v>4272785.1888705846</v>
      </c>
      <c r="N44" s="1597"/>
      <c r="O44" s="1597">
        <f t="shared" si="2"/>
        <v>4272785.1888705846</v>
      </c>
      <c r="P44" s="1708"/>
    </row>
    <row r="45" spans="1:16" ht="22.5" hidden="1">
      <c r="A45" s="1592">
        <v>28</v>
      </c>
      <c r="B45" s="1607" t="s">
        <v>466</v>
      </c>
      <c r="C45" s="1616" t="str">
        <f>'Chấm công công nhân'!L42</f>
        <v>Thảo Văn</v>
      </c>
      <c r="D45" s="1594"/>
      <c r="E45" s="2021" t="s">
        <v>40</v>
      </c>
      <c r="F45" s="1592"/>
      <c r="G45" s="1592" t="s">
        <v>272</v>
      </c>
      <c r="H45" s="1606">
        <f>VLOOKUP(C45,'BẢNG LƯƠNG KT'!C46:G78,5,0)</f>
        <v>0</v>
      </c>
      <c r="I45" s="1592"/>
      <c r="J45" s="1597">
        <f t="shared" si="0"/>
        <v>0</v>
      </c>
      <c r="K45" s="1597">
        <f>+VLOOKUP(C45,'BẢNG LƯƠNG KT'!C46:L46,10,0)</f>
        <v>4560522.9416586906</v>
      </c>
      <c r="L45" s="1597">
        <f>VLOOKUP(C45,'BẢNG LƯƠNG KT'!C46:S46,15,0)</f>
        <v>28</v>
      </c>
      <c r="M45" s="1597">
        <f t="shared" si="1"/>
        <v>4560550.9416586906</v>
      </c>
      <c r="N45" s="1597"/>
      <c r="O45" s="1597">
        <f t="shared" si="2"/>
        <v>4560550.9416586906</v>
      </c>
      <c r="P45" s="1708"/>
    </row>
    <row r="46" spans="1:16" ht="22.5">
      <c r="A46" s="1585">
        <v>28</v>
      </c>
      <c r="B46" s="1607"/>
      <c r="C46" s="1616" t="str">
        <f>'Chấm công công nhân'!L43</f>
        <v>Thảo Thong</v>
      </c>
      <c r="D46" s="1594"/>
      <c r="E46" s="2021" t="s">
        <v>40</v>
      </c>
      <c r="F46" s="1592"/>
      <c r="G46" s="1592" t="s">
        <v>272</v>
      </c>
      <c r="H46" s="1606">
        <f>VLOOKUP(C46,'BẢNG LƯƠNG KT'!C47:G78,5,0)</f>
        <v>0</v>
      </c>
      <c r="I46" s="1592"/>
      <c r="J46" s="1597">
        <f t="shared" si="0"/>
        <v>0</v>
      </c>
      <c r="K46" s="1597">
        <f>+VLOOKUP(C46,'BẢNG LƯƠNG KT'!C47:L47,10,0)</f>
        <v>3800064.1448437064</v>
      </c>
      <c r="L46" s="1597">
        <f>VLOOKUP(C46,'BẢNG LƯƠNG KT'!C47:S47,15,0)</f>
        <v>25</v>
      </c>
      <c r="M46" s="1597">
        <f t="shared" si="1"/>
        <v>3800089.1448437064</v>
      </c>
      <c r="N46" s="1597"/>
      <c r="O46" s="1597">
        <f t="shared" si="2"/>
        <v>3800089.1448437064</v>
      </c>
      <c r="P46" s="1708"/>
    </row>
    <row r="47" spans="1:16" ht="22.5">
      <c r="A47" s="1592">
        <v>29</v>
      </c>
      <c r="B47" s="1607" t="s">
        <v>473</v>
      </c>
      <c r="C47" s="1616" t="str">
        <f>'Chấm công công nhân'!L44</f>
        <v xml:space="preserve"> Nàng Ngột</v>
      </c>
      <c r="D47" s="1594"/>
      <c r="E47" s="2021" t="s">
        <v>40</v>
      </c>
      <c r="F47" s="1592"/>
      <c r="G47" s="1592" t="s">
        <v>272</v>
      </c>
      <c r="H47" s="1606">
        <f>VLOOKUP(C47,'BẢNG LƯƠNG KT'!C48:G78,5,0)</f>
        <v>0</v>
      </c>
      <c r="I47" s="1592"/>
      <c r="J47" s="1597">
        <f t="shared" si="0"/>
        <v>0</v>
      </c>
      <c r="K47" s="1597">
        <f>+VLOOKUP(C47,'BẢNG LƯƠNG KT'!C48:L48,10,0)</f>
        <v>3618025.6446055118</v>
      </c>
      <c r="L47" s="1597">
        <f>VLOOKUP(C47,'BẢNG LƯƠNG KT'!C48:S48,15,0)</f>
        <v>25</v>
      </c>
      <c r="M47" s="1597">
        <f t="shared" ref="M47:M52" si="3">SUM(J47:L47)</f>
        <v>3618050.6446055118</v>
      </c>
      <c r="N47" s="1597"/>
      <c r="O47" s="1597">
        <f t="shared" si="2"/>
        <v>3618050.6446055118</v>
      </c>
      <c r="P47" s="1708"/>
    </row>
    <row r="48" spans="1:16" ht="22.5">
      <c r="A48" s="1585">
        <v>30</v>
      </c>
      <c r="B48" s="1607" t="s">
        <v>454</v>
      </c>
      <c r="C48" s="1616" t="str">
        <f>'Chấm công công nhân'!L45</f>
        <v>Nàng Chon</v>
      </c>
      <c r="D48" s="1594"/>
      <c r="E48" s="2021" t="s">
        <v>40</v>
      </c>
      <c r="F48" s="1592"/>
      <c r="G48" s="1592" t="s">
        <v>272</v>
      </c>
      <c r="H48" s="1606">
        <f>VLOOKUP(C48,'BẢNG LƯƠNG KT'!C49:G78,5,0)</f>
        <v>0</v>
      </c>
      <c r="I48" s="1592"/>
      <c r="J48" s="1597">
        <f t="shared" si="0"/>
        <v>0</v>
      </c>
      <c r="K48" s="1597">
        <f>+VLOOKUP(C48,'BẢNG LƯƠNG KT'!C49:L49,10,0)</f>
        <v>3336731.4255879251</v>
      </c>
      <c r="L48" s="1597">
        <f>VLOOKUP(C48,'BẢNG LƯƠNG KT'!C49:S49,15,0)</f>
        <v>21</v>
      </c>
      <c r="M48" s="1597">
        <f t="shared" si="3"/>
        <v>3336752.4255879251</v>
      </c>
      <c r="N48" s="1597"/>
      <c r="O48" s="1597">
        <f t="shared" si="2"/>
        <v>3336752.4255879251</v>
      </c>
      <c r="P48" s="1708"/>
    </row>
    <row r="49" spans="1:24" ht="22.5" hidden="1">
      <c r="A49" s="1592">
        <v>31</v>
      </c>
      <c r="B49" s="1607" t="s">
        <v>464</v>
      </c>
      <c r="C49" s="1616" t="str">
        <f>'Chấm công công nhân'!L46</f>
        <v>Bun han</v>
      </c>
      <c r="D49" s="1594"/>
      <c r="E49" s="2021" t="s">
        <v>40</v>
      </c>
      <c r="F49" s="1592"/>
      <c r="G49" s="1592" t="s">
        <v>272</v>
      </c>
      <c r="H49" s="1606">
        <f>VLOOKUP(C49,'BẢNG LƯƠNG KT'!C50:G78,5,0)</f>
        <v>0</v>
      </c>
      <c r="I49" s="1592"/>
      <c r="J49" s="1597">
        <f t="shared" si="0"/>
        <v>0</v>
      </c>
      <c r="K49" s="1597">
        <f>+VLOOKUP(C49,'BẢNG LƯƠNG KT'!C50:L50,10,0)</f>
        <v>3567910.0078839883</v>
      </c>
      <c r="L49" s="1597">
        <f>VLOOKUP(C49,'BẢNG LƯƠNG KT'!C50:S50,15,0)</f>
        <v>26</v>
      </c>
      <c r="M49" s="1597">
        <f t="shared" si="3"/>
        <v>3567936.0078839883</v>
      </c>
      <c r="N49" s="1597"/>
      <c r="O49" s="1597">
        <f t="shared" si="2"/>
        <v>3567936.0078839883</v>
      </c>
      <c r="P49" s="1708"/>
    </row>
    <row r="50" spans="1:24" ht="22.5">
      <c r="A50" s="1585">
        <v>31</v>
      </c>
      <c r="B50" s="1607" t="s">
        <v>466</v>
      </c>
      <c r="C50" s="1616" t="str">
        <f>'Chấm công công nhân'!L47</f>
        <v>Hăn</v>
      </c>
      <c r="D50" s="1594"/>
      <c r="E50" s="2021" t="s">
        <v>40</v>
      </c>
      <c r="F50" s="1592"/>
      <c r="G50" s="1592" t="s">
        <v>272</v>
      </c>
      <c r="H50" s="1606">
        <f>VLOOKUP(C50,'BẢNG LƯƠNG KT'!C51:G88,5,0)</f>
        <v>0</v>
      </c>
      <c r="I50" s="1592"/>
      <c r="J50" s="1597">
        <f t="shared" si="0"/>
        <v>0</v>
      </c>
      <c r="K50" s="1597">
        <f>+VLOOKUP(C50,'BẢNG LƯƠNG KT'!C51:L51,10,0)</f>
        <v>3747356.320015897</v>
      </c>
      <c r="L50" s="1597">
        <f>VLOOKUP(C50,'BẢNG LƯƠNG KT'!C51:S51,15,0)</f>
        <v>25</v>
      </c>
      <c r="M50" s="1597">
        <f t="shared" si="3"/>
        <v>3747381.320015897</v>
      </c>
      <c r="N50" s="1597"/>
      <c r="O50" s="1597">
        <f t="shared" si="2"/>
        <v>3747381.320015897</v>
      </c>
      <c r="P50" s="1708"/>
    </row>
    <row r="51" spans="1:24" ht="22.5">
      <c r="A51" s="1592">
        <v>32</v>
      </c>
      <c r="B51" s="1607"/>
      <c r="C51" s="1616" t="str">
        <f>'Chấm công công nhân'!L48</f>
        <v>Thảo Tuỳ</v>
      </c>
      <c r="D51" s="1594"/>
      <c r="E51" s="2021" t="s">
        <v>40</v>
      </c>
      <c r="F51" s="1592"/>
      <c r="G51" s="1592" t="s">
        <v>272</v>
      </c>
      <c r="H51" s="1606">
        <f>VLOOKUP(C51,'BẢNG LƯƠNG KT'!C52:G88,5,0)</f>
        <v>0</v>
      </c>
      <c r="I51" s="1592"/>
      <c r="J51" s="1597">
        <f t="shared" si="0"/>
        <v>0</v>
      </c>
      <c r="K51" s="1597">
        <f>+VLOOKUP(C51,'BẢNG LƯƠNG KT'!C52:L52,10,0)</f>
        <v>4512469.9062260389</v>
      </c>
      <c r="L51" s="1597">
        <f>VLOOKUP(C51,'BẢNG LƯƠNG KT'!C52:S52,15,0)</f>
        <v>31</v>
      </c>
      <c r="M51" s="1597">
        <f t="shared" si="3"/>
        <v>4512500.9062260389</v>
      </c>
      <c r="N51" s="1597"/>
      <c r="O51" s="1597">
        <f t="shared" si="2"/>
        <v>4512500.9062260389</v>
      </c>
      <c r="P51" s="1708"/>
    </row>
    <row r="52" spans="1:24" ht="22.5">
      <c r="A52" s="2023">
        <v>33</v>
      </c>
      <c r="B52" s="1968"/>
      <c r="C52" s="2024" t="str">
        <f>'Tong hop cong'!C49</f>
        <v>Thảo e</v>
      </c>
      <c r="D52" s="1962"/>
      <c r="E52" s="2025" t="s">
        <v>1142</v>
      </c>
      <c r="F52" s="1963"/>
      <c r="G52" s="1963"/>
      <c r="H52" s="1969">
        <f>'BẢNG LƯƠNG KT'!G53</f>
        <v>0</v>
      </c>
      <c r="I52" s="1963"/>
      <c r="J52" s="1964">
        <f t="shared" si="0"/>
        <v>0</v>
      </c>
      <c r="K52" s="1964">
        <f>+VLOOKUP(C52,'BẢNG LƯƠNG KT'!C53:L53,10,0)</f>
        <v>0</v>
      </c>
      <c r="L52" s="1964">
        <f>VLOOKUP(C52,'BẢNG LƯƠNG KT'!C53:S53,15,0)</f>
        <v>0</v>
      </c>
      <c r="M52" s="1964">
        <f t="shared" si="3"/>
        <v>0</v>
      </c>
      <c r="N52" s="1964"/>
      <c r="O52" s="1964">
        <f t="shared" si="2"/>
        <v>0</v>
      </c>
      <c r="P52" s="1708"/>
    </row>
    <row r="53" spans="1:24">
      <c r="A53" s="3815" t="s">
        <v>184</v>
      </c>
      <c r="B53" s="3816"/>
      <c r="C53" s="3816"/>
      <c r="D53" s="3816"/>
      <c r="E53" s="3816"/>
      <c r="F53" s="3816"/>
      <c r="G53" s="3817"/>
      <c r="H53" s="1578">
        <f>SUM(H16:H52)</f>
        <v>0</v>
      </c>
      <c r="I53" s="1561">
        <f t="shared" ref="I53" si="4">SUM(I16:I51)</f>
        <v>0</v>
      </c>
      <c r="J53" s="1561">
        <f>SUM(J16:J52)</f>
        <v>0</v>
      </c>
      <c r="K53" s="1561">
        <f t="shared" ref="K53:O53" si="5">SUM(K16:K52)</f>
        <v>139328159.60353053</v>
      </c>
      <c r="L53" s="1561">
        <f t="shared" si="5"/>
        <v>959</v>
      </c>
      <c r="M53" s="1561">
        <f t="shared" si="5"/>
        <v>139329118.60353053</v>
      </c>
      <c r="N53" s="1561">
        <f t="shared" si="5"/>
        <v>0</v>
      </c>
      <c r="O53" s="1561">
        <f t="shared" si="5"/>
        <v>139329118.60353053</v>
      </c>
      <c r="P53" s="1709"/>
    </row>
    <row r="54" spans="1:24" ht="24" customHeight="1">
      <c r="A54" s="3818" t="s">
        <v>1137</v>
      </c>
      <c r="B54" s="3818"/>
      <c r="C54" s="3818"/>
      <c r="D54" s="3818"/>
      <c r="E54" s="3818"/>
      <c r="F54" s="3818"/>
      <c r="G54" s="3818"/>
      <c r="H54" s="3818"/>
      <c r="I54" s="3818"/>
      <c r="J54" s="3818"/>
      <c r="K54" s="3818"/>
      <c r="L54" s="3818"/>
      <c r="M54" s="3818"/>
      <c r="N54" s="3818"/>
      <c r="O54" s="3818"/>
      <c r="P54" s="1703"/>
      <c r="Q54" s="684"/>
      <c r="S54" s="156" t="s">
        <v>720</v>
      </c>
      <c r="T54" s="798">
        <f>'CV KHAC'!M44</f>
        <v>0</v>
      </c>
      <c r="V54" s="895">
        <v>648</v>
      </c>
      <c r="W54" s="895">
        <v>304</v>
      </c>
      <c r="X54" s="894">
        <f>+V54-W54</f>
        <v>344</v>
      </c>
    </row>
    <row r="55" spans="1:24" ht="29.25" customHeight="1">
      <c r="A55" s="1530"/>
      <c r="B55" s="1530"/>
      <c r="C55" s="1530"/>
      <c r="D55" s="1530"/>
      <c r="E55" s="1530"/>
      <c r="F55" s="1939"/>
      <c r="G55" s="1530"/>
      <c r="H55" s="949"/>
      <c r="I55" s="1530"/>
      <c r="J55" s="1530"/>
      <c r="K55" s="1530"/>
      <c r="L55" s="3801" t="s">
        <v>1014</v>
      </c>
      <c r="M55" s="3801"/>
      <c r="N55" s="3801"/>
      <c r="O55" s="3801"/>
      <c r="P55" s="1704"/>
      <c r="R55" s="684"/>
      <c r="S55" s="156" t="s">
        <v>721</v>
      </c>
      <c r="T55" s="798">
        <v>150000</v>
      </c>
      <c r="V55" s="895">
        <v>875</v>
      </c>
      <c r="W55" s="895">
        <v>395</v>
      </c>
      <c r="X55" s="894">
        <f>+V55-W55</f>
        <v>480</v>
      </c>
    </row>
    <row r="56" spans="1:24" s="1333" customFormat="1" ht="29.25" customHeight="1">
      <c r="C56" s="3750" t="s">
        <v>613</v>
      </c>
      <c r="D56" s="3750"/>
      <c r="E56" s="3750"/>
      <c r="F56" s="1996"/>
      <c r="G56" s="1749"/>
      <c r="H56" s="3750" t="s">
        <v>257</v>
      </c>
      <c r="I56" s="3750"/>
      <c r="J56" s="3750"/>
      <c r="K56" s="3750"/>
      <c r="M56" s="3750" t="s">
        <v>1107</v>
      </c>
      <c r="N56" s="3750"/>
      <c r="O56" s="3750"/>
      <c r="T56" s="1868">
        <v>1500000</v>
      </c>
      <c r="V56" s="1869">
        <f>SUM(V54:V55)</f>
        <v>1523</v>
      </c>
      <c r="W56" s="1869">
        <f>SUM(W54:W55)</f>
        <v>699</v>
      </c>
      <c r="X56" s="894">
        <f>+V56-W56</f>
        <v>824</v>
      </c>
    </row>
    <row r="58" spans="1:24">
      <c r="H58" s="386"/>
    </row>
  </sheetData>
  <mergeCells count="25">
    <mergeCell ref="A53:G53"/>
    <mergeCell ref="A54:O54"/>
    <mergeCell ref="A12:A14"/>
    <mergeCell ref="K13:K14"/>
    <mergeCell ref="L13:L14"/>
    <mergeCell ref="M12:M14"/>
    <mergeCell ref="O12:O14"/>
    <mergeCell ref="E12:E14"/>
    <mergeCell ref="F12:F14"/>
    <mergeCell ref="H56:K56"/>
    <mergeCell ref="A8:O8"/>
    <mergeCell ref="A1:O1"/>
    <mergeCell ref="A2:O2"/>
    <mergeCell ref="A7:O7"/>
    <mergeCell ref="A3:O3"/>
    <mergeCell ref="A4:H4"/>
    <mergeCell ref="A5:H5"/>
    <mergeCell ref="L55:O55"/>
    <mergeCell ref="C56:E56"/>
    <mergeCell ref="H12:L12"/>
    <mergeCell ref="N12:N13"/>
    <mergeCell ref="M56:O56"/>
    <mergeCell ref="B12:C14"/>
    <mergeCell ref="H13:J13"/>
    <mergeCell ref="G12:G14"/>
  </mergeCells>
  <pageMargins left="0.19685039370078741" right="0.26" top="0.43307086614173229" bottom="0.39370078740157483" header="0.31496062992125984" footer="0.31496062992125984"/>
  <pageSetup paperSize="9" scale="7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W34"/>
  <sheetViews>
    <sheetView zoomScale="85" zoomScaleNormal="85" workbookViewId="0">
      <selection activeCell="H34" sqref="H34:K34"/>
    </sheetView>
  </sheetViews>
  <sheetFormatPr defaultColWidth="9.375" defaultRowHeight="29.25" customHeight="1"/>
  <cols>
    <col min="1" max="1" width="4.375" style="156" customWidth="1"/>
    <col min="2" max="2" width="5.375" style="156" hidden="1" customWidth="1"/>
    <col min="3" max="3" width="16.25" style="280" customWidth="1"/>
    <col min="4" max="4" width="8.375" style="156" hidden="1" customWidth="1"/>
    <col min="5" max="5" width="10.625" style="280" customWidth="1"/>
    <col min="6" max="6" width="10.625" style="2002" customWidth="1"/>
    <col min="7" max="7" width="10.375" style="280" customWidth="1"/>
    <col min="8" max="9" width="17.375" style="1867" customWidth="1"/>
    <col min="10" max="10" width="12.25" style="156" hidden="1" customWidth="1"/>
    <col min="11" max="11" width="14.875" style="156" customWidth="1"/>
    <col min="12" max="12" width="16.375" style="156" customWidth="1"/>
    <col min="13" max="13" width="19.875" style="156" customWidth="1"/>
    <col min="14" max="14" width="6.125" style="156" hidden="1" customWidth="1"/>
    <col min="15" max="15" width="17.875" style="156" customWidth="1"/>
    <col min="16" max="16" width="19.25" style="156" bestFit="1" customWidth="1"/>
    <col min="17" max="17" width="13.375" style="156" customWidth="1"/>
    <col min="18" max="18" width="18.25" style="156" customWidth="1"/>
    <col min="19" max="19" width="16.125" style="156" customWidth="1"/>
    <col min="20" max="20" width="16.25" style="156" bestFit="1" customWidth="1"/>
    <col min="21" max="21" width="14.625" style="156" customWidth="1"/>
    <col min="22" max="22" width="15" style="156" customWidth="1"/>
    <col min="23" max="23" width="20.25" style="156" customWidth="1"/>
    <col min="24" max="16384" width="9.375" style="156"/>
  </cols>
  <sheetData>
    <row r="1" spans="1:19" ht="22.5" customHeight="1">
      <c r="A1" s="3666" t="s">
        <v>165</v>
      </c>
      <c r="B1" s="3666"/>
      <c r="C1" s="3666"/>
      <c r="D1" s="3666"/>
      <c r="E1" s="3666"/>
      <c r="F1" s="3666"/>
      <c r="G1" s="3666"/>
      <c r="H1" s="3666"/>
      <c r="I1" s="3666"/>
      <c r="J1" s="3666"/>
      <c r="K1" s="3666"/>
      <c r="L1" s="3666"/>
      <c r="M1" s="3666"/>
      <c r="N1" s="3666"/>
      <c r="O1" s="3666"/>
    </row>
    <row r="2" spans="1:19" ht="22.5" customHeight="1">
      <c r="A2" s="3666" t="s">
        <v>171</v>
      </c>
      <c r="B2" s="3666"/>
      <c r="C2" s="3666"/>
      <c r="D2" s="3666"/>
      <c r="E2" s="3666"/>
      <c r="F2" s="3666"/>
      <c r="G2" s="3666"/>
      <c r="H2" s="3666"/>
      <c r="I2" s="3666"/>
      <c r="J2" s="3666"/>
      <c r="K2" s="3666"/>
      <c r="L2" s="3666"/>
      <c r="M2" s="3666"/>
      <c r="N2" s="3666"/>
      <c r="O2" s="3666"/>
    </row>
    <row r="3" spans="1:19" ht="22.5" customHeight="1">
      <c r="A3" s="3671" t="s">
        <v>726</v>
      </c>
      <c r="B3" s="3671"/>
      <c r="C3" s="3671"/>
      <c r="D3" s="3671"/>
      <c r="E3" s="3671"/>
      <c r="F3" s="3671"/>
      <c r="G3" s="3671"/>
      <c r="H3" s="3671"/>
      <c r="I3" s="3671"/>
      <c r="J3" s="3671"/>
      <c r="K3" s="3671"/>
      <c r="L3" s="3671"/>
      <c r="M3" s="3671"/>
      <c r="N3" s="3671"/>
      <c r="O3" s="3671"/>
    </row>
    <row r="4" spans="1:19" ht="22.5" customHeight="1">
      <c r="A4" s="3670" t="s">
        <v>574</v>
      </c>
      <c r="B4" s="3670"/>
      <c r="C4" s="3670"/>
      <c r="D4" s="3670"/>
      <c r="E4" s="3670"/>
      <c r="F4" s="3670"/>
      <c r="G4" s="3670"/>
      <c r="H4" s="3670"/>
      <c r="J4" s="1535"/>
    </row>
    <row r="5" spans="1:19" ht="16.5" customHeight="1">
      <c r="A5" s="3666" t="s">
        <v>541</v>
      </c>
      <c r="B5" s="3666"/>
      <c r="C5" s="3666"/>
      <c r="D5" s="3666"/>
      <c r="E5" s="3666"/>
      <c r="F5" s="3666"/>
      <c r="G5" s="3666"/>
      <c r="H5" s="3666"/>
      <c r="I5" s="2001"/>
      <c r="J5" s="1536"/>
    </row>
    <row r="6" spans="1:19" ht="22.5" customHeight="1">
      <c r="A6" s="693"/>
      <c r="B6" s="693"/>
      <c r="C6" s="693"/>
      <c r="D6" s="693"/>
      <c r="E6" s="693"/>
      <c r="F6" s="2000"/>
      <c r="G6" s="693"/>
      <c r="H6" s="2001"/>
      <c r="I6" s="2001"/>
      <c r="J6" s="693"/>
      <c r="K6" s="693"/>
      <c r="L6" s="693"/>
      <c r="M6" s="693"/>
      <c r="N6" s="693"/>
      <c r="O6" s="693"/>
    </row>
    <row r="7" spans="1:19" ht="22.5" customHeight="1">
      <c r="A7" s="3672" t="s">
        <v>1012</v>
      </c>
      <c r="B7" s="3672"/>
      <c r="C7" s="3672"/>
      <c r="D7" s="3672"/>
      <c r="E7" s="3672"/>
      <c r="F7" s="3672"/>
      <c r="G7" s="3672"/>
      <c r="H7" s="3672"/>
      <c r="I7" s="3672"/>
      <c r="J7" s="3672"/>
      <c r="K7" s="3672"/>
      <c r="L7" s="3672"/>
      <c r="M7" s="3672"/>
      <c r="N7" s="3672"/>
      <c r="O7" s="3672"/>
    </row>
    <row r="8" spans="1:19" ht="22.5" customHeight="1">
      <c r="A8" s="3672" t="s">
        <v>322</v>
      </c>
      <c r="B8" s="3672"/>
      <c r="C8" s="3672"/>
      <c r="D8" s="3672"/>
      <c r="E8" s="3672"/>
      <c r="F8" s="3672"/>
      <c r="G8" s="3672"/>
      <c r="H8" s="3672"/>
      <c r="I8" s="3672"/>
      <c r="J8" s="3672"/>
      <c r="K8" s="3672"/>
      <c r="L8" s="3672"/>
      <c r="M8" s="3672"/>
      <c r="N8" s="3672"/>
      <c r="O8" s="3672"/>
    </row>
    <row r="9" spans="1:19" ht="13.5" hidden="1" customHeight="1">
      <c r="A9" s="1379"/>
      <c r="B9" s="1379"/>
      <c r="C9" s="1389" t="s">
        <v>847</v>
      </c>
      <c r="D9" s="1389"/>
      <c r="E9" s="1389">
        <f>'Tổ 1'!E9</f>
        <v>21178</v>
      </c>
      <c r="F9" s="1389"/>
      <c r="G9" s="1379"/>
      <c r="H9" s="2008"/>
      <c r="I9" s="2008"/>
      <c r="J9" s="1379"/>
      <c r="K9" s="1379"/>
      <c r="L9" s="1379"/>
      <c r="M9" s="1379"/>
      <c r="N9" s="1379"/>
      <c r="O9" s="1379"/>
    </row>
    <row r="10" spans="1:19" ht="13.5" hidden="1" customHeight="1">
      <c r="C10" s="1390" t="s">
        <v>848</v>
      </c>
      <c r="D10" s="1391"/>
      <c r="E10" s="1562">
        <f>'Tổ 1'!E10</f>
        <v>0.98919999999999997</v>
      </c>
      <c r="F10" s="1562"/>
    </row>
    <row r="11" spans="1:19" ht="13.5" hidden="1" customHeight="1">
      <c r="C11" s="1390" t="s">
        <v>894</v>
      </c>
      <c r="D11" s="1391"/>
      <c r="E11" s="1389">
        <f>'Tổ 1'!E11</f>
        <v>653.07000000000005</v>
      </c>
      <c r="F11" s="1389"/>
    </row>
    <row r="12" spans="1:19" ht="29.25" customHeight="1">
      <c r="A12" s="3802" t="s">
        <v>1</v>
      </c>
      <c r="B12" s="3803" t="s">
        <v>2</v>
      </c>
      <c r="C12" s="3804"/>
      <c r="D12" s="1524"/>
      <c r="E12" s="3802" t="s">
        <v>5</v>
      </c>
      <c r="F12" s="3812" t="s">
        <v>9</v>
      </c>
      <c r="G12" s="3812" t="s">
        <v>853</v>
      </c>
      <c r="H12" s="3802" t="s">
        <v>6</v>
      </c>
      <c r="I12" s="3802"/>
      <c r="J12" s="3802"/>
      <c r="K12" s="3802"/>
      <c r="L12" s="3802"/>
      <c r="M12" s="3802" t="s">
        <v>233</v>
      </c>
      <c r="N12" s="3802" t="s">
        <v>8</v>
      </c>
      <c r="O12" s="3819" t="s">
        <v>1155</v>
      </c>
    </row>
    <row r="13" spans="1:19" ht="36" customHeight="1">
      <c r="A13" s="3802"/>
      <c r="B13" s="3805"/>
      <c r="C13" s="3806"/>
      <c r="D13" s="2004"/>
      <c r="E13" s="3802"/>
      <c r="F13" s="3813"/>
      <c r="G13" s="3813"/>
      <c r="H13" s="3809" t="s">
        <v>1161</v>
      </c>
      <c r="I13" s="3810"/>
      <c r="J13" s="3811"/>
      <c r="K13" s="3819" t="s">
        <v>56</v>
      </c>
      <c r="L13" s="3819" t="s">
        <v>57</v>
      </c>
      <c r="M13" s="3802"/>
      <c r="N13" s="3802"/>
      <c r="O13" s="3821"/>
    </row>
    <row r="14" spans="1:19" ht="38.25" customHeight="1">
      <c r="A14" s="3802"/>
      <c r="B14" s="3807"/>
      <c r="C14" s="3808"/>
      <c r="D14" s="1524" t="s">
        <v>239</v>
      </c>
      <c r="E14" s="3812"/>
      <c r="F14" s="3813"/>
      <c r="G14" s="3813"/>
      <c r="H14" s="2017" t="s">
        <v>362</v>
      </c>
      <c r="I14" s="2026" t="s">
        <v>24</v>
      </c>
      <c r="J14" s="2026" t="s">
        <v>24</v>
      </c>
      <c r="K14" s="3821"/>
      <c r="L14" s="3821"/>
      <c r="M14" s="3812"/>
      <c r="N14" s="3812"/>
      <c r="O14" s="3821"/>
    </row>
    <row r="15" spans="1:19" ht="29.25" customHeight="1">
      <c r="A15" s="1585">
        <v>1</v>
      </c>
      <c r="B15" s="1604" t="s">
        <v>438</v>
      </c>
      <c r="C15" s="1605" t="str">
        <f>'Chấm công công nhân'!L50</f>
        <v>Thảo tít</v>
      </c>
      <c r="D15" s="1587"/>
      <c r="E15" s="1592" t="s">
        <v>40</v>
      </c>
      <c r="F15" s="1592"/>
      <c r="G15" s="1592" t="s">
        <v>273</v>
      </c>
      <c r="H15" s="2015">
        <f>+VLOOKUP(C15,'BẢNG LƯƠNG KT'!C55:G69,5,0)</f>
        <v>0</v>
      </c>
      <c r="I15" s="2032">
        <f>H15*25000</f>
        <v>0</v>
      </c>
      <c r="J15" s="1592"/>
      <c r="K15" s="1597">
        <f>+VLOOKUP(C15,'BẢNG LƯƠNG KT'!C55:L55,10,0)</f>
        <v>3773841.1990038231</v>
      </c>
      <c r="L15" s="1597">
        <f>+VLOOKUP(C15,'BẢNG LƯƠNG KT'!C55:S55,15,0)</f>
        <v>30</v>
      </c>
      <c r="M15" s="1597">
        <f>SUM(I15:L15)</f>
        <v>3773871.1990038231</v>
      </c>
      <c r="N15" s="1597"/>
      <c r="O15" s="1597">
        <f>M15</f>
        <v>3773871.1990038231</v>
      </c>
    </row>
    <row r="16" spans="1:19" ht="29.25" customHeight="1">
      <c r="A16" s="1592">
        <v>2</v>
      </c>
      <c r="B16" s="1593" t="s">
        <v>440</v>
      </c>
      <c r="C16" s="1605" t="str">
        <f>'Chấm công công nhân'!L51</f>
        <v>Thảo ớt</v>
      </c>
      <c r="D16" s="1594"/>
      <c r="E16" s="1592" t="s">
        <v>40</v>
      </c>
      <c r="F16" s="1592"/>
      <c r="G16" s="1592" t="s">
        <v>273</v>
      </c>
      <c r="H16" s="2015">
        <f>+VLOOKUP(C16,'BẢNG LƯƠNG KT'!C56:G71,5,0)</f>
        <v>0</v>
      </c>
      <c r="I16" s="2032">
        <f t="shared" ref="I16:I29" si="0">H16*25000</f>
        <v>0</v>
      </c>
      <c r="J16" s="1592"/>
      <c r="K16" s="1597">
        <f>+VLOOKUP(C16,'BẢNG LƯƠNG KT'!C56:L56,10,0)</f>
        <v>4434873.4927735673</v>
      </c>
      <c r="L16" s="1597">
        <f>+VLOOKUP(C16,'BẢNG LƯƠNG KT'!C56:S56,15,0)</f>
        <v>31</v>
      </c>
      <c r="M16" s="1597">
        <f t="shared" ref="M16:M29" si="1">SUM(I16:L16)</f>
        <v>4434904.4927735673</v>
      </c>
      <c r="N16" s="1597"/>
      <c r="O16" s="1597">
        <f t="shared" ref="O16:O29" si="2">M16</f>
        <v>4434904.4927735673</v>
      </c>
      <c r="S16" s="798">
        <v>244427</v>
      </c>
    </row>
    <row r="17" spans="1:23" ht="29.25" customHeight="1">
      <c r="A17" s="1592">
        <v>3</v>
      </c>
      <c r="B17" s="1593" t="s">
        <v>442</v>
      </c>
      <c r="C17" s="1605" t="str">
        <f>'Chấm công công nhân'!L52</f>
        <v>Nàng Ọt</v>
      </c>
      <c r="D17" s="1594"/>
      <c r="E17" s="1592" t="s">
        <v>40</v>
      </c>
      <c r="F17" s="1592"/>
      <c r="G17" s="1592" t="s">
        <v>273</v>
      </c>
      <c r="H17" s="2015">
        <f>+VLOOKUP(C17,'BẢNG LƯƠNG KT'!C57:G72,5,0)</f>
        <v>0</v>
      </c>
      <c r="I17" s="2032">
        <f t="shared" si="0"/>
        <v>0</v>
      </c>
      <c r="J17" s="1592"/>
      <c r="K17" s="1597">
        <f>+VLOOKUP(C17,'BẢNG LƯƠNG KT'!C57:L57,10,0)</f>
        <v>3924206.4611555557</v>
      </c>
      <c r="L17" s="1597">
        <f>+VLOOKUP(C17,'BẢNG LƯƠNG KT'!C57:S57,15,0)</f>
        <v>31</v>
      </c>
      <c r="M17" s="1597">
        <f t="shared" si="1"/>
        <v>3924237.4611555557</v>
      </c>
      <c r="N17" s="1597"/>
      <c r="O17" s="1597">
        <f t="shared" si="2"/>
        <v>3924237.4611555557</v>
      </c>
      <c r="S17" s="798">
        <v>14473</v>
      </c>
    </row>
    <row r="18" spans="1:23" ht="29.25" customHeight="1">
      <c r="A18" s="1592">
        <v>4</v>
      </c>
      <c r="B18" s="1593" t="s">
        <v>444</v>
      </c>
      <c r="C18" s="1605" t="str">
        <f>'Chấm công công nhân'!L53</f>
        <v>Thào Tòng</v>
      </c>
      <c r="D18" s="1594"/>
      <c r="E18" s="1592" t="s">
        <v>40</v>
      </c>
      <c r="F18" s="1592"/>
      <c r="G18" s="1592" t="s">
        <v>273</v>
      </c>
      <c r="H18" s="2015">
        <f>+VLOOKUP(C18,'BẢNG LƯƠNG KT'!C58:G73,5,0)</f>
        <v>0</v>
      </c>
      <c r="I18" s="2032">
        <f t="shared" si="0"/>
        <v>0</v>
      </c>
      <c r="J18" s="1592"/>
      <c r="K18" s="1597">
        <f>+VLOOKUP(C18,'BẢNG LƯƠNG KT'!C58:L58,10,0)</f>
        <v>3912765.6259918371</v>
      </c>
      <c r="L18" s="1597">
        <f>+VLOOKUP(C18,'BẢNG LƯƠNG KT'!C58:S58,15,0)</f>
        <v>31</v>
      </c>
      <c r="M18" s="1597">
        <f t="shared" si="1"/>
        <v>3912796.6259918371</v>
      </c>
      <c r="N18" s="1597"/>
      <c r="O18" s="1597">
        <f t="shared" si="2"/>
        <v>3912796.6259918371</v>
      </c>
      <c r="S18" s="814">
        <f>+S16+S17</f>
        <v>258900</v>
      </c>
      <c r="T18" s="684"/>
      <c r="U18" s="156">
        <v>3</v>
      </c>
      <c r="V18" s="156">
        <v>50</v>
      </c>
      <c r="W18" s="156">
        <f>+U18*V18</f>
        <v>150</v>
      </c>
    </row>
    <row r="19" spans="1:23" ht="29.25" customHeight="1">
      <c r="A19" s="1592">
        <v>5</v>
      </c>
      <c r="B19" s="1593" t="s">
        <v>446</v>
      </c>
      <c r="C19" s="1605" t="str">
        <f>'Chấm công công nhân'!L54</f>
        <v>Nàng Nơm</v>
      </c>
      <c r="D19" s="1594"/>
      <c r="E19" s="1592" t="s">
        <v>40</v>
      </c>
      <c r="F19" s="1592"/>
      <c r="G19" s="1592" t="s">
        <v>273</v>
      </c>
      <c r="H19" s="2015">
        <f>+VLOOKUP(C19,'BẢNG LƯƠNG KT'!C59:G74,5,0)</f>
        <v>0</v>
      </c>
      <c r="I19" s="2032">
        <f t="shared" si="0"/>
        <v>0</v>
      </c>
      <c r="J19" s="1592"/>
      <c r="K19" s="1597">
        <f>+VLOOKUP(C19,'BẢNG LƯƠNG KT'!C59:L59,10,0)</f>
        <v>4106555.3388511827</v>
      </c>
      <c r="L19" s="1597">
        <f>+VLOOKUP(C19,'BẢNG LƯƠNG KT'!C59:S59,15,0)</f>
        <v>31</v>
      </c>
      <c r="M19" s="1597">
        <f t="shared" si="1"/>
        <v>4106586.3388511827</v>
      </c>
      <c r="N19" s="1597"/>
      <c r="O19" s="1597">
        <f t="shared" si="2"/>
        <v>4106586.3388511827</v>
      </c>
      <c r="S19" s="156">
        <v>850</v>
      </c>
      <c r="T19" s="814"/>
      <c r="W19" s="156">
        <v>100</v>
      </c>
    </row>
    <row r="20" spans="1:23" ht="29.25" customHeight="1">
      <c r="A20" s="1592">
        <v>6</v>
      </c>
      <c r="B20" s="1593" t="s">
        <v>448</v>
      </c>
      <c r="C20" s="1605" t="str">
        <f>'Chấm công công nhân'!L55</f>
        <v>Thảo Ây</v>
      </c>
      <c r="D20" s="1594"/>
      <c r="E20" s="1592" t="s">
        <v>40</v>
      </c>
      <c r="F20" s="1592"/>
      <c r="G20" s="1592" t="s">
        <v>273</v>
      </c>
      <c r="H20" s="2015">
        <f>+VLOOKUP(C20,'BẢNG LƯƠNG KT'!C60:G75,5,0)</f>
        <v>0</v>
      </c>
      <c r="I20" s="2032">
        <f t="shared" si="0"/>
        <v>0</v>
      </c>
      <c r="J20" s="1592"/>
      <c r="K20" s="1597">
        <f>+VLOOKUP(C20,'BẢNG LƯƠNG KT'!C60:L60,10,0)</f>
        <v>4087646.9634943963</v>
      </c>
      <c r="L20" s="1597">
        <f>+VLOOKUP(C20,'BẢNG LƯƠNG KT'!C60:S60,15,0)</f>
        <v>31</v>
      </c>
      <c r="M20" s="1597">
        <f t="shared" si="1"/>
        <v>4087677.9634943963</v>
      </c>
      <c r="N20" s="1597"/>
      <c r="O20" s="1597">
        <f t="shared" si="2"/>
        <v>4087677.9634943963</v>
      </c>
      <c r="S20" s="814">
        <f>+S18-S19</f>
        <v>258050</v>
      </c>
    </row>
    <row r="21" spans="1:23" ht="29.25" customHeight="1">
      <c r="A21" s="1592">
        <v>7</v>
      </c>
      <c r="B21" s="1593" t="s">
        <v>452</v>
      </c>
      <c r="C21" s="1605" t="str">
        <f>'Chấm công công nhân'!L56</f>
        <v>Thảo Âm Thong</v>
      </c>
      <c r="D21" s="1594"/>
      <c r="E21" s="1592" t="s">
        <v>40</v>
      </c>
      <c r="F21" s="1592"/>
      <c r="G21" s="1592" t="s">
        <v>273</v>
      </c>
      <c r="H21" s="2015">
        <f>+VLOOKUP(C21,'BẢNG LƯƠNG KT'!C61:G76,5,0)</f>
        <v>0</v>
      </c>
      <c r="I21" s="2032">
        <f t="shared" si="0"/>
        <v>0</v>
      </c>
      <c r="J21" s="1592"/>
      <c r="K21" s="1597">
        <f>+VLOOKUP(C21,'BẢNG LƯƠNG KT'!C61:L61,10,0)</f>
        <v>3115232.333372206</v>
      </c>
      <c r="L21" s="1597">
        <f>+VLOOKUP(C21,'BẢNG LƯƠNG KT'!C61:S61,15,0)</f>
        <v>27</v>
      </c>
      <c r="M21" s="1597">
        <f t="shared" si="1"/>
        <v>3115259.333372206</v>
      </c>
      <c r="N21" s="1597"/>
      <c r="O21" s="1597">
        <f t="shared" si="2"/>
        <v>3115259.333372206</v>
      </c>
    </row>
    <row r="22" spans="1:23" ht="29.25" customHeight="1">
      <c r="A22" s="1592">
        <v>8</v>
      </c>
      <c r="B22" s="1593" t="s">
        <v>456</v>
      </c>
      <c r="C22" s="1605" t="str">
        <f>'Chấm công công nhân'!L57</f>
        <v>Nàng phon</v>
      </c>
      <c r="D22" s="1594"/>
      <c r="E22" s="1592" t="s">
        <v>40</v>
      </c>
      <c r="F22" s="1592"/>
      <c r="G22" s="1592" t="s">
        <v>273</v>
      </c>
      <c r="H22" s="2015">
        <f>+VLOOKUP(C22,'BẢNG LƯƠNG KT'!C62:G77,5,0)</f>
        <v>0</v>
      </c>
      <c r="I22" s="2032">
        <f t="shared" si="0"/>
        <v>0</v>
      </c>
      <c r="J22" s="1592"/>
      <c r="K22" s="1597">
        <f>+VLOOKUP(C22,'BẢNG LƯƠNG KT'!C62:L62,10,0)</f>
        <v>3618572.7217819244</v>
      </c>
      <c r="L22" s="1597">
        <f>+VLOOKUP(C22,'BẢNG LƯƠNG KT'!C62:S62,15,0)</f>
        <v>28</v>
      </c>
      <c r="M22" s="1597">
        <f t="shared" si="1"/>
        <v>3618600.7217819244</v>
      </c>
      <c r="N22" s="1597"/>
      <c r="O22" s="1597">
        <f t="shared" si="2"/>
        <v>3618600.7217819244</v>
      </c>
    </row>
    <row r="23" spans="1:23" ht="29.25" customHeight="1">
      <c r="A23" s="1592">
        <v>9</v>
      </c>
      <c r="B23" s="1593" t="s">
        <v>475</v>
      </c>
      <c r="C23" s="1605" t="str">
        <f>'Chấm công công nhân'!L58</f>
        <v>Thảo phắt</v>
      </c>
      <c r="D23" s="1594"/>
      <c r="E23" s="1592" t="s">
        <v>40</v>
      </c>
      <c r="F23" s="1592"/>
      <c r="G23" s="1592" t="s">
        <v>273</v>
      </c>
      <c r="H23" s="2015">
        <f>+VLOOKUP(C23,'BẢNG LƯƠNG KT'!C63:G78,5,0)</f>
        <v>0</v>
      </c>
      <c r="I23" s="2032">
        <f t="shared" si="0"/>
        <v>0</v>
      </c>
      <c r="J23" s="1592"/>
      <c r="K23" s="1597">
        <f>+VLOOKUP(C23,'BẢNG LƯƠNG KT'!C63:L63,10,0)</f>
        <v>4197152.1000614185</v>
      </c>
      <c r="L23" s="1597">
        <f>+VLOOKUP(C23,'BẢNG LƯƠNG KT'!C63:S63,15,0)</f>
        <v>31</v>
      </c>
      <c r="M23" s="1597">
        <f t="shared" si="1"/>
        <v>4197183.1000614185</v>
      </c>
      <c r="N23" s="1597"/>
      <c r="O23" s="1597">
        <f t="shared" si="2"/>
        <v>4197183.1000614185</v>
      </c>
    </row>
    <row r="24" spans="1:23" ht="29.25" customHeight="1">
      <c r="A24" s="1592">
        <v>10</v>
      </c>
      <c r="B24" s="1593" t="s">
        <v>477</v>
      </c>
      <c r="C24" s="1605" t="str">
        <f>'Chấm công công nhân'!L59</f>
        <v>Thảo Phon Say</v>
      </c>
      <c r="D24" s="1594"/>
      <c r="E24" s="1592" t="s">
        <v>40</v>
      </c>
      <c r="F24" s="1592"/>
      <c r="G24" s="1592" t="s">
        <v>273</v>
      </c>
      <c r="H24" s="2015">
        <f>+VLOOKUP(C24,'BẢNG LƯƠNG KT'!C64:G78,5,0)</f>
        <v>0</v>
      </c>
      <c r="I24" s="2032">
        <f t="shared" si="0"/>
        <v>0</v>
      </c>
      <c r="J24" s="1592"/>
      <c r="K24" s="1597">
        <f>+VLOOKUP(C24,'BẢNG LƯƠNG KT'!C64:L64,10,0)</f>
        <v>4352420.5772833172</v>
      </c>
      <c r="L24" s="1597">
        <f>+VLOOKUP(C24,'BẢNG LƯƠNG KT'!C64:S64,15,0)</f>
        <v>31</v>
      </c>
      <c r="M24" s="1597">
        <f t="shared" si="1"/>
        <v>4352451.5772833172</v>
      </c>
      <c r="N24" s="1597"/>
      <c r="O24" s="1597">
        <f t="shared" si="2"/>
        <v>4352451.5772833172</v>
      </c>
    </row>
    <row r="25" spans="1:23" ht="29.25" customHeight="1">
      <c r="A25" s="1592">
        <v>11</v>
      </c>
      <c r="B25" s="1593"/>
      <c r="C25" s="1605" t="str">
        <f>'Chấm công công nhân'!L60</f>
        <v>Nàng Pít</v>
      </c>
      <c r="D25" s="1594"/>
      <c r="E25" s="1592" t="s">
        <v>40</v>
      </c>
      <c r="F25" s="1592"/>
      <c r="G25" s="1592" t="s">
        <v>273</v>
      </c>
      <c r="H25" s="2015">
        <f>+VLOOKUP(C25,'BẢNG LƯƠNG KT'!C65:G78,5,0)</f>
        <v>0</v>
      </c>
      <c r="I25" s="2032">
        <f t="shared" si="0"/>
        <v>0</v>
      </c>
      <c r="J25" s="1592"/>
      <c r="K25" s="1597">
        <f>+VLOOKUP(C25,'BẢNG LƯƠNG KT'!C65:L65,10,0)</f>
        <v>3547645.1796462587</v>
      </c>
      <c r="L25" s="1597">
        <f>+VLOOKUP(C25,'BẢNG LƯƠNG KT'!C65:S65,15,0)</f>
        <v>30</v>
      </c>
      <c r="M25" s="1597">
        <f t="shared" si="1"/>
        <v>3547675.1796462587</v>
      </c>
      <c r="N25" s="1597"/>
      <c r="O25" s="1597">
        <f t="shared" si="2"/>
        <v>3547675.1796462587</v>
      </c>
    </row>
    <row r="26" spans="1:23" ht="29.25" customHeight="1">
      <c r="A26" s="1592">
        <v>12</v>
      </c>
      <c r="B26" s="1593"/>
      <c r="C26" s="1605" t="str">
        <f>'Chấm công công nhân'!L61</f>
        <v>Thảo út</v>
      </c>
      <c r="D26" s="1594"/>
      <c r="E26" s="1592" t="s">
        <v>40</v>
      </c>
      <c r="F26" s="1592"/>
      <c r="G26" s="1592" t="s">
        <v>273</v>
      </c>
      <c r="H26" s="2015">
        <f>+VLOOKUP(C26,'BẢNG LƯƠNG KT'!C66:G78,5,0)</f>
        <v>0</v>
      </c>
      <c r="I26" s="2032">
        <f t="shared" si="0"/>
        <v>0</v>
      </c>
      <c r="J26" s="1592"/>
      <c r="K26" s="1597">
        <f>+VLOOKUP(C26,'BẢNG LƯƠNG KT'!C66:L66,10,0)</f>
        <v>4501912.2781294463</v>
      </c>
      <c r="L26" s="1597">
        <f>+VLOOKUP(C26,'BẢNG LƯƠNG KT'!C66:S66,15,0)</f>
        <v>31</v>
      </c>
      <c r="M26" s="1597">
        <f t="shared" si="1"/>
        <v>4501943.2781294463</v>
      </c>
      <c r="N26" s="1597"/>
      <c r="O26" s="1597">
        <f t="shared" si="2"/>
        <v>4501943.2781294463</v>
      </c>
    </row>
    <row r="27" spans="1:23" ht="29.25" customHeight="1">
      <c r="A27" s="1592">
        <v>13</v>
      </c>
      <c r="B27" s="1593"/>
      <c r="C27" s="1605" t="str">
        <f>'Chấm công công nhân'!L62</f>
        <v>Nàng ăm</v>
      </c>
      <c r="D27" s="1594"/>
      <c r="E27" s="1592" t="s">
        <v>40</v>
      </c>
      <c r="F27" s="1592"/>
      <c r="G27" s="1592" t="s">
        <v>273</v>
      </c>
      <c r="H27" s="2015">
        <f>+VLOOKUP(C27,'BẢNG LƯƠNG KT'!C67:G78,5,0)</f>
        <v>0</v>
      </c>
      <c r="I27" s="2032">
        <f t="shared" si="0"/>
        <v>0</v>
      </c>
      <c r="J27" s="1592"/>
      <c r="K27" s="1597">
        <f>+VLOOKUP(C27,'BẢNG LƯƠNG KT'!C67:L67,10,0)</f>
        <v>4515861.0796221578</v>
      </c>
      <c r="L27" s="1597">
        <f>+VLOOKUP(C27,'BẢNG LƯƠNG KT'!C67:S67,15,0)</f>
        <v>27</v>
      </c>
      <c r="M27" s="1597">
        <f t="shared" si="1"/>
        <v>4515888.0796221578</v>
      </c>
      <c r="N27" s="1597"/>
      <c r="O27" s="1597">
        <f t="shared" si="2"/>
        <v>4515888.0796221578</v>
      </c>
    </row>
    <row r="28" spans="1:23" ht="29.25" customHeight="1">
      <c r="A28" s="1592">
        <v>14</v>
      </c>
      <c r="B28" s="1593"/>
      <c r="C28" s="1605" t="str">
        <f>'Chấm công công nhân'!L63</f>
        <v>Nàng Phìn</v>
      </c>
      <c r="D28" s="1594"/>
      <c r="E28" s="1592" t="s">
        <v>40</v>
      </c>
      <c r="F28" s="1592"/>
      <c r="G28" s="1592" t="s">
        <v>273</v>
      </c>
      <c r="H28" s="2015">
        <f>+VLOOKUP(C28,'BẢNG LƯƠNG KT'!C68:G78,5,0)</f>
        <v>0</v>
      </c>
      <c r="I28" s="2032">
        <f t="shared" si="0"/>
        <v>0</v>
      </c>
      <c r="J28" s="1592"/>
      <c r="K28" s="1597">
        <f>+VLOOKUP(C28,'BẢNG LƯƠNG KT'!C68:L68,10,0)</f>
        <v>4565513.1770568201</v>
      </c>
      <c r="L28" s="1597">
        <f>+VLOOKUP(C28,'BẢNG LƯƠNG KT'!C68:S68,15,0)</f>
        <v>31</v>
      </c>
      <c r="M28" s="1597">
        <f t="shared" si="1"/>
        <v>4565544.1770568201</v>
      </c>
      <c r="N28" s="1597"/>
      <c r="O28" s="1597">
        <f t="shared" si="2"/>
        <v>4565544.1770568201</v>
      </c>
    </row>
    <row r="29" spans="1:23" ht="21" customHeight="1">
      <c r="A29" s="1599">
        <v>15</v>
      </c>
      <c r="B29" s="1600"/>
      <c r="C29" s="1605" t="str">
        <f>'Chấm công công nhân'!L64</f>
        <v>May</v>
      </c>
      <c r="D29" s="1601"/>
      <c r="E29" s="2027" t="s">
        <v>40</v>
      </c>
      <c r="F29" s="2027"/>
      <c r="G29" s="2027" t="s">
        <v>273</v>
      </c>
      <c r="H29" s="2028">
        <f>+VLOOKUP(C29,'BẢNG LƯƠNG KT'!C69:G78,5,0)</f>
        <v>0</v>
      </c>
      <c r="I29" s="2029">
        <f t="shared" si="0"/>
        <v>0</v>
      </c>
      <c r="J29" s="2027"/>
      <c r="K29" s="2030">
        <f>+VLOOKUP(C29,'BẢNG LƯƠNG KT'!C69:L69,10,0)</f>
        <v>4831949.3752660844</v>
      </c>
      <c r="L29" s="2030">
        <f>+VLOOKUP(C29,'BẢNG LƯƠNG KT'!C69:S69,15,0)</f>
        <v>28</v>
      </c>
      <c r="M29" s="2031">
        <f t="shared" si="1"/>
        <v>4831977.3752660844</v>
      </c>
      <c r="N29" s="2030"/>
      <c r="O29" s="2031">
        <f t="shared" si="2"/>
        <v>4831977.3752660844</v>
      </c>
    </row>
    <row r="30" spans="1:23" s="801" customFormat="1" ht="29.25" customHeight="1">
      <c r="A30" s="3822" t="s">
        <v>184</v>
      </c>
      <c r="B30" s="3823"/>
      <c r="C30" s="3823"/>
      <c r="D30" s="3823"/>
      <c r="E30" s="3823"/>
      <c r="F30" s="3823"/>
      <c r="G30" s="3824"/>
      <c r="H30" s="2016">
        <f>SUM(H15:H29)</f>
        <v>0</v>
      </c>
      <c r="I30" s="2016">
        <f t="shared" ref="I30:N30" si="3">SUM(I15:I29)</f>
        <v>0</v>
      </c>
      <c r="J30" s="2012">
        <f t="shared" si="3"/>
        <v>0</v>
      </c>
      <c r="K30" s="2018">
        <f>SUM(K15:K29)</f>
        <v>61486147.903489992</v>
      </c>
      <c r="L30" s="2018">
        <f t="shared" si="3"/>
        <v>449</v>
      </c>
      <c r="M30" s="2019">
        <f t="shared" si="3"/>
        <v>61486596.903489992</v>
      </c>
      <c r="N30" s="2019">
        <f t="shared" si="3"/>
        <v>0</v>
      </c>
      <c r="O30" s="2019">
        <f>SUM(O15:O29)</f>
        <v>61486596.903489992</v>
      </c>
    </row>
    <row r="31" spans="1:23" ht="9" customHeight="1">
      <c r="C31" s="1523"/>
      <c r="E31" s="1523"/>
      <c r="G31" s="1523"/>
    </row>
    <row r="32" spans="1:23" ht="29.25" customHeight="1">
      <c r="A32" s="3818" t="s">
        <v>1138</v>
      </c>
      <c r="B32" s="3818"/>
      <c r="C32" s="3818"/>
      <c r="D32" s="3818"/>
      <c r="E32" s="3818"/>
      <c r="F32" s="3818"/>
      <c r="G32" s="3818"/>
      <c r="H32" s="3818"/>
      <c r="I32" s="3818"/>
      <c r="J32" s="3818"/>
      <c r="K32" s="3818"/>
      <c r="L32" s="3818"/>
      <c r="M32" s="3818"/>
      <c r="N32" s="3818"/>
      <c r="O32" s="3818"/>
    </row>
    <row r="33" spans="1:17" ht="29.25" customHeight="1">
      <c r="A33" s="1530"/>
      <c r="B33" s="1530"/>
      <c r="C33" s="1530"/>
      <c r="D33" s="1530"/>
      <c r="E33" s="1530"/>
      <c r="F33" s="1939"/>
      <c r="G33" s="1530"/>
      <c r="H33" s="2013"/>
      <c r="I33" s="2014"/>
      <c r="J33" s="1530"/>
      <c r="K33" s="1530"/>
      <c r="L33" s="3801" t="s">
        <v>1014</v>
      </c>
      <c r="M33" s="3801"/>
      <c r="N33" s="3801"/>
      <c r="O33" s="3801"/>
    </row>
    <row r="34" spans="1:17" s="1867" customFormat="1" ht="29.25" customHeight="1">
      <c r="A34" s="1749"/>
      <c r="B34" s="1749"/>
      <c r="C34" s="3750" t="s">
        <v>613</v>
      </c>
      <c r="D34" s="3750"/>
      <c r="E34" s="3750"/>
      <c r="F34" s="2001"/>
      <c r="G34" s="1749"/>
      <c r="H34" s="3750" t="s">
        <v>257</v>
      </c>
      <c r="I34" s="3750"/>
      <c r="J34" s="3750"/>
      <c r="K34" s="3750"/>
      <c r="L34" s="1749"/>
      <c r="M34" s="3750" t="s">
        <v>1107</v>
      </c>
      <c r="N34" s="3750"/>
      <c r="O34" s="3750"/>
      <c r="P34" s="1749"/>
      <c r="Q34" s="1749"/>
    </row>
  </sheetData>
  <mergeCells count="25">
    <mergeCell ref="A12:A14"/>
    <mergeCell ref="E12:E14"/>
    <mergeCell ref="G12:G14"/>
    <mergeCell ref="H12:L12"/>
    <mergeCell ref="F12:F14"/>
    <mergeCell ref="B12:C14"/>
    <mergeCell ref="H13:J13"/>
    <mergeCell ref="K13:K14"/>
    <mergeCell ref="L13:L14"/>
    <mergeCell ref="H34:K34"/>
    <mergeCell ref="M34:O34"/>
    <mergeCell ref="A8:O8"/>
    <mergeCell ref="A1:O1"/>
    <mergeCell ref="A2:O2"/>
    <mergeCell ref="A7:O7"/>
    <mergeCell ref="A4:H4"/>
    <mergeCell ref="A5:H5"/>
    <mergeCell ref="A3:O3"/>
    <mergeCell ref="M12:M14"/>
    <mergeCell ref="L33:O33"/>
    <mergeCell ref="C34:E34"/>
    <mergeCell ref="A30:G30"/>
    <mergeCell ref="A32:O32"/>
    <mergeCell ref="N12:N14"/>
    <mergeCell ref="O12:O14"/>
  </mergeCells>
  <pageMargins left="0.23622047244094491" right="0.15748031496062992" top="0.74803149606299213" bottom="0.74803149606299213" header="0.31496062992125984" footer="0.31496062992125984"/>
  <pageSetup paperSize="9" scale="85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O28"/>
  <sheetViews>
    <sheetView workbookViewId="0">
      <selection activeCell="J21" sqref="J21"/>
    </sheetView>
  </sheetViews>
  <sheetFormatPr defaultColWidth="9.375" defaultRowHeight="16.5"/>
  <cols>
    <col min="1" max="1" width="4.375" style="156" customWidth="1"/>
    <col min="2" max="2" width="5.375" style="156" hidden="1" customWidth="1"/>
    <col min="3" max="3" width="18.25" style="280" customWidth="1"/>
    <col min="4" max="4" width="8.375" style="156" hidden="1" customWidth="1"/>
    <col min="5" max="5" width="13.125" style="280" customWidth="1"/>
    <col min="6" max="6" width="13.125" style="2002" customWidth="1"/>
    <col min="7" max="7" width="11.25" style="280" customWidth="1"/>
    <col min="8" max="8" width="18.125" style="156" customWidth="1"/>
    <col min="9" max="9" width="20.625" style="798" customWidth="1"/>
    <col min="10" max="10" width="16.125" style="156" customWidth="1"/>
    <col min="11" max="11" width="17" style="156" customWidth="1"/>
    <col min="12" max="12" width="16.375" style="156" customWidth="1"/>
    <col min="13" max="13" width="0.125" style="156" customWidth="1"/>
    <col min="14" max="14" width="16.125" style="156" customWidth="1"/>
    <col min="15" max="15" width="19.25" style="156" bestFit="1" customWidth="1"/>
    <col min="16" max="16" width="13.375" style="156" customWidth="1"/>
    <col min="17" max="17" width="18.25" style="156" customWidth="1"/>
    <col min="18" max="18" width="16.125" style="156" customWidth="1"/>
    <col min="19" max="19" width="16.25" style="156" bestFit="1" customWidth="1"/>
    <col min="20" max="20" width="14.625" style="156" customWidth="1"/>
    <col min="21" max="21" width="15" style="156" customWidth="1"/>
    <col min="22" max="22" width="20.25" style="156" customWidth="1"/>
    <col min="23" max="16384" width="9.375" style="156"/>
  </cols>
  <sheetData>
    <row r="1" spans="1:41">
      <c r="A1" s="3666" t="s">
        <v>165</v>
      </c>
      <c r="B1" s="3666"/>
      <c r="C1" s="3666"/>
      <c r="D1" s="3666"/>
      <c r="E1" s="3666"/>
      <c r="F1" s="3666"/>
      <c r="G1" s="3666"/>
      <c r="H1" s="3666"/>
      <c r="I1" s="3666"/>
      <c r="J1" s="3666"/>
      <c r="K1" s="3666"/>
      <c r="L1" s="3666"/>
      <c r="M1" s="3666"/>
      <c r="N1" s="3666"/>
    </row>
    <row r="2" spans="1:41">
      <c r="A2" s="3666" t="s">
        <v>171</v>
      </c>
      <c r="B2" s="3666"/>
      <c r="C2" s="3666"/>
      <c r="D2" s="3666"/>
      <c r="E2" s="3666"/>
      <c r="F2" s="3666"/>
      <c r="G2" s="3666"/>
      <c r="H2" s="3666"/>
      <c r="I2" s="3666"/>
      <c r="J2" s="3666"/>
      <c r="K2" s="3666"/>
      <c r="L2" s="3666"/>
      <c r="M2" s="3666"/>
      <c r="N2" s="3666"/>
    </row>
    <row r="3" spans="1:41">
      <c r="A3" s="3671" t="s">
        <v>726</v>
      </c>
      <c r="B3" s="3671"/>
      <c r="C3" s="3671"/>
      <c r="D3" s="3671"/>
      <c r="E3" s="3671"/>
      <c r="F3" s="3671"/>
      <c r="G3" s="3671"/>
      <c r="H3" s="3671"/>
      <c r="I3" s="3671"/>
      <c r="J3" s="3671"/>
      <c r="K3" s="3671"/>
      <c r="L3" s="3671"/>
      <c r="M3" s="3671"/>
      <c r="N3" s="3671"/>
      <c r="O3" s="1473"/>
      <c r="P3" s="1473"/>
      <c r="Q3" s="1473"/>
      <c r="R3" s="1473"/>
      <c r="S3" s="1473"/>
      <c r="T3" s="1473"/>
      <c r="U3" s="1473"/>
      <c r="V3" s="1473"/>
      <c r="W3" s="1473"/>
      <c r="X3" s="1473"/>
      <c r="Y3" s="1473"/>
      <c r="Z3" s="1473"/>
      <c r="AA3" s="1473"/>
      <c r="AB3" s="1473"/>
      <c r="AC3" s="1473"/>
      <c r="AD3" s="1473"/>
      <c r="AE3" s="1473"/>
      <c r="AF3" s="1473"/>
      <c r="AG3" s="1473"/>
      <c r="AH3" s="1473"/>
      <c r="AI3" s="1473"/>
      <c r="AJ3" s="1473"/>
      <c r="AK3" s="1473"/>
      <c r="AL3" s="1473"/>
      <c r="AM3" s="1473"/>
      <c r="AN3" s="1473"/>
      <c r="AO3" s="1473"/>
    </row>
    <row r="4" spans="1:41">
      <c r="A4" s="3670" t="s">
        <v>574</v>
      </c>
      <c r="B4" s="3670"/>
      <c r="C4" s="3670"/>
      <c r="D4" s="3670"/>
      <c r="E4" s="3670"/>
      <c r="F4" s="3670"/>
      <c r="G4" s="3670"/>
      <c r="H4" s="1535"/>
      <c r="I4" s="1535"/>
    </row>
    <row r="5" spans="1:41">
      <c r="A5" s="3666" t="s">
        <v>541</v>
      </c>
      <c r="B5" s="3666"/>
      <c r="C5" s="3666"/>
      <c r="D5" s="3666"/>
      <c r="E5" s="3666"/>
      <c r="F5" s="3666"/>
      <c r="G5" s="3666"/>
      <c r="H5" s="1536"/>
      <c r="I5" s="1536"/>
    </row>
    <row r="6" spans="1:41">
      <c r="A6" s="693"/>
      <c r="B6" s="693"/>
      <c r="C6" s="693"/>
      <c r="D6" s="693"/>
      <c r="E6" s="693"/>
      <c r="F6" s="2000"/>
      <c r="G6" s="693"/>
      <c r="H6" s="693"/>
      <c r="I6" s="693"/>
      <c r="J6" s="1938"/>
      <c r="K6" s="693"/>
      <c r="L6" s="693"/>
      <c r="M6" s="693"/>
      <c r="N6" s="693"/>
    </row>
    <row r="7" spans="1:41" ht="18.75">
      <c r="A7" s="3672" t="s">
        <v>1012</v>
      </c>
      <c r="B7" s="3672"/>
      <c r="C7" s="3672"/>
      <c r="D7" s="3672"/>
      <c r="E7" s="3672"/>
      <c r="F7" s="3672"/>
      <c r="G7" s="3672"/>
      <c r="H7" s="3672"/>
      <c r="I7" s="3672"/>
      <c r="J7" s="3672"/>
      <c r="K7" s="3672"/>
      <c r="L7" s="3672"/>
      <c r="M7" s="3672"/>
      <c r="N7" s="3672"/>
    </row>
    <row r="8" spans="1:41" ht="18.75">
      <c r="A8" s="3672" t="s">
        <v>371</v>
      </c>
      <c r="B8" s="3672"/>
      <c r="C8" s="3672"/>
      <c r="D8" s="3672"/>
      <c r="E8" s="3672"/>
      <c r="F8" s="3672"/>
      <c r="G8" s="3672"/>
      <c r="H8" s="3672"/>
      <c r="I8" s="3672"/>
      <c r="J8" s="3672"/>
      <c r="K8" s="3672"/>
      <c r="L8" s="3672"/>
      <c r="M8" s="3672"/>
      <c r="N8" s="3672"/>
    </row>
    <row r="9" spans="1:41" ht="18.75" hidden="1">
      <c r="A9" s="1379"/>
      <c r="B9" s="1379"/>
      <c r="C9" s="1389" t="s">
        <v>847</v>
      </c>
      <c r="D9" s="1389"/>
      <c r="E9" s="1389">
        <v>20939</v>
      </c>
      <c r="F9" s="1389"/>
      <c r="G9" s="1379"/>
      <c r="H9" s="1379"/>
      <c r="I9" s="1379"/>
      <c r="J9" s="1937"/>
      <c r="K9" s="1379"/>
      <c r="L9" s="1379"/>
      <c r="M9" s="1379"/>
      <c r="N9" s="1379"/>
    </row>
    <row r="10" spans="1:41" hidden="1">
      <c r="C10" s="1390" t="s">
        <v>848</v>
      </c>
      <c r="D10" s="1391"/>
      <c r="E10" s="1393">
        <v>0.99009999999999998</v>
      </c>
      <c r="F10" s="1393"/>
    </row>
    <row r="11" spans="1:41" hidden="1">
      <c r="C11" s="1390" t="s">
        <v>894</v>
      </c>
      <c r="D11" s="1391"/>
      <c r="E11" s="1392">
        <v>653.23</v>
      </c>
      <c r="F11" s="1392"/>
    </row>
    <row r="12" spans="1:41" ht="16.5" customHeight="1">
      <c r="A12" s="3812" t="s">
        <v>1</v>
      </c>
      <c r="B12" s="3803" t="s">
        <v>2</v>
      </c>
      <c r="C12" s="3804"/>
      <c r="D12" s="1524"/>
      <c r="E12" s="3812" t="s">
        <v>5</v>
      </c>
      <c r="F12" s="3812" t="s">
        <v>9</v>
      </c>
      <c r="G12" s="3812" t="s">
        <v>853</v>
      </c>
      <c r="H12" s="3822" t="s">
        <v>6</v>
      </c>
      <c r="I12" s="3823"/>
      <c r="J12" s="3823"/>
      <c r="K12" s="3824"/>
      <c r="L12" s="3812" t="s">
        <v>233</v>
      </c>
      <c r="M12" s="3812" t="s">
        <v>8</v>
      </c>
      <c r="N12" s="3819" t="s">
        <v>16</v>
      </c>
    </row>
    <row r="13" spans="1:41" ht="22.5" customHeight="1">
      <c r="A13" s="3813"/>
      <c r="B13" s="3805"/>
      <c r="C13" s="3806"/>
      <c r="D13" s="1524" t="s">
        <v>239</v>
      </c>
      <c r="E13" s="3813"/>
      <c r="F13" s="3813"/>
      <c r="G13" s="3813"/>
      <c r="H13" s="3809" t="s">
        <v>1162</v>
      </c>
      <c r="I13" s="3811"/>
      <c r="J13" s="3819" t="s">
        <v>56</v>
      </c>
      <c r="K13" s="3819" t="s">
        <v>57</v>
      </c>
      <c r="L13" s="3813"/>
      <c r="M13" s="3814"/>
      <c r="N13" s="3821"/>
      <c r="U13" s="798">
        <f>20*100</f>
        <v>2000</v>
      </c>
    </row>
    <row r="14" spans="1:41" ht="23.25" customHeight="1">
      <c r="A14" s="3814"/>
      <c r="B14" s="3807"/>
      <c r="C14" s="3808"/>
      <c r="D14" s="2004"/>
      <c r="E14" s="3814"/>
      <c r="F14" s="3814"/>
      <c r="G14" s="3814"/>
      <c r="H14" s="2003" t="s">
        <v>362</v>
      </c>
      <c r="I14" s="800" t="s">
        <v>24</v>
      </c>
      <c r="J14" s="3820"/>
      <c r="K14" s="3820"/>
      <c r="L14" s="3814"/>
      <c r="M14" s="2006"/>
      <c r="N14" s="3820"/>
      <c r="U14" s="798"/>
    </row>
    <row r="15" spans="1:41" ht="27" hidden="1" customHeight="1">
      <c r="A15" s="1524">
        <v>1</v>
      </c>
      <c r="B15" s="1524">
        <v>2</v>
      </c>
      <c r="C15" s="1524">
        <v>3</v>
      </c>
      <c r="D15" s="1524">
        <v>4</v>
      </c>
      <c r="E15" s="1524">
        <v>5</v>
      </c>
      <c r="F15" s="2005"/>
      <c r="G15" s="2005"/>
      <c r="H15" s="2005">
        <v>6</v>
      </c>
      <c r="I15" s="2005">
        <v>9</v>
      </c>
      <c r="J15" s="2005">
        <v>11</v>
      </c>
      <c r="K15" s="2005">
        <v>12</v>
      </c>
      <c r="L15" s="2005">
        <v>13</v>
      </c>
      <c r="M15" s="2005">
        <v>14</v>
      </c>
      <c r="N15" s="2005">
        <v>15</v>
      </c>
      <c r="Q15" s="156">
        <f>421.47*25000</f>
        <v>10536750</v>
      </c>
    </row>
    <row r="16" spans="1:41" ht="18" customHeight="1">
      <c r="A16" s="1585">
        <v>1</v>
      </c>
      <c r="B16" s="1586" t="s">
        <v>482</v>
      </c>
      <c r="C16" s="1617" t="str">
        <f>'Chấm công công nhân'!L66</f>
        <v>Phò Đăm</v>
      </c>
      <c r="D16" s="1587"/>
      <c r="E16" s="1585" t="s">
        <v>40</v>
      </c>
      <c r="F16" s="1592"/>
      <c r="G16" s="1592" t="s">
        <v>790</v>
      </c>
      <c r="H16" s="1595">
        <f>+VLOOKUP(C16,'BẢNG LƯƠNG KT'!C72:G88,5,0)</f>
        <v>0</v>
      </c>
      <c r="I16" s="1597">
        <f>+H16*25000</f>
        <v>0</v>
      </c>
      <c r="J16" s="1597">
        <f>+VLOOKUP(C16,'BẢNG LƯƠNG KT'!C72:L72,10,0)</f>
        <v>5352523.2896268172</v>
      </c>
      <c r="K16" s="1597">
        <f>+VLOOKUP(C16,'BẢNG LƯƠNG KT'!C72:S72,15,0)</f>
        <v>0</v>
      </c>
      <c r="L16" s="1597">
        <f t="shared" ref="L16:L23" si="0">SUM(I16:K16)</f>
        <v>5352523.2896268172</v>
      </c>
      <c r="M16" s="1597"/>
      <c r="N16" s="1597">
        <f>L16</f>
        <v>5352523.2896268172</v>
      </c>
    </row>
    <row r="17" spans="1:16" ht="18" customHeight="1">
      <c r="A17" s="1592">
        <v>2</v>
      </c>
      <c r="B17" s="1593" t="s">
        <v>484</v>
      </c>
      <c r="C17" s="1617" t="str">
        <f>'Chấm công công nhân'!L67</f>
        <v>Thảo Mai</v>
      </c>
      <c r="D17" s="1594"/>
      <c r="E17" s="1592" t="s">
        <v>40</v>
      </c>
      <c r="F17" s="1592"/>
      <c r="G17" s="1592" t="s">
        <v>790</v>
      </c>
      <c r="H17" s="1595">
        <f>+VLOOKUP(C17,'BẢNG LƯƠNG KT'!C73:G88,5,0)</f>
        <v>0</v>
      </c>
      <c r="I17" s="1597">
        <f t="shared" ref="I17:I23" si="1">+H17*25000</f>
        <v>0</v>
      </c>
      <c r="J17" s="1597">
        <f>+VLOOKUP(C17,'BẢNG LƯƠNG KT'!C73:L73,10,0)</f>
        <v>965101.50347731484</v>
      </c>
      <c r="K17" s="1597">
        <f>+VLOOKUP(C17,'BẢNG LƯƠNG KT'!C73:S73,15,0)</f>
        <v>0</v>
      </c>
      <c r="L17" s="1597">
        <f t="shared" si="0"/>
        <v>965101.50347731484</v>
      </c>
      <c r="M17" s="1597"/>
      <c r="N17" s="1597">
        <f t="shared" ref="N17:N23" si="2">L17</f>
        <v>965101.50347731484</v>
      </c>
    </row>
    <row r="18" spans="1:16" ht="18" customHeight="1">
      <c r="A18" s="1592">
        <v>3</v>
      </c>
      <c r="B18" s="1593" t="s">
        <v>486</v>
      </c>
      <c r="C18" s="1617" t="str">
        <f>'Chấm công công nhân'!L68</f>
        <v>Thảo Tưng</v>
      </c>
      <c r="D18" s="1594"/>
      <c r="E18" s="1592" t="s">
        <v>40</v>
      </c>
      <c r="F18" s="1592"/>
      <c r="G18" s="1592" t="s">
        <v>790</v>
      </c>
      <c r="H18" s="1595">
        <f>+VLOOKUP(C18,'BẢNG LƯƠNG KT'!C74:G89,5,0)</f>
        <v>0</v>
      </c>
      <c r="I18" s="1597">
        <f t="shared" si="1"/>
        <v>0</v>
      </c>
      <c r="J18" s="1597">
        <f>+VLOOKUP(C18,'BẢNG LƯƠNG KT'!C74:L74,10,0)</f>
        <v>2090722.9695453125</v>
      </c>
      <c r="K18" s="1597">
        <f>+VLOOKUP(C18,'BẢNG LƯƠNG KT'!C74:S74,15,0)</f>
        <v>0</v>
      </c>
      <c r="L18" s="1597">
        <f t="shared" si="0"/>
        <v>2090722.9695453125</v>
      </c>
      <c r="M18" s="1597"/>
      <c r="N18" s="1597">
        <f t="shared" si="2"/>
        <v>2090722.9695453125</v>
      </c>
    </row>
    <row r="19" spans="1:16" ht="18" customHeight="1">
      <c r="A19" s="1592">
        <v>4</v>
      </c>
      <c r="B19" s="1593" t="s">
        <v>488</v>
      </c>
      <c r="C19" s="1617" t="str">
        <f>'Chấm công công nhân'!L69</f>
        <v>Thảo Xay</v>
      </c>
      <c r="D19" s="1594"/>
      <c r="E19" s="1592" t="s">
        <v>40</v>
      </c>
      <c r="F19" s="1592"/>
      <c r="G19" s="1592" t="s">
        <v>790</v>
      </c>
      <c r="H19" s="1595">
        <f>+VLOOKUP(C19,'BẢNG LƯƠNG KT'!C75:G90,5,0)</f>
        <v>0</v>
      </c>
      <c r="I19" s="1597">
        <f t="shared" si="1"/>
        <v>0</v>
      </c>
      <c r="J19" s="1597">
        <f>+VLOOKUP(C19,'BẢNG LƯƠNG KT'!C75:L75,10,0)</f>
        <v>3568348.8597512115</v>
      </c>
      <c r="K19" s="1597">
        <f>+VLOOKUP(C19,'BẢNG LƯƠNG KT'!C75:S75,15,0)</f>
        <v>0</v>
      </c>
      <c r="L19" s="1597">
        <f t="shared" si="0"/>
        <v>3568348.8597512115</v>
      </c>
      <c r="M19" s="1597"/>
      <c r="N19" s="1597">
        <f t="shared" si="2"/>
        <v>3568348.8597512115</v>
      </c>
    </row>
    <row r="20" spans="1:16" ht="18" customHeight="1">
      <c r="A20" s="1592">
        <v>5</v>
      </c>
      <c r="B20" s="1593" t="s">
        <v>490</v>
      </c>
      <c r="C20" s="1617" t="str">
        <f>'Chấm công công nhân'!L70</f>
        <v>Nàng Nọi</v>
      </c>
      <c r="D20" s="1594"/>
      <c r="E20" s="1592" t="s">
        <v>40</v>
      </c>
      <c r="F20" s="1592"/>
      <c r="G20" s="1592" t="s">
        <v>790</v>
      </c>
      <c r="H20" s="1595">
        <f>+VLOOKUP(C20,'BẢNG LƯƠNG KT'!C76:G91,5,0)</f>
        <v>0</v>
      </c>
      <c r="I20" s="1597">
        <f t="shared" si="1"/>
        <v>0</v>
      </c>
      <c r="J20" s="1597">
        <f>+VLOOKUP(C20,'BẢNG LƯƠNG KT'!C76:L76,10,0)</f>
        <v>2891341.0545655079</v>
      </c>
      <c r="K20" s="1597">
        <f>+VLOOKUP(C20,'BẢNG LƯƠNG KT'!C76:S76,15,0)</f>
        <v>0</v>
      </c>
      <c r="L20" s="1597">
        <f t="shared" si="0"/>
        <v>2891341.0545655079</v>
      </c>
      <c r="M20" s="1597"/>
      <c r="N20" s="1597">
        <f t="shared" si="2"/>
        <v>2891341.0545655079</v>
      </c>
    </row>
    <row r="21" spans="1:16" ht="18" customHeight="1">
      <c r="A21" s="1592">
        <v>6</v>
      </c>
      <c r="B21" s="1593" t="s">
        <v>492</v>
      </c>
      <c r="C21" s="1617" t="str">
        <f>'Chấm công công nhân'!L71</f>
        <v>Thảo Đăm</v>
      </c>
      <c r="D21" s="1594"/>
      <c r="E21" s="1592" t="s">
        <v>40</v>
      </c>
      <c r="F21" s="1592"/>
      <c r="G21" s="1592" t="s">
        <v>790</v>
      </c>
      <c r="H21" s="1595">
        <f>+VLOOKUP(C21,'BẢNG LƯƠNG KT'!C77:G92,5,0)</f>
        <v>0</v>
      </c>
      <c r="I21" s="1597">
        <f t="shared" si="1"/>
        <v>0</v>
      </c>
      <c r="J21" s="1597">
        <f>+VLOOKUP(C21,'BẢNG LƯƠNG KT'!C77:L77,10,0)</f>
        <v>2954260.9164451892</v>
      </c>
      <c r="K21" s="1597">
        <f>+VLOOKUP(C21,'BẢNG LƯƠNG KT'!C77:S77,15,0)</f>
        <v>0</v>
      </c>
      <c r="L21" s="1597">
        <f t="shared" si="0"/>
        <v>2954260.9164451892</v>
      </c>
      <c r="M21" s="1597"/>
      <c r="N21" s="1597">
        <f t="shared" si="2"/>
        <v>2954260.9164451892</v>
      </c>
    </row>
    <row r="22" spans="1:16" ht="18" customHeight="1">
      <c r="A22" s="1592">
        <v>7</v>
      </c>
      <c r="B22" s="1593" t="s">
        <v>494</v>
      </c>
      <c r="C22" s="1617" t="str">
        <f>'Chấm công công nhân'!L72</f>
        <v>Thảo chăn</v>
      </c>
      <c r="D22" s="1594"/>
      <c r="E22" s="1592" t="s">
        <v>40</v>
      </c>
      <c r="F22" s="1592"/>
      <c r="G22" s="1592" t="s">
        <v>790</v>
      </c>
      <c r="H22" s="1595">
        <f>+VLOOKUP(C22,'BẢNG LƯƠNG KT'!C78:G93,5,0)</f>
        <v>0</v>
      </c>
      <c r="I22" s="1597">
        <f t="shared" si="1"/>
        <v>0</v>
      </c>
      <c r="J22" s="1597">
        <f>+VLOOKUP(C22,'BẢNG LƯƠNG KT'!C78:L78,10,0)</f>
        <v>4622256.5462358724</v>
      </c>
      <c r="K22" s="1597">
        <f>+VLOOKUP(C22,'BẢNG LƯƠNG KT'!C78:S78,15,0)</f>
        <v>0</v>
      </c>
      <c r="L22" s="1597">
        <f t="shared" si="0"/>
        <v>4622256.5462358724</v>
      </c>
      <c r="M22" s="1597"/>
      <c r="N22" s="1597">
        <f t="shared" si="2"/>
        <v>4622256.5462358724</v>
      </c>
    </row>
    <row r="23" spans="1:16" ht="18" customHeight="1">
      <c r="A23" s="1960">
        <v>8</v>
      </c>
      <c r="B23" s="1961"/>
      <c r="C23" s="1673" t="str">
        <f>'Tong hop cong'!C77</f>
        <v>Hồ Xa My</v>
      </c>
      <c r="D23" s="1601"/>
      <c r="E23" s="1599" t="s">
        <v>1142</v>
      </c>
      <c r="F23" s="1599"/>
      <c r="G23" s="1599"/>
      <c r="H23" s="1602">
        <f>'BẢNG LƯƠNG KT'!G88</f>
        <v>0</v>
      </c>
      <c r="I23" s="2031">
        <f t="shared" si="1"/>
        <v>0</v>
      </c>
      <c r="J23" s="2031"/>
      <c r="K23" s="1603"/>
      <c r="L23" s="1597">
        <f t="shared" si="0"/>
        <v>0</v>
      </c>
      <c r="M23" s="1603"/>
      <c r="N23" s="1597">
        <f t="shared" si="2"/>
        <v>0</v>
      </c>
    </row>
    <row r="24" spans="1:16">
      <c r="A24" s="3825" t="s">
        <v>184</v>
      </c>
      <c r="B24" s="3826"/>
      <c r="C24" s="3826"/>
      <c r="D24" s="3826"/>
      <c r="E24" s="3826"/>
      <c r="F24" s="3826"/>
      <c r="G24" s="3827"/>
      <c r="H24" s="1560">
        <f t="shared" ref="H24:N24" si="3">SUM(H16:H23)</f>
        <v>0</v>
      </c>
      <c r="I24" s="1561">
        <f t="shared" si="3"/>
        <v>0</v>
      </c>
      <c r="J24" s="1561">
        <f t="shared" si="3"/>
        <v>22444555.139647223</v>
      </c>
      <c r="K24" s="1561">
        <f t="shared" si="3"/>
        <v>0</v>
      </c>
      <c r="L24" s="1561">
        <f t="shared" si="3"/>
        <v>22444555.139647223</v>
      </c>
      <c r="M24" s="1561">
        <f t="shared" si="3"/>
        <v>0</v>
      </c>
      <c r="N24" s="1561">
        <f t="shared" si="3"/>
        <v>22444555.139647223</v>
      </c>
    </row>
    <row r="25" spans="1:16" ht="8.25" customHeight="1"/>
    <row r="26" spans="1:16" ht="15.75" customHeight="1">
      <c r="A26" s="3818" t="s">
        <v>1139</v>
      </c>
      <c r="B26" s="3818"/>
      <c r="C26" s="3818"/>
      <c r="D26" s="3818"/>
      <c r="E26" s="3818"/>
      <c r="F26" s="3818"/>
      <c r="G26" s="3818"/>
      <c r="H26" s="3818"/>
      <c r="I26" s="3818"/>
      <c r="J26" s="3818"/>
      <c r="K26" s="3818"/>
      <c r="L26" s="3818"/>
      <c r="M26" s="3818"/>
      <c r="N26" s="3818"/>
    </row>
    <row r="27" spans="1:16" ht="29.25" customHeight="1">
      <c r="A27" s="1530"/>
      <c r="B27" s="1530"/>
      <c r="C27" s="1530"/>
      <c r="D27" s="1530"/>
      <c r="E27" s="1530"/>
      <c r="F27" s="1939"/>
      <c r="G27" s="1530"/>
      <c r="H27" s="949"/>
      <c r="I27" s="1530"/>
      <c r="J27" s="1939"/>
      <c r="K27" s="3801" t="s">
        <v>1037</v>
      </c>
      <c r="L27" s="3801"/>
      <c r="M27" s="3801"/>
      <c r="N27" s="3801"/>
    </row>
    <row r="28" spans="1:16" s="801" customFormat="1" ht="29.25" customHeight="1">
      <c r="A28" s="1333"/>
      <c r="B28" s="1333"/>
      <c r="C28" s="3750" t="s">
        <v>613</v>
      </c>
      <c r="D28" s="3750"/>
      <c r="E28" s="3750"/>
      <c r="F28" s="2001"/>
      <c r="G28" s="2001"/>
      <c r="H28" s="3750" t="s">
        <v>257</v>
      </c>
      <c r="I28" s="3750"/>
      <c r="J28" s="1333"/>
      <c r="K28" s="1333"/>
      <c r="L28" s="3750" t="s">
        <v>1107</v>
      </c>
      <c r="M28" s="3750"/>
      <c r="N28" s="3750"/>
      <c r="O28" s="1333"/>
      <c r="P28" s="1333"/>
    </row>
  </sheetData>
  <mergeCells count="25">
    <mergeCell ref="K13:K14"/>
    <mergeCell ref="L12:L14"/>
    <mergeCell ref="A8:N8"/>
    <mergeCell ref="A1:N1"/>
    <mergeCell ref="A2:N2"/>
    <mergeCell ref="A7:N7"/>
    <mergeCell ref="A3:N3"/>
    <mergeCell ref="A4:G4"/>
    <mergeCell ref="A5:G5"/>
    <mergeCell ref="H28:I28"/>
    <mergeCell ref="B12:C14"/>
    <mergeCell ref="L28:N28"/>
    <mergeCell ref="A26:N26"/>
    <mergeCell ref="K27:N27"/>
    <mergeCell ref="C28:E28"/>
    <mergeCell ref="A24:G24"/>
    <mergeCell ref="A12:A14"/>
    <mergeCell ref="E12:E14"/>
    <mergeCell ref="G12:G14"/>
    <mergeCell ref="F12:F14"/>
    <mergeCell ref="N12:N14"/>
    <mergeCell ref="M12:M13"/>
    <mergeCell ref="H12:K12"/>
    <mergeCell ref="H13:I13"/>
    <mergeCell ref="J13:J14"/>
  </mergeCells>
  <pageMargins left="0.15748031496062992" right="0.27559055118110237" top="0.74803149606299213" bottom="0.48" header="0.31496062992125984" footer="0.31496062992125984"/>
  <pageSetup paperSize="9" scale="8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5"/>
  <sheetViews>
    <sheetView topLeftCell="A10" zoomScale="55" zoomScaleNormal="55" workbookViewId="0">
      <selection activeCell="AF30" sqref="AF30"/>
    </sheetView>
  </sheetViews>
  <sheetFormatPr defaultColWidth="9.25" defaultRowHeight="15.75"/>
  <cols>
    <col min="1" max="1" width="4.375" style="2662" customWidth="1"/>
    <col min="2" max="2" width="4.375" style="2661" customWidth="1"/>
    <col min="3" max="3" width="15.375" style="2661" customWidth="1"/>
    <col min="4" max="27" width="6.25" style="2669" customWidth="1"/>
    <col min="28" max="33" width="7.75" style="2669" customWidth="1"/>
    <col min="34" max="34" width="7.75" style="2661" customWidth="1"/>
    <col min="35" max="36" width="9.375" style="3183" customWidth="1"/>
    <col min="37" max="38" width="9.375" style="2661" customWidth="1"/>
    <col min="39" max="39" width="10" style="2661" hidden="1" customWidth="1"/>
    <col min="40" max="41" width="0" style="2661" hidden="1" customWidth="1"/>
    <col min="42" max="42" width="14.875" style="2661" hidden="1" customWidth="1"/>
    <col min="43" max="48" width="0" style="2661" hidden="1" customWidth="1"/>
    <col min="49" max="49" width="9.25" style="2661"/>
    <col min="50" max="50" width="22.25" style="2661" bestFit="1" customWidth="1"/>
    <col min="51" max="16384" width="9.25" style="2661"/>
  </cols>
  <sheetData>
    <row r="1" spans="1:52" ht="59.25" customHeight="1">
      <c r="A1" s="3719" t="s">
        <v>165</v>
      </c>
      <c r="B1" s="3719"/>
      <c r="C1" s="3719"/>
      <c r="D1" s="3719"/>
      <c r="E1" s="3719"/>
      <c r="F1" s="3719"/>
      <c r="G1" s="3719"/>
      <c r="H1" s="3719"/>
      <c r="I1" s="3719"/>
      <c r="J1" s="3719"/>
      <c r="K1" s="3719"/>
      <c r="L1" s="3719"/>
      <c r="M1" s="3719"/>
      <c r="N1" s="3719"/>
      <c r="O1" s="3719"/>
      <c r="P1" s="3719"/>
      <c r="Q1" s="3719"/>
      <c r="R1" s="3719"/>
      <c r="S1" s="3719"/>
      <c r="T1" s="3719"/>
      <c r="U1" s="3719"/>
      <c r="V1" s="3719"/>
      <c r="W1" s="3719"/>
      <c r="X1" s="3719"/>
      <c r="Y1" s="3719"/>
      <c r="Z1" s="3719"/>
      <c r="AA1" s="3719"/>
      <c r="AB1" s="3719"/>
      <c r="AC1" s="3719"/>
      <c r="AD1" s="3719"/>
      <c r="AE1" s="3719"/>
      <c r="AF1" s="3719"/>
      <c r="AG1" s="3719"/>
      <c r="AH1" s="3719"/>
      <c r="AI1" s="3719"/>
      <c r="AJ1" s="3719"/>
      <c r="AK1" s="3719"/>
      <c r="AL1" s="3719"/>
      <c r="AM1" s="2660"/>
      <c r="AN1" s="2660"/>
      <c r="AO1" s="2660"/>
      <c r="AP1" s="2660"/>
      <c r="AQ1" s="2660"/>
      <c r="AR1" s="2660"/>
      <c r="AS1" s="2660"/>
      <c r="AT1" s="2660"/>
      <c r="AU1" s="2660"/>
      <c r="AV1" s="2660"/>
      <c r="AW1" s="2660"/>
      <c r="AX1" s="2660"/>
      <c r="AY1" s="2660"/>
    </row>
    <row r="2" spans="1:52" ht="22.5" customHeight="1">
      <c r="A2" s="3719" t="s">
        <v>171</v>
      </c>
      <c r="B2" s="3719"/>
      <c r="C2" s="3719"/>
      <c r="D2" s="3719"/>
      <c r="E2" s="3719"/>
      <c r="F2" s="3719"/>
      <c r="G2" s="3719"/>
      <c r="H2" s="3719"/>
      <c r="I2" s="3719"/>
      <c r="J2" s="3719"/>
      <c r="K2" s="3719"/>
      <c r="L2" s="3719"/>
      <c r="M2" s="3719"/>
      <c r="N2" s="3719"/>
      <c r="O2" s="3719"/>
      <c r="P2" s="3719"/>
      <c r="Q2" s="3719"/>
      <c r="R2" s="3719"/>
      <c r="S2" s="3719"/>
      <c r="T2" s="3719"/>
      <c r="U2" s="3719"/>
      <c r="V2" s="3719"/>
      <c r="W2" s="3719"/>
      <c r="X2" s="3719"/>
      <c r="Y2" s="3719"/>
      <c r="Z2" s="3719"/>
      <c r="AA2" s="3719"/>
      <c r="AB2" s="3719"/>
      <c r="AC2" s="3719"/>
      <c r="AD2" s="3719"/>
      <c r="AE2" s="3719"/>
      <c r="AF2" s="3719"/>
      <c r="AG2" s="3719"/>
      <c r="AH2" s="3719"/>
      <c r="AI2" s="3719"/>
      <c r="AJ2" s="3719"/>
      <c r="AK2" s="3719"/>
      <c r="AL2" s="3719"/>
      <c r="AM2" s="2660"/>
      <c r="AN2" s="2660"/>
      <c r="AO2" s="2660"/>
      <c r="AP2" s="2660"/>
      <c r="AQ2" s="2660"/>
      <c r="AR2" s="2660"/>
      <c r="AS2" s="2660"/>
      <c r="AT2" s="2660"/>
      <c r="AU2" s="2660"/>
      <c r="AV2" s="2660"/>
      <c r="AW2" s="2660"/>
      <c r="AX2" s="2660"/>
      <c r="AY2" s="2660"/>
    </row>
    <row r="3" spans="1:52" ht="12.75" customHeight="1">
      <c r="A3" s="3720" t="s">
        <v>726</v>
      </c>
      <c r="B3" s="3720"/>
      <c r="C3" s="3720"/>
      <c r="D3" s="3720"/>
      <c r="E3" s="3720"/>
      <c r="F3" s="3720"/>
      <c r="G3" s="3720"/>
      <c r="H3" s="3720"/>
      <c r="I3" s="3720"/>
      <c r="J3" s="3720"/>
      <c r="K3" s="3720"/>
      <c r="L3" s="3720"/>
      <c r="M3" s="3720"/>
      <c r="N3" s="3720"/>
      <c r="O3" s="3720"/>
      <c r="P3" s="3720"/>
      <c r="Q3" s="3720"/>
      <c r="R3" s="3720"/>
      <c r="S3" s="3720"/>
      <c r="T3" s="3720"/>
      <c r="U3" s="3720"/>
      <c r="V3" s="3720"/>
      <c r="W3" s="3720"/>
      <c r="X3" s="3720"/>
      <c r="Y3" s="3720"/>
      <c r="Z3" s="3720"/>
      <c r="AA3" s="3720"/>
      <c r="AB3" s="3720"/>
      <c r="AC3" s="3720"/>
      <c r="AD3" s="3720"/>
      <c r="AE3" s="3720"/>
      <c r="AF3" s="3720"/>
      <c r="AG3" s="3720"/>
      <c r="AH3" s="3720"/>
      <c r="AI3" s="3720"/>
      <c r="AJ3" s="3720"/>
      <c r="AK3" s="3720"/>
      <c r="AL3" s="3720"/>
      <c r="AM3" s="2660"/>
      <c r="AN3" s="2660"/>
      <c r="AO3" s="2660"/>
      <c r="AP3" s="2660"/>
      <c r="AQ3" s="2660"/>
      <c r="AR3" s="2660"/>
      <c r="AS3" s="2660"/>
      <c r="AT3" s="2660"/>
      <c r="AU3" s="2660"/>
      <c r="AV3" s="2660"/>
      <c r="AW3" s="2660"/>
      <c r="AX3" s="2660"/>
      <c r="AY3" s="2660"/>
    </row>
    <row r="4" spans="1:52" ht="24.75" customHeight="1">
      <c r="B4" s="2663"/>
      <c r="C4" s="2663"/>
      <c r="D4" s="2663"/>
      <c r="E4" s="2663"/>
      <c r="F4" s="2663"/>
      <c r="G4" s="2663"/>
      <c r="H4" s="3309"/>
      <c r="I4" s="3309"/>
      <c r="J4" s="3309"/>
      <c r="K4" s="3309"/>
      <c r="L4" s="3309"/>
      <c r="M4" s="3309"/>
      <c r="N4" s="3309"/>
      <c r="O4" s="3309"/>
      <c r="P4" s="3309"/>
      <c r="Q4" s="3309"/>
      <c r="R4" s="3309"/>
      <c r="S4" s="3309"/>
      <c r="T4" s="3309"/>
      <c r="U4" s="2661"/>
      <c r="V4" s="2661"/>
      <c r="W4" s="2661"/>
      <c r="X4" s="2661"/>
      <c r="Y4" s="2661"/>
      <c r="Z4" s="2661"/>
      <c r="AA4" s="2661"/>
      <c r="AB4" s="2661"/>
      <c r="AC4" s="2661"/>
      <c r="AD4" s="2661"/>
      <c r="AE4" s="2661"/>
      <c r="AF4" s="2661"/>
      <c r="AG4" s="2661"/>
    </row>
    <row r="5" spans="1:52" ht="21.75" customHeight="1">
      <c r="A5" s="3721" t="s">
        <v>602</v>
      </c>
      <c r="B5" s="3721"/>
      <c r="C5" s="3721"/>
      <c r="D5" s="3721"/>
      <c r="E5" s="3721"/>
      <c r="F5" s="3721"/>
      <c r="G5" s="3721"/>
      <c r="H5" s="3721"/>
      <c r="I5" s="3721"/>
      <c r="J5" s="3721"/>
      <c r="K5" s="3721"/>
      <c r="L5" s="3721"/>
      <c r="M5" s="3721"/>
      <c r="N5" s="3721"/>
      <c r="O5" s="2663"/>
      <c r="P5" s="2663"/>
      <c r="Q5" s="2663"/>
      <c r="R5" s="2663"/>
      <c r="S5" s="2663"/>
      <c r="T5" s="2663"/>
      <c r="U5" s="2663"/>
      <c r="V5" s="2663"/>
      <c r="W5" s="2661"/>
      <c r="X5" s="2661"/>
      <c r="Y5" s="2661"/>
      <c r="Z5" s="2661"/>
      <c r="AA5" s="2661"/>
      <c r="AB5" s="2661"/>
      <c r="AC5" s="2661"/>
      <c r="AD5" s="2661"/>
      <c r="AE5" s="2661"/>
      <c r="AF5" s="2661"/>
      <c r="AG5" s="2661"/>
    </row>
    <row r="6" spans="1:52" s="2665" customFormat="1" ht="15" customHeight="1">
      <c r="A6" s="3720" t="s">
        <v>541</v>
      </c>
      <c r="B6" s="3720"/>
      <c r="C6" s="3720"/>
      <c r="D6" s="3720"/>
      <c r="E6" s="3720"/>
      <c r="F6" s="3720"/>
      <c r="G6" s="3720"/>
      <c r="H6" s="3720"/>
      <c r="I6" s="3720"/>
      <c r="J6" s="3720"/>
      <c r="K6" s="3720"/>
      <c r="L6" s="3720"/>
      <c r="M6" s="3720"/>
      <c r="N6" s="3720"/>
      <c r="O6" s="2664"/>
      <c r="P6" s="2664"/>
      <c r="Q6" s="2664"/>
      <c r="R6" s="2664"/>
      <c r="S6" s="2664"/>
      <c r="T6" s="2664"/>
      <c r="U6" s="2664"/>
      <c r="V6" s="2664"/>
      <c r="AI6" s="3184"/>
      <c r="AJ6" s="3184"/>
    </row>
    <row r="7" spans="1:52" ht="17.25" customHeight="1">
      <c r="B7" s="2666"/>
      <c r="C7" s="2666"/>
      <c r="D7" s="2666"/>
      <c r="E7" s="2666"/>
      <c r="F7" s="2666"/>
      <c r="G7" s="2666"/>
      <c r="H7" s="2666"/>
      <c r="I7" s="2666"/>
      <c r="J7" s="2667"/>
      <c r="K7" s="2667"/>
      <c r="L7" s="2668"/>
      <c r="N7" s="2667"/>
      <c r="O7" s="2667"/>
      <c r="P7" s="2667"/>
      <c r="Q7" s="2667"/>
      <c r="R7" s="2667"/>
      <c r="S7" s="2667"/>
      <c r="T7" s="2667"/>
      <c r="U7" s="2667"/>
      <c r="V7" s="2667"/>
      <c r="W7" s="2667"/>
      <c r="X7" s="2667"/>
      <c r="Y7" s="2667"/>
      <c r="Z7" s="2667"/>
      <c r="AA7" s="2667"/>
      <c r="AB7" s="2667"/>
      <c r="AC7" s="2667"/>
      <c r="AD7" s="2667"/>
      <c r="AE7" s="2667"/>
      <c r="AF7" s="2667"/>
      <c r="AG7" s="2667"/>
      <c r="AH7" s="2667"/>
      <c r="AI7" s="3185"/>
      <c r="AJ7" s="3186"/>
      <c r="AK7" s="2667"/>
      <c r="AL7" s="2667"/>
    </row>
    <row r="8" spans="1:52" s="2665" customFormat="1" ht="21" customHeight="1">
      <c r="A8" s="3692" t="s">
        <v>1607</v>
      </c>
      <c r="B8" s="3692"/>
      <c r="C8" s="3692"/>
      <c r="D8" s="3692"/>
      <c r="E8" s="3692"/>
      <c r="F8" s="3692"/>
      <c r="G8" s="3692"/>
      <c r="H8" s="3692"/>
      <c r="I8" s="3692"/>
      <c r="J8" s="3692"/>
      <c r="K8" s="3692"/>
      <c r="L8" s="3692"/>
      <c r="M8" s="3692"/>
      <c r="N8" s="3692"/>
      <c r="O8" s="3692"/>
      <c r="P8" s="3692"/>
      <c r="Q8" s="3692"/>
      <c r="R8" s="3692"/>
      <c r="S8" s="3692"/>
      <c r="T8" s="3692"/>
      <c r="U8" s="3692"/>
      <c r="V8" s="3692"/>
      <c r="W8" s="3692"/>
      <c r="X8" s="3692"/>
      <c r="Y8" s="3692"/>
      <c r="Z8" s="3692"/>
      <c r="AA8" s="3692"/>
      <c r="AB8" s="3692"/>
      <c r="AC8" s="3692"/>
      <c r="AD8" s="3692"/>
      <c r="AE8" s="3692"/>
      <c r="AF8" s="3692"/>
      <c r="AG8" s="3692"/>
      <c r="AH8" s="3692"/>
      <c r="AI8" s="3692"/>
      <c r="AJ8" s="3692"/>
      <c r="AK8" s="3692"/>
      <c r="AL8" s="3692"/>
    </row>
    <row r="9" spans="1:52" ht="32.25" customHeight="1">
      <c r="A9" s="2666"/>
      <c r="B9" s="2666"/>
      <c r="C9" s="2666"/>
      <c r="D9" s="2666"/>
      <c r="E9" s="2666"/>
      <c r="F9" s="2666"/>
      <c r="G9" s="2666"/>
      <c r="H9" s="2666"/>
      <c r="I9" s="2666"/>
      <c r="J9" s="2666"/>
      <c r="K9" s="2666"/>
      <c r="L9" s="2666"/>
      <c r="M9" s="2666"/>
      <c r="N9" s="2666"/>
      <c r="O9" s="2666"/>
      <c r="P9" s="2666"/>
      <c r="Q9" s="2666"/>
      <c r="R9" s="2666"/>
      <c r="S9" s="2666"/>
      <c r="T9" s="2666"/>
      <c r="U9" s="2666"/>
      <c r="V9" s="2666"/>
      <c r="W9" s="2666"/>
      <c r="X9" s="2666"/>
      <c r="Y9" s="2666"/>
      <c r="Z9" s="2666"/>
      <c r="AA9" s="2666"/>
      <c r="AB9" s="2666"/>
      <c r="AC9" s="2666"/>
      <c r="AD9" s="2666"/>
      <c r="AE9" s="2666"/>
      <c r="AF9" s="2666"/>
      <c r="AG9" s="2666"/>
      <c r="AH9" s="2666"/>
      <c r="AI9" s="3187"/>
      <c r="AJ9" s="3188"/>
      <c r="AK9" s="2666"/>
      <c r="AL9" s="2666"/>
    </row>
    <row r="10" spans="1:52">
      <c r="A10" s="3710" t="s">
        <v>1</v>
      </c>
      <c r="B10" s="3710" t="s">
        <v>1</v>
      </c>
      <c r="C10" s="3710" t="s">
        <v>805</v>
      </c>
      <c r="D10" s="3712" t="s">
        <v>1160</v>
      </c>
      <c r="E10" s="3713"/>
      <c r="F10" s="3713"/>
      <c r="G10" s="3713"/>
      <c r="H10" s="3713"/>
      <c r="I10" s="3713"/>
      <c r="J10" s="3713"/>
      <c r="K10" s="3713"/>
      <c r="L10" s="3713"/>
      <c r="M10" s="3713"/>
      <c r="N10" s="3713"/>
      <c r="O10" s="3713"/>
      <c r="P10" s="3713"/>
      <c r="Q10" s="3713"/>
      <c r="R10" s="3713"/>
      <c r="S10" s="3713"/>
      <c r="T10" s="3713"/>
      <c r="U10" s="3713"/>
      <c r="V10" s="3713"/>
      <c r="W10" s="3713"/>
      <c r="X10" s="3713"/>
      <c r="Y10" s="3713"/>
      <c r="Z10" s="3713"/>
      <c r="AA10" s="3713"/>
      <c r="AB10" s="3713"/>
      <c r="AC10" s="3713"/>
      <c r="AD10" s="3713"/>
      <c r="AE10" s="3713"/>
      <c r="AF10" s="3713"/>
      <c r="AG10" s="3713"/>
      <c r="AH10" s="3714"/>
      <c r="AI10" s="3715" t="s">
        <v>806</v>
      </c>
      <c r="AJ10" s="3717" t="s">
        <v>1608</v>
      </c>
      <c r="AK10" s="3704" t="s">
        <v>1148</v>
      </c>
      <c r="AL10" s="3704" t="s">
        <v>1159</v>
      </c>
    </row>
    <row r="11" spans="1:52" ht="58.5" customHeight="1">
      <c r="A11" s="3711"/>
      <c r="B11" s="3711"/>
      <c r="C11" s="3711"/>
      <c r="D11" s="2670">
        <v>1</v>
      </c>
      <c r="E11" s="2670">
        <v>2</v>
      </c>
      <c r="F11" s="2670">
        <v>3</v>
      </c>
      <c r="G11" s="2670">
        <v>4</v>
      </c>
      <c r="H11" s="2670">
        <v>5</v>
      </c>
      <c r="I11" s="2670">
        <v>6</v>
      </c>
      <c r="J11" s="2670">
        <v>7</v>
      </c>
      <c r="K11" s="2670">
        <v>8</v>
      </c>
      <c r="L11" s="2670">
        <v>9</v>
      </c>
      <c r="M11" s="2670">
        <v>10</v>
      </c>
      <c r="N11" s="2670">
        <v>11</v>
      </c>
      <c r="O11" s="2670">
        <v>12</v>
      </c>
      <c r="P11" s="2670">
        <v>13</v>
      </c>
      <c r="Q11" s="2670">
        <v>14</v>
      </c>
      <c r="R11" s="2670">
        <v>15</v>
      </c>
      <c r="S11" s="2670">
        <v>16</v>
      </c>
      <c r="T11" s="2670">
        <v>17</v>
      </c>
      <c r="U11" s="2670">
        <v>18</v>
      </c>
      <c r="V11" s="2670">
        <v>19</v>
      </c>
      <c r="W11" s="2670">
        <v>20</v>
      </c>
      <c r="X11" s="2670">
        <v>21</v>
      </c>
      <c r="Y11" s="2670">
        <v>22</v>
      </c>
      <c r="Z11" s="2670">
        <v>23</v>
      </c>
      <c r="AA11" s="2670">
        <v>24</v>
      </c>
      <c r="AB11" s="2670">
        <v>25</v>
      </c>
      <c r="AC11" s="2670">
        <v>26</v>
      </c>
      <c r="AD11" s="2670">
        <v>27</v>
      </c>
      <c r="AE11" s="2670">
        <v>28</v>
      </c>
      <c r="AF11" s="2670">
        <v>29</v>
      </c>
      <c r="AG11" s="2670">
        <v>30</v>
      </c>
      <c r="AH11" s="3310">
        <v>31</v>
      </c>
      <c r="AI11" s="3716"/>
      <c r="AJ11" s="3718"/>
      <c r="AK11" s="3705"/>
      <c r="AL11" s="3706"/>
      <c r="AN11" s="2661" t="s">
        <v>980</v>
      </c>
    </row>
    <row r="12" spans="1:52" ht="26.25" customHeight="1">
      <c r="A12" s="2672">
        <v>52</v>
      </c>
      <c r="B12" s="2672">
        <v>1</v>
      </c>
      <c r="C12" s="2679" t="str">
        <f>'[6]Chấm công công nhân'!L66</f>
        <v>Phò Đăm</v>
      </c>
      <c r="D12" s="3191"/>
      <c r="E12" s="3191"/>
      <c r="F12" s="3191"/>
      <c r="G12" s="3191"/>
      <c r="H12" s="3191"/>
      <c r="I12" s="3191"/>
      <c r="J12" s="3191"/>
      <c r="K12" s="3191"/>
      <c r="L12" s="3191"/>
      <c r="M12" s="3191"/>
      <c r="N12" s="3191"/>
      <c r="O12" s="3191"/>
      <c r="P12" s="3191"/>
      <c r="Q12" s="3191"/>
      <c r="R12" s="3191"/>
      <c r="S12" s="3191"/>
      <c r="T12" s="3191"/>
      <c r="U12" s="3191"/>
      <c r="V12" s="3191"/>
      <c r="W12" s="3191"/>
      <c r="X12" s="3191"/>
      <c r="Y12" s="3191"/>
      <c r="Z12" s="3191"/>
      <c r="AA12" s="3191"/>
      <c r="AB12" s="3191">
        <v>167</v>
      </c>
      <c r="AC12" s="3191">
        <v>206</v>
      </c>
      <c r="AD12" s="3192"/>
      <c r="AE12" s="3192"/>
      <c r="AF12" s="3192"/>
      <c r="AG12" s="3192">
        <v>0</v>
      </c>
      <c r="AH12" s="3193"/>
      <c r="AI12" s="3189">
        <f>SUM(D12:AH12)</f>
        <v>373</v>
      </c>
      <c r="AJ12" s="3190">
        <f>AI12*$AX$12/100</f>
        <v>195.5447385740402</v>
      </c>
      <c r="AK12" s="3208" t="str">
        <f>'[6]Kỷ thuật'!M64</f>
        <v>A</v>
      </c>
      <c r="AL12" s="2673"/>
      <c r="AM12" s="2674">
        <f>IF(AJ12&gt;=2790,700000,IF(AJ12&gt;=2425,500000,IF(AJ12&gt;2110,300000,IF(AJ12&gt;=2110,0,0))))</f>
        <v>0</v>
      </c>
      <c r="AN12" s="2661" t="e">
        <f>+#REF!-#REF!</f>
        <v>#REF!</v>
      </c>
      <c r="AP12" s="3183"/>
      <c r="AT12" s="2661">
        <f>+AI12+[2]Mủ!AI13</f>
        <v>1418</v>
      </c>
      <c r="AX12" s="2741">
        <v>52.424862888482629</v>
      </c>
      <c r="AZ12" s="2661">
        <v>1335.9741484121841</v>
      </c>
    </row>
    <row r="13" spans="1:52" ht="27" customHeight="1">
      <c r="A13" s="2672">
        <v>53</v>
      </c>
      <c r="B13" s="2672">
        <v>2</v>
      </c>
      <c r="C13" s="2679" t="str">
        <f>'[6]Chấm công công nhân'!L67</f>
        <v>Thảo Mai</v>
      </c>
      <c r="D13" s="3191"/>
      <c r="E13" s="3191"/>
      <c r="F13" s="3191"/>
      <c r="G13" s="3191"/>
      <c r="H13" s="3191"/>
      <c r="I13" s="3191"/>
      <c r="J13" s="3191"/>
      <c r="K13" s="3191"/>
      <c r="L13" s="3191"/>
      <c r="M13" s="3191"/>
      <c r="N13" s="3191"/>
      <c r="O13" s="3191"/>
      <c r="P13" s="3191"/>
      <c r="Q13" s="3191"/>
      <c r="R13" s="3191"/>
      <c r="S13" s="3191"/>
      <c r="T13" s="3191"/>
      <c r="U13" s="3191"/>
      <c r="V13" s="3191"/>
      <c r="W13" s="3191"/>
      <c r="X13" s="3191"/>
      <c r="Y13" s="3191"/>
      <c r="Z13" s="3191"/>
      <c r="AA13" s="3191"/>
      <c r="AB13" s="3191">
        <v>147</v>
      </c>
      <c r="AC13" s="3191">
        <v>187</v>
      </c>
      <c r="AD13" s="3192"/>
      <c r="AE13" s="3192"/>
      <c r="AF13" s="3192"/>
      <c r="AG13" s="3192">
        <v>0</v>
      </c>
      <c r="AH13" s="3193"/>
      <c r="AI13" s="3189">
        <f t="shared" ref="AI13:AI25" si="0">SUM(D13:AH13)</f>
        <v>334</v>
      </c>
      <c r="AJ13" s="3190">
        <f t="shared" ref="AJ13:AJ26" si="1">AI13*$AX$12/100</f>
        <v>175.09904204753198</v>
      </c>
      <c r="AK13" s="3208" t="str">
        <f>'[6]Kỷ thuật'!M65</f>
        <v>B</v>
      </c>
      <c r="AL13" s="2673"/>
      <c r="AM13" s="2674">
        <f t="shared" ref="AM13:AM26" si="2">IF(AJ13&gt;=2790,700000,IF(AJ13&gt;=2425,500000,IF(AJ13&gt;2110,300000,IF(AJ13&gt;=2110,0,0))))</f>
        <v>0</v>
      </c>
      <c r="AT13" s="2661">
        <f>+AI13+[2]Mủ!AI14</f>
        <v>1138</v>
      </c>
      <c r="AX13" s="2739" t="e">
        <f>AX12/#REF!*100</f>
        <v>#REF!</v>
      </c>
      <c r="AZ13" s="2661">
        <v>785.20360191186001</v>
      </c>
    </row>
    <row r="14" spans="1:52" ht="27" customHeight="1">
      <c r="A14" s="2672">
        <v>54</v>
      </c>
      <c r="B14" s="2672">
        <v>3</v>
      </c>
      <c r="C14" s="2679" t="str">
        <f>'[6]Chấm công công nhân'!L68</f>
        <v>Thảo Tưng</v>
      </c>
      <c r="D14" s="3191"/>
      <c r="E14" s="3191"/>
      <c r="F14" s="3191"/>
      <c r="G14" s="3191"/>
      <c r="H14" s="3191"/>
      <c r="I14" s="3191"/>
      <c r="J14" s="3191"/>
      <c r="K14" s="3191"/>
      <c r="L14" s="3191"/>
      <c r="M14" s="3191"/>
      <c r="N14" s="3191"/>
      <c r="O14" s="3191"/>
      <c r="P14" s="3191"/>
      <c r="Q14" s="3191"/>
      <c r="R14" s="3191"/>
      <c r="S14" s="3191"/>
      <c r="T14" s="3191"/>
      <c r="U14" s="3191"/>
      <c r="V14" s="3191"/>
      <c r="W14" s="3191"/>
      <c r="X14" s="3191"/>
      <c r="Y14" s="3191"/>
      <c r="Z14" s="3191"/>
      <c r="AA14" s="3191"/>
      <c r="AB14" s="3191">
        <v>0</v>
      </c>
      <c r="AC14" s="3191">
        <v>0</v>
      </c>
      <c r="AD14" s="3192"/>
      <c r="AE14" s="3192"/>
      <c r="AF14" s="3192"/>
      <c r="AG14" s="3192">
        <v>91</v>
      </c>
      <c r="AH14" s="3193"/>
      <c r="AI14" s="3189">
        <f t="shared" si="0"/>
        <v>91</v>
      </c>
      <c r="AJ14" s="3190">
        <f t="shared" si="1"/>
        <v>47.706625228519194</v>
      </c>
      <c r="AK14" s="3208" t="str">
        <f>'[6]Kỷ thuật'!M66</f>
        <v>B</v>
      </c>
      <c r="AL14" s="2673"/>
      <c r="AM14" s="2674">
        <f t="shared" si="2"/>
        <v>0</v>
      </c>
      <c r="AT14" s="2661">
        <f>+AI14+[2]Mủ!AI15</f>
        <v>1676</v>
      </c>
      <c r="AX14" s="2978"/>
      <c r="AZ14" s="2661">
        <v>832.28639128321458</v>
      </c>
    </row>
    <row r="15" spans="1:52" ht="27" customHeight="1">
      <c r="A15" s="2672">
        <v>55</v>
      </c>
      <c r="B15" s="2672">
        <v>4</v>
      </c>
      <c r="C15" s="2679" t="str">
        <f>'[6]Chấm công công nhân'!L69</f>
        <v>Thảo Xay</v>
      </c>
      <c r="D15" s="3191"/>
      <c r="E15" s="3191"/>
      <c r="F15" s="3191"/>
      <c r="G15" s="3191"/>
      <c r="H15" s="3191"/>
      <c r="I15" s="3191"/>
      <c r="J15" s="3191"/>
      <c r="K15" s="3191"/>
      <c r="L15" s="3191"/>
      <c r="M15" s="3191"/>
      <c r="N15" s="3191"/>
      <c r="O15" s="3191"/>
      <c r="P15" s="3191"/>
      <c r="Q15" s="3191"/>
      <c r="R15" s="3191"/>
      <c r="S15" s="3191"/>
      <c r="T15" s="3191"/>
      <c r="U15" s="3191"/>
      <c r="V15" s="3191"/>
      <c r="W15" s="3191"/>
      <c r="X15" s="3191"/>
      <c r="Y15" s="3191"/>
      <c r="Z15" s="3191"/>
      <c r="AA15" s="3191"/>
      <c r="AB15" s="3191">
        <v>66</v>
      </c>
      <c r="AC15" s="3191">
        <v>77</v>
      </c>
      <c r="AD15" s="3192"/>
      <c r="AE15" s="3192"/>
      <c r="AF15" s="3192"/>
      <c r="AG15" s="3192">
        <v>151</v>
      </c>
      <c r="AH15" s="3193"/>
      <c r="AI15" s="3189">
        <f t="shared" si="0"/>
        <v>294</v>
      </c>
      <c r="AJ15" s="3190">
        <f t="shared" si="1"/>
        <v>154.12909689213893</v>
      </c>
      <c r="AK15" s="3208" t="str">
        <f>'[6]Kỷ thuật'!M67</f>
        <v>A</v>
      </c>
      <c r="AL15" s="2673"/>
      <c r="AM15" s="2674">
        <f t="shared" si="2"/>
        <v>0</v>
      </c>
      <c r="AT15" s="2661">
        <f>+AI15+[2]Mủ!AI16</f>
        <v>1529</v>
      </c>
      <c r="AX15" s="2979">
        <f>SUM(AI12:AI16)</f>
        <v>1383</v>
      </c>
      <c r="AZ15" s="2661">
        <v>1005.9041770900843</v>
      </c>
    </row>
    <row r="16" spans="1:52" ht="27" customHeight="1">
      <c r="A16" s="2672">
        <v>56</v>
      </c>
      <c r="B16" s="2672">
        <v>5</v>
      </c>
      <c r="C16" s="2679" t="str">
        <f>'[6]Chấm công công nhân'!L70</f>
        <v>Nàng Nọi</v>
      </c>
      <c r="D16" s="3191"/>
      <c r="E16" s="3191"/>
      <c r="F16" s="3191"/>
      <c r="G16" s="3191"/>
      <c r="H16" s="3191"/>
      <c r="I16" s="3191"/>
      <c r="J16" s="3191"/>
      <c r="K16" s="3191"/>
      <c r="L16" s="3191"/>
      <c r="M16" s="3191"/>
      <c r="N16" s="3191"/>
      <c r="O16" s="3191"/>
      <c r="P16" s="3191"/>
      <c r="Q16" s="3191"/>
      <c r="R16" s="3191"/>
      <c r="S16" s="3191"/>
      <c r="T16" s="3191"/>
      <c r="U16" s="3191"/>
      <c r="V16" s="3191"/>
      <c r="W16" s="3191"/>
      <c r="X16" s="3191"/>
      <c r="Y16" s="3191"/>
      <c r="Z16" s="3191"/>
      <c r="AA16" s="3191"/>
      <c r="AB16" s="3191">
        <v>64</v>
      </c>
      <c r="AC16" s="3191">
        <v>78</v>
      </c>
      <c r="AD16" s="3192"/>
      <c r="AE16" s="3192"/>
      <c r="AF16" s="3192"/>
      <c r="AG16" s="3192">
        <v>149</v>
      </c>
      <c r="AH16" s="3193"/>
      <c r="AI16" s="3189">
        <f t="shared" si="0"/>
        <v>291</v>
      </c>
      <c r="AJ16" s="3190">
        <f t="shared" si="1"/>
        <v>152.55635100548446</v>
      </c>
      <c r="AK16" s="3208" t="str">
        <f>'[6]Kỷ thuật'!M68</f>
        <v>B</v>
      </c>
      <c r="AL16" s="2673"/>
      <c r="AM16" s="2674">
        <f t="shared" si="2"/>
        <v>0</v>
      </c>
      <c r="AT16" s="2661">
        <f>+AI16+[2]Mủ!AI17</f>
        <v>1522</v>
      </c>
      <c r="AX16" s="2661">
        <f>SUM(AJ12:AJ16)</f>
        <v>725.03585374771478</v>
      </c>
      <c r="AY16" s="2661">
        <f>AX16/AX15*100</f>
        <v>52.424862888482629</v>
      </c>
      <c r="AZ16" s="2661">
        <v>851.41377446532726</v>
      </c>
    </row>
    <row r="17" spans="1:51" ht="27" customHeight="1">
      <c r="A17" s="2672">
        <v>57</v>
      </c>
      <c r="B17" s="2672">
        <v>6</v>
      </c>
      <c r="C17" s="2679" t="str">
        <f>'[6]Chấm công công nhân'!L71</f>
        <v>Thảo Đăm</v>
      </c>
      <c r="D17" s="3191"/>
      <c r="E17" s="3191"/>
      <c r="F17" s="3191"/>
      <c r="G17" s="3191"/>
      <c r="H17" s="3191"/>
      <c r="I17" s="3191"/>
      <c r="J17" s="3191"/>
      <c r="K17" s="3191"/>
      <c r="L17" s="3191"/>
      <c r="M17" s="3191"/>
      <c r="N17" s="3191"/>
      <c r="O17" s="3191"/>
      <c r="P17" s="3191"/>
      <c r="Q17" s="3191"/>
      <c r="R17" s="3191"/>
      <c r="S17" s="3191"/>
      <c r="T17" s="3191"/>
      <c r="U17" s="3191"/>
      <c r="V17" s="3191"/>
      <c r="W17" s="3191"/>
      <c r="X17" s="3191"/>
      <c r="Y17" s="3191"/>
      <c r="Z17" s="3191"/>
      <c r="AA17" s="3191"/>
      <c r="AB17" s="3191">
        <v>92</v>
      </c>
      <c r="AC17" s="3191">
        <v>170</v>
      </c>
      <c r="AD17" s="3192"/>
      <c r="AE17" s="3192"/>
      <c r="AF17" s="3192"/>
      <c r="AG17" s="3192">
        <v>0</v>
      </c>
      <c r="AH17" s="3193"/>
      <c r="AI17" s="3189">
        <f t="shared" si="0"/>
        <v>262</v>
      </c>
      <c r="AJ17" s="3190">
        <f t="shared" si="1"/>
        <v>137.35314076782447</v>
      </c>
      <c r="AK17" s="3208" t="str">
        <f>'[6]Kỷ thuật'!M69</f>
        <v>B</v>
      </c>
      <c r="AL17" s="2673"/>
      <c r="AM17" s="2674">
        <f t="shared" si="2"/>
        <v>0</v>
      </c>
      <c r="AT17" s="2661">
        <f>+AI17+[2]Mủ!AI18</f>
        <v>1035</v>
      </c>
      <c r="AX17" s="2982">
        <f>AX16-523</f>
        <v>202.03585374771478</v>
      </c>
      <c r="AY17" s="2661">
        <f>AX17/AX15*100</f>
        <v>14.608521601425508</v>
      </c>
    </row>
    <row r="18" spans="1:51" ht="27" customHeight="1">
      <c r="A18" s="2672">
        <v>58</v>
      </c>
      <c r="B18" s="2672">
        <v>7</v>
      </c>
      <c r="C18" s="2679" t="str">
        <f>'[6]Chấm công công nhân'!L72</f>
        <v>Thảo Chăn</v>
      </c>
      <c r="D18" s="3191"/>
      <c r="E18" s="3191"/>
      <c r="F18" s="3191"/>
      <c r="G18" s="3191"/>
      <c r="H18" s="3191"/>
      <c r="I18" s="3191"/>
      <c r="J18" s="3191"/>
      <c r="K18" s="3191"/>
      <c r="L18" s="3191"/>
      <c r="M18" s="3191"/>
      <c r="N18" s="3191"/>
      <c r="O18" s="3191"/>
      <c r="P18" s="3191"/>
      <c r="Q18" s="3191"/>
      <c r="R18" s="3191"/>
      <c r="S18" s="3191"/>
      <c r="T18" s="3191"/>
      <c r="U18" s="3191"/>
      <c r="V18" s="3191"/>
      <c r="W18" s="3191"/>
      <c r="X18" s="3191"/>
      <c r="Y18" s="3191"/>
      <c r="Z18" s="3191"/>
      <c r="AA18" s="3191"/>
      <c r="AB18" s="3191">
        <v>112</v>
      </c>
      <c r="AC18" s="3191">
        <v>165</v>
      </c>
      <c r="AD18" s="3192"/>
      <c r="AE18" s="3192"/>
      <c r="AF18" s="3192"/>
      <c r="AG18" s="3192">
        <v>0</v>
      </c>
      <c r="AH18" s="3193"/>
      <c r="AI18" s="3189">
        <f t="shared" si="0"/>
        <v>277</v>
      </c>
      <c r="AJ18" s="3190">
        <f t="shared" si="1"/>
        <v>145.21687020109687</v>
      </c>
      <c r="AK18" s="3208" t="str">
        <f>'[6]Kỷ thuật'!M70</f>
        <v>A</v>
      </c>
      <c r="AL18" s="2673"/>
      <c r="AM18" s="2674">
        <f t="shared" si="2"/>
        <v>0</v>
      </c>
      <c r="AT18" s="2661">
        <f>+AI18+[2]Mủ!AI19</f>
        <v>1026</v>
      </c>
      <c r="AY18" s="2661">
        <v>43.712734153967482</v>
      </c>
    </row>
    <row r="19" spans="1:51" ht="27" customHeight="1">
      <c r="A19" s="2672">
        <v>59</v>
      </c>
      <c r="B19" s="2672">
        <v>8</v>
      </c>
      <c r="C19" s="2679" t="str">
        <f>'[6]Chấm công công nhân'!L73</f>
        <v>Thảo Cô</v>
      </c>
      <c r="D19" s="3191"/>
      <c r="E19" s="3191"/>
      <c r="F19" s="3191"/>
      <c r="G19" s="3191"/>
      <c r="H19" s="3191"/>
      <c r="I19" s="3191"/>
      <c r="J19" s="3191"/>
      <c r="K19" s="3191"/>
      <c r="L19" s="3191"/>
      <c r="M19" s="3191"/>
      <c r="N19" s="3191"/>
      <c r="O19" s="3191"/>
      <c r="P19" s="3191"/>
      <c r="Q19" s="3191"/>
      <c r="R19" s="3191"/>
      <c r="S19" s="3191"/>
      <c r="T19" s="3191"/>
      <c r="U19" s="3191"/>
      <c r="V19" s="3191"/>
      <c r="W19" s="3191"/>
      <c r="X19" s="3191"/>
      <c r="Y19" s="3191"/>
      <c r="Z19" s="3191"/>
      <c r="AA19" s="3191"/>
      <c r="AB19" s="3191">
        <v>0</v>
      </c>
      <c r="AC19" s="3191">
        <v>0</v>
      </c>
      <c r="AD19" s="3192"/>
      <c r="AE19" s="3192"/>
      <c r="AF19" s="3192"/>
      <c r="AG19" s="3192">
        <v>0</v>
      </c>
      <c r="AH19" s="3193"/>
      <c r="AI19" s="3189">
        <f t="shared" si="0"/>
        <v>0</v>
      </c>
      <c r="AJ19" s="3190">
        <f t="shared" si="1"/>
        <v>0</v>
      </c>
      <c r="AK19" s="3208" t="str">
        <f>'[6]Kỷ thuật'!M71</f>
        <v>B</v>
      </c>
      <c r="AL19" s="2673"/>
      <c r="AM19" s="2674">
        <f t="shared" si="2"/>
        <v>0</v>
      </c>
    </row>
    <row r="20" spans="1:51" ht="33.75" customHeight="1">
      <c r="A20" s="2672">
        <v>60</v>
      </c>
      <c r="B20" s="2672">
        <v>9</v>
      </c>
      <c r="C20" s="2679" t="str">
        <f>'[6]Chấm công công nhân'!L74</f>
        <v>Thảo Nha</v>
      </c>
      <c r="D20" s="3191"/>
      <c r="E20" s="3191"/>
      <c r="F20" s="3191"/>
      <c r="G20" s="3191"/>
      <c r="H20" s="3191"/>
      <c r="I20" s="3191"/>
      <c r="J20" s="3191"/>
      <c r="K20" s="3191"/>
      <c r="L20" s="3191"/>
      <c r="M20" s="3191"/>
      <c r="N20" s="3191"/>
      <c r="O20" s="3191"/>
      <c r="P20" s="3191"/>
      <c r="Q20" s="3191"/>
      <c r="R20" s="3191"/>
      <c r="S20" s="3191"/>
      <c r="T20" s="3191"/>
      <c r="U20" s="3191"/>
      <c r="V20" s="3191"/>
      <c r="W20" s="3191"/>
      <c r="X20" s="3191"/>
      <c r="Y20" s="3191"/>
      <c r="Z20" s="3191"/>
      <c r="AA20" s="3191"/>
      <c r="AB20" s="3191">
        <v>0</v>
      </c>
      <c r="AC20" s="3191">
        <v>0</v>
      </c>
      <c r="AD20" s="3192"/>
      <c r="AE20" s="3192"/>
      <c r="AF20" s="3192"/>
      <c r="AG20" s="3192">
        <v>0</v>
      </c>
      <c r="AH20" s="3193"/>
      <c r="AI20" s="3189">
        <f t="shared" si="0"/>
        <v>0</v>
      </c>
      <c r="AJ20" s="3190">
        <f t="shared" si="1"/>
        <v>0</v>
      </c>
      <c r="AK20" s="3208" t="str">
        <f>'[6]Kỷ thuật'!M72</f>
        <v>A</v>
      </c>
      <c r="AL20" s="2673"/>
      <c r="AM20" s="2674">
        <f t="shared" si="2"/>
        <v>0</v>
      </c>
    </row>
    <row r="21" spans="1:51" ht="33.75" customHeight="1">
      <c r="A21" s="2672">
        <v>61</v>
      </c>
      <c r="B21" s="2672">
        <v>10</v>
      </c>
      <c r="C21" s="2679" t="str">
        <f>'[6]Chấm công công nhân'!L75</f>
        <v>Thảo Đăm 2</v>
      </c>
      <c r="D21" s="3191"/>
      <c r="E21" s="3191"/>
      <c r="F21" s="3191"/>
      <c r="G21" s="3191"/>
      <c r="H21" s="3191"/>
      <c r="I21" s="3191"/>
      <c r="J21" s="3191"/>
      <c r="K21" s="3191"/>
      <c r="L21" s="3191"/>
      <c r="M21" s="3191"/>
      <c r="N21" s="3191"/>
      <c r="O21" s="3191"/>
      <c r="P21" s="3191"/>
      <c r="Q21" s="3191"/>
      <c r="R21" s="3191"/>
      <c r="S21" s="3191"/>
      <c r="T21" s="3191"/>
      <c r="U21" s="3191"/>
      <c r="V21" s="3191"/>
      <c r="W21" s="3191"/>
      <c r="X21" s="3191"/>
      <c r="Y21" s="3191"/>
      <c r="Z21" s="3191"/>
      <c r="AA21" s="3191"/>
      <c r="AB21" s="3191">
        <v>0</v>
      </c>
      <c r="AC21" s="3191">
        <v>0</v>
      </c>
      <c r="AD21" s="3192"/>
      <c r="AE21" s="3192"/>
      <c r="AF21" s="3192"/>
      <c r="AG21" s="3192">
        <v>0</v>
      </c>
      <c r="AH21" s="3193"/>
      <c r="AI21" s="3189">
        <f t="shared" si="0"/>
        <v>0</v>
      </c>
      <c r="AJ21" s="3190">
        <f t="shared" si="1"/>
        <v>0</v>
      </c>
      <c r="AK21" s="3208" t="str">
        <f>'[6]Kỷ thuật'!M73</f>
        <v>B</v>
      </c>
      <c r="AL21" s="2673"/>
      <c r="AM21" s="2674">
        <f t="shared" si="2"/>
        <v>0</v>
      </c>
    </row>
    <row r="22" spans="1:51" ht="33.75" customHeight="1">
      <c r="A22" s="2672">
        <v>62</v>
      </c>
      <c r="B22" s="2672">
        <v>11</v>
      </c>
      <c r="C22" s="2679" t="str">
        <f>'[6]Chấm công công nhân'!L76</f>
        <v>Thảo Lay</v>
      </c>
      <c r="D22" s="3191"/>
      <c r="E22" s="3191"/>
      <c r="F22" s="3191"/>
      <c r="G22" s="3191"/>
      <c r="H22" s="3191"/>
      <c r="I22" s="3191"/>
      <c r="J22" s="3191"/>
      <c r="K22" s="3191"/>
      <c r="L22" s="3191"/>
      <c r="M22" s="3191"/>
      <c r="N22" s="3191"/>
      <c r="O22" s="3191"/>
      <c r="P22" s="3191"/>
      <c r="Q22" s="3191"/>
      <c r="R22" s="3191"/>
      <c r="S22" s="3191"/>
      <c r="T22" s="3191"/>
      <c r="U22" s="3191"/>
      <c r="V22" s="3191"/>
      <c r="W22" s="3191"/>
      <c r="X22" s="3191"/>
      <c r="Y22" s="3191"/>
      <c r="Z22" s="3191"/>
      <c r="AA22" s="3191"/>
      <c r="AB22" s="3191">
        <v>0</v>
      </c>
      <c r="AC22" s="3191">
        <v>109</v>
      </c>
      <c r="AD22" s="3192"/>
      <c r="AE22" s="3192"/>
      <c r="AF22" s="3192"/>
      <c r="AG22" s="3192">
        <v>0</v>
      </c>
      <c r="AH22" s="3193"/>
      <c r="AI22" s="3189">
        <f t="shared" si="0"/>
        <v>109</v>
      </c>
      <c r="AJ22" s="3190">
        <f t="shared" si="1"/>
        <v>57.143100548446064</v>
      </c>
      <c r="AK22" s="3208" t="str">
        <f>'[6]Kỷ thuật'!M74</f>
        <v>B</v>
      </c>
      <c r="AL22" s="2673"/>
      <c r="AM22" s="2674">
        <f t="shared" si="2"/>
        <v>0</v>
      </c>
    </row>
    <row r="23" spans="1:51" ht="33.75" customHeight="1">
      <c r="A23" s="2672">
        <v>63</v>
      </c>
      <c r="B23" s="2672">
        <v>12</v>
      </c>
      <c r="C23" s="2679" t="str">
        <f>'[6]Chấm công công nhân'!L77</f>
        <v>Thảo Khên</v>
      </c>
      <c r="D23" s="3191"/>
      <c r="E23" s="3191"/>
      <c r="F23" s="3191"/>
      <c r="G23" s="3191"/>
      <c r="H23" s="3191"/>
      <c r="I23" s="3191"/>
      <c r="J23" s="3191"/>
      <c r="K23" s="3191"/>
      <c r="L23" s="3191"/>
      <c r="M23" s="3191"/>
      <c r="N23" s="3191"/>
      <c r="O23" s="3191"/>
      <c r="P23" s="3191"/>
      <c r="Q23" s="3191"/>
      <c r="R23" s="3191"/>
      <c r="S23" s="3191"/>
      <c r="T23" s="3191"/>
      <c r="U23" s="3191"/>
      <c r="V23" s="3191"/>
      <c r="W23" s="3191"/>
      <c r="X23" s="3191"/>
      <c r="Y23" s="3191"/>
      <c r="Z23" s="3191"/>
      <c r="AA23" s="3191"/>
      <c r="AB23" s="3191">
        <v>135</v>
      </c>
      <c r="AC23" s="3191">
        <v>193</v>
      </c>
      <c r="AD23" s="3192"/>
      <c r="AE23" s="3192"/>
      <c r="AF23" s="3192"/>
      <c r="AG23" s="3192">
        <v>0</v>
      </c>
      <c r="AH23" s="3193"/>
      <c r="AI23" s="3189">
        <f t="shared" si="0"/>
        <v>328</v>
      </c>
      <c r="AJ23" s="3190">
        <f t="shared" si="1"/>
        <v>171.95355027422301</v>
      </c>
      <c r="AK23" s="3208" t="str">
        <f>'[6]Kỷ thuật'!M75</f>
        <v>A</v>
      </c>
      <c r="AL23" s="2673"/>
      <c r="AM23" s="2674">
        <f t="shared" si="2"/>
        <v>0</v>
      </c>
    </row>
    <row r="24" spans="1:51" ht="33.75" customHeight="1">
      <c r="A24" s="2672">
        <v>64</v>
      </c>
      <c r="B24" s="2672">
        <v>13</v>
      </c>
      <c r="C24" s="2679" t="str">
        <f>'[6]Chấm công công nhân'!L78</f>
        <v>Thảo Khon</v>
      </c>
      <c r="D24" s="3189"/>
      <c r="E24" s="3189"/>
      <c r="F24" s="3189"/>
      <c r="G24" s="3189"/>
      <c r="H24" s="3189"/>
      <c r="I24" s="3193"/>
      <c r="J24" s="3193"/>
      <c r="K24" s="3193"/>
      <c r="L24" s="3193"/>
      <c r="M24" s="3189"/>
      <c r="N24" s="3193"/>
      <c r="O24" s="3193"/>
      <c r="P24" s="3193"/>
      <c r="Q24" s="3193"/>
      <c r="R24" s="3193"/>
      <c r="S24" s="3193"/>
      <c r="T24" s="3189"/>
      <c r="U24" s="3193"/>
      <c r="V24" s="3193"/>
      <c r="W24" s="3193"/>
      <c r="X24" s="3193"/>
      <c r="Y24" s="3193"/>
      <c r="Z24" s="3193"/>
      <c r="AA24" s="3194"/>
      <c r="AB24" s="3193">
        <v>0</v>
      </c>
      <c r="AC24" s="3193">
        <v>74</v>
      </c>
      <c r="AD24" s="3192"/>
      <c r="AE24" s="3192"/>
      <c r="AF24" s="3192"/>
      <c r="AG24" s="3192">
        <v>152</v>
      </c>
      <c r="AH24" s="3193"/>
      <c r="AI24" s="3189">
        <f t="shared" si="0"/>
        <v>226</v>
      </c>
      <c r="AJ24" s="3190">
        <f t="shared" si="1"/>
        <v>118.48019012797074</v>
      </c>
      <c r="AK24" s="3208" t="str">
        <f>'[6]Kỷ thuật'!M76</f>
        <v>A</v>
      </c>
      <c r="AL24" s="2673"/>
      <c r="AM24" s="2674">
        <f t="shared" si="2"/>
        <v>0</v>
      </c>
    </row>
    <row r="25" spans="1:51" ht="33.75" customHeight="1">
      <c r="A25" s="2672">
        <v>65</v>
      </c>
      <c r="B25" s="2672">
        <v>14</v>
      </c>
      <c r="C25" s="2679" t="str">
        <f>'[6]Chấm công công nhân'!L79</f>
        <v>Thảo Nga</v>
      </c>
      <c r="D25" s="3189"/>
      <c r="E25" s="3189"/>
      <c r="F25" s="3189"/>
      <c r="G25" s="3189"/>
      <c r="H25" s="3189"/>
      <c r="I25" s="3193"/>
      <c r="J25" s="3193"/>
      <c r="K25" s="3193"/>
      <c r="L25" s="3193"/>
      <c r="M25" s="3189"/>
      <c r="N25" s="3193"/>
      <c r="O25" s="3193"/>
      <c r="P25" s="3193"/>
      <c r="Q25" s="3193"/>
      <c r="R25" s="3193"/>
      <c r="S25" s="3193"/>
      <c r="T25" s="3189"/>
      <c r="U25" s="3193"/>
      <c r="V25" s="3193"/>
      <c r="W25" s="3193"/>
      <c r="X25" s="3193"/>
      <c r="Y25" s="3193"/>
      <c r="Z25" s="3193"/>
      <c r="AA25" s="3194"/>
      <c r="AB25" s="3193">
        <v>0</v>
      </c>
      <c r="AC25" s="3193">
        <v>0</v>
      </c>
      <c r="AD25" s="3192"/>
      <c r="AE25" s="3192"/>
      <c r="AF25" s="3192"/>
      <c r="AG25" s="3192">
        <v>150</v>
      </c>
      <c r="AH25" s="3193"/>
      <c r="AI25" s="3189">
        <f t="shared" si="0"/>
        <v>150</v>
      </c>
      <c r="AJ25" s="3190">
        <f t="shared" si="1"/>
        <v>78.63729433272394</v>
      </c>
      <c r="AK25" s="3208" t="str">
        <f>'[6]Kỷ thuật'!M77</f>
        <v>B</v>
      </c>
      <c r="AL25" s="2673"/>
      <c r="AM25" s="2674">
        <f t="shared" si="2"/>
        <v>0</v>
      </c>
    </row>
    <row r="26" spans="1:51" ht="24.75" customHeight="1">
      <c r="A26" s="2672">
        <v>62</v>
      </c>
      <c r="B26" s="2672">
        <v>15</v>
      </c>
      <c r="C26" s="2679">
        <f>'[6]Chấm công công nhân'!L80</f>
        <v>0</v>
      </c>
      <c r="D26" s="3190"/>
      <c r="E26" s="3190"/>
      <c r="F26" s="3190"/>
      <c r="G26" s="3190"/>
      <c r="H26" s="3190"/>
      <c r="I26" s="3195"/>
      <c r="J26" s="3195"/>
      <c r="K26" s="3195"/>
      <c r="L26" s="3195"/>
      <c r="M26" s="3190"/>
      <c r="N26" s="3195"/>
      <c r="O26" s="3195"/>
      <c r="P26" s="3195"/>
      <c r="Q26" s="3195"/>
      <c r="R26" s="3195"/>
      <c r="S26" s="3195"/>
      <c r="T26" s="3190"/>
      <c r="U26" s="3195"/>
      <c r="V26" s="3195"/>
      <c r="W26" s="3195"/>
      <c r="X26" s="3195"/>
      <c r="Y26" s="3195"/>
      <c r="Z26" s="3195"/>
      <c r="AA26" s="3196"/>
      <c r="AB26" s="3195">
        <v>0</v>
      </c>
      <c r="AC26" s="3195">
        <v>0</v>
      </c>
      <c r="AD26" s="3197"/>
      <c r="AE26" s="3197"/>
      <c r="AF26" s="3197"/>
      <c r="AG26" s="3197">
        <v>0</v>
      </c>
      <c r="AH26" s="3195"/>
      <c r="AI26" s="3189"/>
      <c r="AJ26" s="3190">
        <f t="shared" si="1"/>
        <v>0</v>
      </c>
      <c r="AK26" s="2673"/>
      <c r="AL26" s="2673"/>
      <c r="AM26" s="2674">
        <f t="shared" si="2"/>
        <v>0</v>
      </c>
    </row>
    <row r="27" spans="1:51" s="3200" customFormat="1" ht="34.5" customHeight="1">
      <c r="A27" s="3707" t="s">
        <v>807</v>
      </c>
      <c r="B27" s="3708"/>
      <c r="C27" s="3709"/>
      <c r="D27" s="3198">
        <f>SUM(D12:D26)</f>
        <v>0</v>
      </c>
      <c r="E27" s="3198">
        <f t="shared" ref="E27:AJ27" si="3">SUM(E12:E26)</f>
        <v>0</v>
      </c>
      <c r="F27" s="3198">
        <f t="shared" si="3"/>
        <v>0</v>
      </c>
      <c r="G27" s="3198">
        <f t="shared" si="3"/>
        <v>0</v>
      </c>
      <c r="H27" s="3198">
        <f t="shared" si="3"/>
        <v>0</v>
      </c>
      <c r="I27" s="3198">
        <f t="shared" si="3"/>
        <v>0</v>
      </c>
      <c r="J27" s="3198">
        <f t="shared" si="3"/>
        <v>0</v>
      </c>
      <c r="K27" s="3198">
        <f t="shared" si="3"/>
        <v>0</v>
      </c>
      <c r="L27" s="3198">
        <f t="shared" si="3"/>
        <v>0</v>
      </c>
      <c r="M27" s="3198">
        <f t="shared" si="3"/>
        <v>0</v>
      </c>
      <c r="N27" s="3198">
        <f t="shared" si="3"/>
        <v>0</v>
      </c>
      <c r="O27" s="3198">
        <f t="shared" si="3"/>
        <v>0</v>
      </c>
      <c r="P27" s="3198">
        <f t="shared" si="3"/>
        <v>0</v>
      </c>
      <c r="Q27" s="3198">
        <f t="shared" si="3"/>
        <v>0</v>
      </c>
      <c r="R27" s="3198">
        <f t="shared" si="3"/>
        <v>0</v>
      </c>
      <c r="S27" s="3198">
        <f t="shared" si="3"/>
        <v>0</v>
      </c>
      <c r="T27" s="3198">
        <f t="shared" si="3"/>
        <v>0</v>
      </c>
      <c r="U27" s="3198">
        <f t="shared" si="3"/>
        <v>0</v>
      </c>
      <c r="V27" s="3198">
        <f t="shared" si="3"/>
        <v>0</v>
      </c>
      <c r="W27" s="3198">
        <f t="shared" si="3"/>
        <v>0</v>
      </c>
      <c r="X27" s="3198">
        <f t="shared" si="3"/>
        <v>0</v>
      </c>
      <c r="Y27" s="3198">
        <f t="shared" si="3"/>
        <v>0</v>
      </c>
      <c r="Z27" s="3198">
        <f t="shared" si="3"/>
        <v>0</v>
      </c>
      <c r="AA27" s="3198">
        <f t="shared" si="3"/>
        <v>0</v>
      </c>
      <c r="AB27" s="3198">
        <f t="shared" si="3"/>
        <v>783</v>
      </c>
      <c r="AC27" s="3198">
        <f t="shared" si="3"/>
        <v>1259</v>
      </c>
      <c r="AD27" s="3198">
        <f t="shared" si="3"/>
        <v>0</v>
      </c>
      <c r="AE27" s="3198">
        <f t="shared" si="3"/>
        <v>0</v>
      </c>
      <c r="AF27" s="3198">
        <f t="shared" si="3"/>
        <v>0</v>
      </c>
      <c r="AG27" s="3198">
        <f t="shared" si="3"/>
        <v>693</v>
      </c>
      <c r="AH27" s="3198">
        <f t="shared" si="3"/>
        <v>0</v>
      </c>
      <c r="AI27" s="3198">
        <f t="shared" si="3"/>
        <v>2735</v>
      </c>
      <c r="AJ27" s="3198">
        <f t="shared" si="3"/>
        <v>1433.82</v>
      </c>
      <c r="AK27" s="3199"/>
      <c r="AL27" s="3199"/>
    </row>
    <row r="28" spans="1:51" ht="15.75" customHeight="1">
      <c r="A28" s="2682"/>
      <c r="B28" s="2683"/>
      <c r="C28" s="2683"/>
      <c r="D28" s="2684"/>
      <c r="E28" s="2684"/>
      <c r="F28" s="2685"/>
      <c r="G28" s="2684"/>
      <c r="H28" s="2684"/>
      <c r="I28" s="2684"/>
      <c r="J28" s="2686"/>
      <c r="K28" s="2686"/>
      <c r="L28" s="2686"/>
      <c r="M28" s="2686"/>
      <c r="N28" s="2686"/>
      <c r="O28" s="2686"/>
      <c r="P28" s="2686"/>
      <c r="Q28" s="2686"/>
      <c r="R28" s="2686"/>
      <c r="S28" s="2686"/>
      <c r="T28" s="2686"/>
      <c r="U28" s="2686"/>
      <c r="V28" s="2686"/>
      <c r="W28" s="2686"/>
      <c r="X28" s="2686"/>
      <c r="Y28" s="2686"/>
      <c r="Z28" s="2686"/>
      <c r="AA28" s="2686"/>
      <c r="AB28" s="2686"/>
      <c r="AC28" s="2686"/>
      <c r="AK28" s="2687"/>
      <c r="AL28" s="2687"/>
    </row>
    <row r="29" spans="1:51" s="2664" customFormat="1" ht="24" customHeight="1">
      <c r="A29" s="3699" t="s">
        <v>1</v>
      </c>
      <c r="B29" s="3700"/>
      <c r="C29" s="3701"/>
      <c r="D29" s="3702" t="s">
        <v>544</v>
      </c>
      <c r="E29" s="3702"/>
      <c r="F29" s="3702"/>
      <c r="G29" s="3702" t="s">
        <v>1149</v>
      </c>
      <c r="H29" s="3702"/>
      <c r="I29" s="3702"/>
      <c r="J29" s="3702" t="s">
        <v>1150</v>
      </c>
      <c r="K29" s="3702"/>
      <c r="L29" s="3702"/>
      <c r="M29" s="3702"/>
      <c r="N29" s="3702"/>
      <c r="O29" s="3702"/>
      <c r="P29" s="3702" t="s">
        <v>1320</v>
      </c>
      <c r="Q29" s="3702"/>
      <c r="R29" s="3702"/>
      <c r="S29" s="3702"/>
      <c r="T29" s="3702"/>
      <c r="U29" s="3702"/>
      <c r="V29" s="3702"/>
      <c r="W29" s="2688"/>
      <c r="X29" s="2688"/>
      <c r="Y29" s="2688"/>
      <c r="Z29" s="2688"/>
      <c r="AA29" s="2688"/>
      <c r="AB29" s="2688"/>
      <c r="AC29" s="2688"/>
      <c r="AD29" s="2688"/>
      <c r="AE29" s="2688"/>
      <c r="AF29" s="2688"/>
      <c r="AG29" s="2688"/>
      <c r="AI29" s="3201"/>
      <c r="AJ29" s="3184"/>
    </row>
    <row r="30" spans="1:51" ht="27" customHeight="1">
      <c r="A30" s="3694">
        <v>1</v>
      </c>
      <c r="B30" s="3695"/>
      <c r="C30" s="3696"/>
      <c r="D30" s="3697"/>
      <c r="E30" s="3697"/>
      <c r="F30" s="3697"/>
      <c r="G30" s="3697" t="s">
        <v>52</v>
      </c>
      <c r="H30" s="3697"/>
      <c r="I30" s="3697"/>
      <c r="J30" s="3698">
        <f>SUMIF($AK$12:$AK$26,"A",$AI$12:$AI$26)</f>
        <v>1498</v>
      </c>
      <c r="K30" s="3698"/>
      <c r="L30" s="3698"/>
      <c r="M30" s="3698"/>
      <c r="N30" s="3698"/>
      <c r="O30" s="3698"/>
      <c r="P30" s="3698">
        <f>SUMIF($AK$12:$AK$26,"A",$AJ$12:$AJ$26)</f>
        <v>785.32444606946979</v>
      </c>
      <c r="Q30" s="3698"/>
      <c r="R30" s="3698"/>
      <c r="S30" s="3698"/>
      <c r="T30" s="3698"/>
      <c r="U30" s="3698"/>
      <c r="V30" s="3698"/>
    </row>
    <row r="31" spans="1:51">
      <c r="A31" s="3694">
        <v>2</v>
      </c>
      <c r="B31" s="3695"/>
      <c r="C31" s="3696"/>
      <c r="D31" s="3697"/>
      <c r="E31" s="3697"/>
      <c r="F31" s="3697"/>
      <c r="G31" s="3697" t="s">
        <v>92</v>
      </c>
      <c r="H31" s="3697"/>
      <c r="I31" s="3697"/>
      <c r="J31" s="3698">
        <f>SUMIF($AK$12:$AK$26,"B",$AI$12:$AI$26)</f>
        <v>1237</v>
      </c>
      <c r="K31" s="3698"/>
      <c r="L31" s="3698"/>
      <c r="M31" s="3698"/>
      <c r="N31" s="3698"/>
      <c r="O31" s="3698"/>
      <c r="P31" s="3698">
        <f>SUMIF($AK$12:$AK$26,"B",$AJ$12:$AJ$26)</f>
        <v>648.49555393053015</v>
      </c>
      <c r="Q31" s="3698"/>
      <c r="R31" s="3698"/>
      <c r="S31" s="3698"/>
      <c r="T31" s="3698"/>
      <c r="U31" s="3698"/>
      <c r="V31" s="3698"/>
      <c r="AB31" s="2969"/>
      <c r="AP31" s="3202">
        <f>97677*43.16</f>
        <v>4215739.3199999994</v>
      </c>
    </row>
    <row r="32" spans="1:51" ht="29.25" customHeight="1">
      <c r="A32" s="3694">
        <v>3</v>
      </c>
      <c r="B32" s="3695"/>
      <c r="C32" s="3696"/>
      <c r="D32" s="3697"/>
      <c r="E32" s="3697"/>
      <c r="F32" s="3697"/>
      <c r="G32" s="3697" t="s">
        <v>53</v>
      </c>
      <c r="H32" s="3697"/>
      <c r="I32" s="3697"/>
      <c r="J32" s="3698">
        <f>SUMIF($AK$12:$AK$26,"C",$AI$12:$AI$26)</f>
        <v>0</v>
      </c>
      <c r="K32" s="3698"/>
      <c r="L32" s="3698"/>
      <c r="M32" s="3698"/>
      <c r="N32" s="3698"/>
      <c r="O32" s="3698"/>
      <c r="P32" s="3698">
        <f>SUMIF($AK$12:$AK$26,"C",$AJ$12:$AJ$26)</f>
        <v>0</v>
      </c>
      <c r="Q32" s="3698"/>
      <c r="R32" s="3698"/>
      <c r="S32" s="3698"/>
      <c r="T32" s="3698"/>
      <c r="U32" s="3698"/>
      <c r="V32" s="3698"/>
    </row>
    <row r="33" spans="1:40" ht="29.25" hidden="1" customHeight="1">
      <c r="A33" s="3694">
        <v>4</v>
      </c>
      <c r="B33" s="3695"/>
      <c r="C33" s="3696"/>
      <c r="D33" s="3697">
        <f>SUM(COUNTIF(AK12:AK21,"D"))</f>
        <v>0</v>
      </c>
      <c r="E33" s="3697"/>
      <c r="F33" s="3697"/>
      <c r="G33" s="3697" t="s">
        <v>93</v>
      </c>
      <c r="H33" s="3697"/>
      <c r="I33" s="3697"/>
      <c r="J33" s="3698">
        <f>SUMIF($AK$12:$AK$18,"D",$AI$12:$AI$18)</f>
        <v>0</v>
      </c>
      <c r="K33" s="3698"/>
      <c r="L33" s="3698"/>
      <c r="M33" s="3698"/>
      <c r="N33" s="3698"/>
      <c r="O33" s="3698"/>
      <c r="P33" s="3698">
        <f>SUMIF($AK$12:$AK$18,"D",$AJ$12:$AJ$18)</f>
        <v>0</v>
      </c>
      <c r="Q33" s="3698"/>
      <c r="R33" s="3698"/>
      <c r="S33" s="3698"/>
      <c r="T33" s="3698"/>
      <c r="U33" s="3698"/>
      <c r="V33" s="3698"/>
    </row>
    <row r="34" spans="1:40" s="2671" customFormat="1" ht="29.25" customHeight="1">
      <c r="A34" s="3699" t="s">
        <v>187</v>
      </c>
      <c r="B34" s="3700"/>
      <c r="C34" s="3701"/>
      <c r="D34" s="3702">
        <f>SUM(D30:F33)</f>
        <v>0</v>
      </c>
      <c r="E34" s="3702"/>
      <c r="F34" s="3702"/>
      <c r="G34" s="3702"/>
      <c r="H34" s="3702"/>
      <c r="I34" s="3702"/>
      <c r="J34" s="3703">
        <f>SUM(J30:O33)</f>
        <v>2735</v>
      </c>
      <c r="K34" s="3703"/>
      <c r="L34" s="3703"/>
      <c r="M34" s="3703"/>
      <c r="N34" s="3703"/>
      <c r="O34" s="3703"/>
      <c r="P34" s="3703">
        <f>SUM(P30:V33)</f>
        <v>1433.82</v>
      </c>
      <c r="Q34" s="3703"/>
      <c r="R34" s="3703"/>
      <c r="S34" s="3703"/>
      <c r="T34" s="3703"/>
      <c r="U34" s="3703"/>
      <c r="V34" s="3703"/>
      <c r="W34" s="2689"/>
      <c r="X34" s="2689"/>
      <c r="Y34" s="2689"/>
      <c r="Z34" s="2689"/>
      <c r="AA34" s="2689"/>
      <c r="AB34" s="2689"/>
      <c r="AC34" s="2689"/>
      <c r="AD34" s="2689"/>
      <c r="AE34" s="2689"/>
      <c r="AF34" s="2689"/>
      <c r="AG34" s="2689"/>
      <c r="AI34" s="3203"/>
      <c r="AJ34" s="3183"/>
    </row>
    <row r="35" spans="1:40" s="2691" customFormat="1" ht="19.5" hidden="1" customHeight="1">
      <c r="A35" s="2690"/>
      <c r="E35" s="3204"/>
      <c r="G35" s="3204"/>
      <c r="H35" s="3204"/>
      <c r="I35" s="3204"/>
      <c r="J35" s="3205"/>
      <c r="K35" s="2692"/>
      <c r="M35" s="2692"/>
      <c r="N35" s="2692"/>
      <c r="O35" s="2692"/>
      <c r="P35" s="2692"/>
      <c r="Q35" s="2692"/>
      <c r="R35" s="2692"/>
      <c r="S35" s="2693"/>
      <c r="T35" s="2693"/>
      <c r="U35" s="2693"/>
      <c r="V35" s="2693"/>
      <c r="W35" s="2693"/>
      <c r="X35" s="2693"/>
      <c r="Y35" s="2693"/>
      <c r="AA35" s="2693"/>
      <c r="AB35" s="3283"/>
      <c r="AC35" s="3283"/>
      <c r="AD35" s="3283"/>
      <c r="AE35" s="3691" t="s">
        <v>1563</v>
      </c>
      <c r="AF35" s="3691"/>
      <c r="AG35" s="3691"/>
      <c r="AH35" s="3691"/>
      <c r="AI35" s="3691"/>
      <c r="AJ35" s="3691"/>
      <c r="AK35" s="3691"/>
      <c r="AL35" s="3307"/>
      <c r="AM35" s="3283"/>
      <c r="AN35" s="3283"/>
    </row>
    <row r="36" spans="1:40" ht="28.5" hidden="1" customHeight="1">
      <c r="B36" s="2694"/>
      <c r="C36" s="2692" t="s">
        <v>46</v>
      </c>
      <c r="D36" s="2694"/>
      <c r="E36" s="3206"/>
      <c r="F36" s="3206"/>
      <c r="G36" s="3207"/>
      <c r="H36" s="3207"/>
      <c r="I36" s="3207"/>
      <c r="J36" s="2695"/>
      <c r="K36" s="2661"/>
      <c r="L36" s="2696"/>
      <c r="M36" s="2696"/>
      <c r="N36" s="2696"/>
      <c r="O36" s="3692" t="s">
        <v>1147</v>
      </c>
      <c r="P36" s="3692"/>
      <c r="Q36" s="3692"/>
      <c r="R36" s="3692"/>
      <c r="S36" s="3692"/>
      <c r="T36" s="3692"/>
      <c r="U36" s="3692"/>
      <c r="V36" s="3692"/>
      <c r="W36" s="2661"/>
      <c r="X36" s="2695"/>
      <c r="Y36" s="2697"/>
      <c r="Z36" s="2697"/>
      <c r="AA36" s="2697"/>
      <c r="AB36" s="2697"/>
      <c r="AC36" s="2661"/>
      <c r="AD36" s="2661"/>
      <c r="AE36" s="3692" t="s">
        <v>1107</v>
      </c>
      <c r="AF36" s="3692"/>
      <c r="AG36" s="3692"/>
      <c r="AH36" s="3692"/>
      <c r="AI36" s="3692"/>
      <c r="AJ36" s="3692"/>
      <c r="AK36" s="3692"/>
      <c r="AL36" s="3308"/>
    </row>
    <row r="37" spans="1:40" ht="29.25" customHeight="1">
      <c r="C37" s="2690"/>
      <c r="D37" s="2691"/>
      <c r="E37" s="2691"/>
      <c r="F37" s="2691"/>
      <c r="G37" s="3204"/>
      <c r="H37" s="2691"/>
      <c r="I37" s="3204"/>
      <c r="J37" s="3204"/>
      <c r="K37" s="3204"/>
      <c r="L37" s="3205"/>
      <c r="M37" s="2692"/>
      <c r="N37" s="2691"/>
      <c r="O37" s="2692"/>
      <c r="P37" s="2692"/>
      <c r="Q37" s="2692"/>
      <c r="R37" s="2692"/>
      <c r="S37" s="2692"/>
      <c r="T37" s="2692"/>
      <c r="U37" s="2693"/>
      <c r="V37" s="2693"/>
      <c r="W37" s="2693"/>
      <c r="X37" s="2693"/>
      <c r="Y37" s="2693"/>
      <c r="Z37" s="2693"/>
      <c r="AA37" s="2693"/>
      <c r="AB37" s="2691"/>
      <c r="AC37" s="2693"/>
      <c r="AD37" s="3283"/>
      <c r="AE37" s="3283"/>
      <c r="AF37" s="3283"/>
      <c r="AG37" s="3691" t="s">
        <v>1595</v>
      </c>
      <c r="AH37" s="3691"/>
      <c r="AI37" s="3691"/>
      <c r="AJ37" s="3691"/>
      <c r="AK37" s="3691"/>
      <c r="AL37" s="3691"/>
      <c r="AM37" s="3691"/>
    </row>
    <row r="38" spans="1:40" ht="20.100000000000001" customHeight="1">
      <c r="C38" s="2662"/>
      <c r="D38" s="2694"/>
      <c r="E38" s="2692" t="s">
        <v>46</v>
      </c>
      <c r="F38" s="2694"/>
      <c r="G38" s="3206"/>
      <c r="H38" s="3206"/>
      <c r="I38" s="3207"/>
      <c r="J38" s="3207"/>
      <c r="K38" s="3207"/>
      <c r="L38" s="2695"/>
      <c r="M38" s="2661"/>
      <c r="N38" s="2696"/>
      <c r="O38" s="2696"/>
      <c r="P38" s="2696"/>
      <c r="Q38" s="3692" t="s">
        <v>1147</v>
      </c>
      <c r="R38" s="3692"/>
      <c r="S38" s="3692"/>
      <c r="T38" s="3692"/>
      <c r="U38" s="3692"/>
      <c r="V38" s="3692"/>
      <c r="W38" s="3692"/>
      <c r="X38" s="3692"/>
      <c r="Y38" s="2661"/>
      <c r="Z38" s="2695"/>
      <c r="AA38" s="2697"/>
      <c r="AB38" s="2697"/>
      <c r="AC38" s="2697"/>
      <c r="AD38" s="2697"/>
      <c r="AE38" s="2661"/>
      <c r="AF38" s="2661"/>
      <c r="AG38" s="3692" t="s">
        <v>1107</v>
      </c>
      <c r="AH38" s="3692"/>
      <c r="AI38" s="3692"/>
      <c r="AJ38" s="3692"/>
      <c r="AK38" s="3692"/>
      <c r="AL38" s="3692"/>
      <c r="AM38" s="3692"/>
    </row>
    <row r="39" spans="1:40" ht="16.5" customHeight="1">
      <c r="C39" s="2662"/>
      <c r="D39" s="2661"/>
      <c r="E39" s="2661"/>
      <c r="AH39" s="2669"/>
      <c r="AI39" s="2669"/>
      <c r="AJ39" s="2661"/>
      <c r="AK39" s="3183"/>
      <c r="AL39" s="3183"/>
    </row>
    <row r="40" spans="1:40">
      <c r="C40" s="2662"/>
      <c r="D40" s="2661"/>
      <c r="E40" s="2661"/>
      <c r="AH40" s="2669"/>
      <c r="AI40" s="2669"/>
      <c r="AJ40" s="2661"/>
      <c r="AK40" s="3183"/>
      <c r="AL40" s="3183"/>
    </row>
    <row r="41" spans="1:40">
      <c r="C41" s="2662"/>
      <c r="D41" s="2661"/>
      <c r="E41" s="2661"/>
      <c r="AH41" s="2669"/>
      <c r="AI41" s="2669"/>
      <c r="AJ41" s="2661"/>
      <c r="AK41" s="3183"/>
      <c r="AL41" s="3183"/>
    </row>
    <row r="42" spans="1:40">
      <c r="C42" s="2662"/>
      <c r="D42" s="2661"/>
      <c r="E42" s="2661"/>
      <c r="AH42" s="2669"/>
      <c r="AI42" s="2669"/>
      <c r="AJ42" s="2661"/>
      <c r="AK42" s="3183"/>
      <c r="AL42" s="3183"/>
    </row>
    <row r="43" spans="1:40">
      <c r="C43" s="2662"/>
      <c r="D43" s="2661"/>
      <c r="E43" s="2661"/>
      <c r="AH43" s="2669"/>
      <c r="AI43" s="2669"/>
      <c r="AJ43" s="2661"/>
      <c r="AK43" s="3183"/>
      <c r="AL43" s="3183"/>
    </row>
    <row r="44" spans="1:40">
      <c r="C44" s="2662"/>
      <c r="D44" s="2661"/>
      <c r="E44" s="2661"/>
      <c r="AG44" s="3693" t="s">
        <v>1013</v>
      </c>
      <c r="AH44" s="3693"/>
      <c r="AI44" s="3693"/>
      <c r="AJ44" s="3693"/>
      <c r="AK44" s="3693"/>
      <c r="AL44" s="3693"/>
      <c r="AM44" s="3693"/>
    </row>
    <row r="45" spans="1:40">
      <c r="C45" s="2662"/>
      <c r="D45" s="2661"/>
      <c r="E45" s="2661"/>
      <c r="AH45" s="2669"/>
      <c r="AI45" s="2669"/>
      <c r="AJ45" s="2661"/>
      <c r="AK45" s="3183"/>
      <c r="AL45" s="3183"/>
    </row>
  </sheetData>
  <mergeCells count="52">
    <mergeCell ref="A8:AL8"/>
    <mergeCell ref="A1:AL1"/>
    <mergeCell ref="A2:AL2"/>
    <mergeCell ref="A3:AL3"/>
    <mergeCell ref="A5:N5"/>
    <mergeCell ref="A6:N6"/>
    <mergeCell ref="AK10:AK11"/>
    <mergeCell ref="AL10:AL11"/>
    <mergeCell ref="A27:C27"/>
    <mergeCell ref="A29:C29"/>
    <mergeCell ref="D29:F29"/>
    <mergeCell ref="G29:I29"/>
    <mergeCell ref="J29:O29"/>
    <mergeCell ref="P29:V29"/>
    <mergeCell ref="A10:A11"/>
    <mergeCell ref="B10:B11"/>
    <mergeCell ref="C10:C11"/>
    <mergeCell ref="D10:AH10"/>
    <mergeCell ref="AI10:AI11"/>
    <mergeCell ref="AJ10:AJ11"/>
    <mergeCell ref="A31:C31"/>
    <mergeCell ref="D31:F31"/>
    <mergeCell ref="G31:I31"/>
    <mergeCell ref="J31:O31"/>
    <mergeCell ref="P31:V31"/>
    <mergeCell ref="A30:C30"/>
    <mergeCell ref="D30:F30"/>
    <mergeCell ref="G30:I30"/>
    <mergeCell ref="J30:O30"/>
    <mergeCell ref="P30:V30"/>
    <mergeCell ref="A33:C33"/>
    <mergeCell ref="D33:F33"/>
    <mergeCell ref="G33:I33"/>
    <mergeCell ref="J33:O33"/>
    <mergeCell ref="P33:V33"/>
    <mergeCell ref="A32:C32"/>
    <mergeCell ref="D32:F32"/>
    <mergeCell ref="G32:I32"/>
    <mergeCell ref="J32:O32"/>
    <mergeCell ref="P32:V32"/>
    <mergeCell ref="AG44:AM44"/>
    <mergeCell ref="A34:C34"/>
    <mergeCell ref="D34:F34"/>
    <mergeCell ref="G34:I34"/>
    <mergeCell ref="J34:O34"/>
    <mergeCell ref="P34:V34"/>
    <mergeCell ref="AE35:AK35"/>
    <mergeCell ref="O36:V36"/>
    <mergeCell ref="AE36:AK36"/>
    <mergeCell ref="AG37:AM37"/>
    <mergeCell ref="Q38:X38"/>
    <mergeCell ref="AG38:AM38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FABF51F4-3927-49C5-9E16-893E40F1AFB0}">
            <xm:f>'\NHÂN 2024\Tháng 08\SL TỔ\[SL mủ Tổ 3 T8.xlsx]axit đánh đông'!#REF!="x"</xm:f>
            <x14:dxf>
              <fill>
                <patternFill>
                  <bgColor rgb="FF00B050"/>
                </patternFill>
              </fill>
            </x14:dxf>
          </x14:cfRule>
          <xm:sqref>D12:K23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I18"/>
  <sheetViews>
    <sheetView topLeftCell="A4" workbookViewId="0">
      <selection activeCell="I28" sqref="I28"/>
    </sheetView>
  </sheetViews>
  <sheetFormatPr defaultRowHeight="14.25"/>
  <cols>
    <col min="2" max="2" width="6" customWidth="1"/>
    <col min="5" max="5" width="11.625" customWidth="1"/>
    <col min="7" max="7" width="7.125" customWidth="1"/>
    <col min="9" max="9" width="10.75" customWidth="1"/>
  </cols>
  <sheetData>
    <row r="1" spans="1:9" ht="16.5">
      <c r="A1" s="3841" t="s">
        <v>165</v>
      </c>
      <c r="B1" s="3841"/>
      <c r="C1" s="3841"/>
      <c r="D1" s="3841"/>
      <c r="E1" s="3841"/>
      <c r="F1" s="3841"/>
      <c r="G1" s="3841"/>
      <c r="H1" s="3841"/>
      <c r="I1" s="3841"/>
    </row>
    <row r="2" spans="1:9" ht="16.5">
      <c r="A2" s="3841" t="s">
        <v>1584</v>
      </c>
      <c r="B2" s="3841"/>
      <c r="C2" s="3841"/>
      <c r="D2" s="3841"/>
      <c r="E2" s="3841"/>
      <c r="F2" s="3841"/>
      <c r="G2" s="3841"/>
      <c r="H2" s="3841"/>
      <c r="I2" s="3841"/>
    </row>
    <row r="3" spans="1:9" ht="16.5">
      <c r="A3" s="3842" t="s">
        <v>727</v>
      </c>
      <c r="B3" s="3842"/>
      <c r="C3" s="3842"/>
      <c r="D3" s="3842"/>
      <c r="E3" s="3842"/>
      <c r="F3" s="3441"/>
      <c r="G3" s="3442"/>
      <c r="H3" s="3442"/>
      <c r="I3" s="3442"/>
    </row>
    <row r="4" spans="1:9" ht="16.5">
      <c r="A4" s="3442"/>
      <c r="B4" s="3443" t="s">
        <v>1202</v>
      </c>
      <c r="C4" s="3443"/>
      <c r="D4" s="3443"/>
      <c r="E4" s="3443"/>
      <c r="F4" s="3443"/>
      <c r="G4" s="3442"/>
      <c r="H4" s="3442"/>
      <c r="I4" s="3442"/>
    </row>
    <row r="5" spans="1:9" ht="16.5">
      <c r="A5" s="3442"/>
      <c r="B5" s="3442"/>
      <c r="C5" s="3442"/>
      <c r="D5" s="3442"/>
      <c r="E5" s="3442"/>
      <c r="F5" s="3442"/>
      <c r="G5" s="3442"/>
      <c r="H5" s="3442"/>
      <c r="I5" s="3442"/>
    </row>
    <row r="6" spans="1:9" ht="16.5">
      <c r="A6" s="3834" t="s">
        <v>1784</v>
      </c>
      <c r="B6" s="3834"/>
      <c r="C6" s="3834"/>
      <c r="D6" s="3834"/>
      <c r="E6" s="3834"/>
      <c r="F6" s="3834"/>
      <c r="G6" s="3834"/>
      <c r="H6" s="3834"/>
      <c r="I6" s="3834"/>
    </row>
    <row r="7" spans="1:9" ht="16.5">
      <c r="A7" s="3442"/>
      <c r="B7" s="3442"/>
      <c r="C7" s="3442"/>
      <c r="D7" s="3442"/>
      <c r="E7" s="3442"/>
      <c r="F7" s="3442"/>
      <c r="G7" s="3442"/>
      <c r="H7" s="3442"/>
      <c r="I7" s="3442"/>
    </row>
    <row r="8" spans="1:9" ht="16.5">
      <c r="A8" s="3835" t="s">
        <v>1</v>
      </c>
      <c r="B8" s="3837"/>
      <c r="C8" s="3835" t="s">
        <v>509</v>
      </c>
      <c r="D8" s="3837"/>
      <c r="E8" s="3444" t="s">
        <v>543</v>
      </c>
      <c r="F8" s="3835" t="s">
        <v>27</v>
      </c>
      <c r="G8" s="3837"/>
      <c r="H8" s="3835" t="s">
        <v>1585</v>
      </c>
      <c r="I8" s="3837"/>
    </row>
    <row r="9" spans="1:9" ht="16.5">
      <c r="A9" s="3832">
        <v>1</v>
      </c>
      <c r="B9" s="3833"/>
      <c r="C9" s="3832" t="s">
        <v>101</v>
      </c>
      <c r="D9" s="3833"/>
      <c r="E9" s="3445" t="s">
        <v>654</v>
      </c>
      <c r="F9" s="3828">
        <v>1700000</v>
      </c>
      <c r="G9" s="3829"/>
      <c r="H9" s="3828">
        <v>20000</v>
      </c>
      <c r="I9" s="3829"/>
    </row>
    <row r="10" spans="1:9" ht="16.5">
      <c r="A10" s="3840">
        <v>2</v>
      </c>
      <c r="B10" s="3840"/>
      <c r="C10" s="3832" t="str">
        <f>'Phụ cấp người Việt'!B12</f>
        <v>Hồ Văn Tăng</v>
      </c>
      <c r="D10" s="3833"/>
      <c r="E10" s="3445" t="str">
        <f>'Phụ cấp người Việt'!C12</f>
        <v>CNKT</v>
      </c>
      <c r="F10" s="3828">
        <f>'Phụ cấp người Việt'!F12</f>
        <v>1680000</v>
      </c>
      <c r="G10" s="3829"/>
      <c r="H10" s="3828">
        <f>'Phụ cấp người Việt'!G12</f>
        <v>19000</v>
      </c>
      <c r="I10" s="3829"/>
    </row>
    <row r="11" spans="1:9" ht="16.5">
      <c r="A11" s="3840">
        <v>3</v>
      </c>
      <c r="B11" s="3840"/>
      <c r="C11" s="3832" t="str">
        <f>'Phụ cấp người Việt'!B13</f>
        <v>Hồ Văn Khoa</v>
      </c>
      <c r="D11" s="3833"/>
      <c r="E11" s="3445" t="str">
        <f>'Phụ cấp người Việt'!C13</f>
        <v>CNKT</v>
      </c>
      <c r="F11" s="3828">
        <f>'Phụ cấp người Việt'!F13</f>
        <v>1600000</v>
      </c>
      <c r="G11" s="3829"/>
      <c r="H11" s="3828">
        <f>'Phụ cấp người Việt'!G13</f>
        <v>15000</v>
      </c>
      <c r="I11" s="3829"/>
    </row>
    <row r="12" spans="1:9" ht="16.5">
      <c r="A12" s="3840">
        <v>4</v>
      </c>
      <c r="B12" s="3840"/>
      <c r="C12" s="3832" t="str">
        <f>'Phụ cấp người Việt'!B14</f>
        <v>Hồ Xa My</v>
      </c>
      <c r="D12" s="3833"/>
      <c r="E12" s="3445" t="str">
        <f>'Phụ cấp người Việt'!C14</f>
        <v>CNKT</v>
      </c>
      <c r="F12" s="3828">
        <f>'Phụ cấp người Việt'!F14</f>
        <v>1680000</v>
      </c>
      <c r="G12" s="3829"/>
      <c r="H12" s="3828">
        <f>'Phụ cấp người Việt'!G14</f>
        <v>19000</v>
      </c>
      <c r="I12" s="3829"/>
    </row>
    <row r="13" spans="1:9" ht="16.5">
      <c r="A13" s="3835" t="s">
        <v>688</v>
      </c>
      <c r="B13" s="3836"/>
      <c r="C13" s="3836"/>
      <c r="D13" s="3837"/>
      <c r="E13" s="3446"/>
      <c r="F13" s="3838">
        <f>SUM(F9:G12)</f>
        <v>6660000</v>
      </c>
      <c r="G13" s="3839"/>
      <c r="H13" s="3838">
        <f>SUM(H9:I12)</f>
        <v>73000</v>
      </c>
      <c r="I13" s="3839"/>
    </row>
    <row r="14" spans="1:9" ht="16.5">
      <c r="A14" s="3442"/>
      <c r="B14" s="3442"/>
      <c r="C14" s="3442"/>
      <c r="D14" s="3442"/>
      <c r="E14" s="3442"/>
      <c r="F14" s="3442"/>
      <c r="G14" s="3442"/>
      <c r="H14" s="3442"/>
      <c r="I14" s="3442"/>
    </row>
    <row r="15" spans="1:9" ht="16.5">
      <c r="A15" s="3830" t="s">
        <v>1786</v>
      </c>
      <c r="B15" s="3830"/>
      <c r="C15" s="3830"/>
      <c r="D15" s="3830"/>
      <c r="E15" s="3830"/>
      <c r="F15" s="3830"/>
      <c r="G15" s="3830"/>
      <c r="H15" s="3830"/>
      <c r="I15" s="3830"/>
    </row>
    <row r="16" spans="1:9" ht="16.5">
      <c r="A16" s="3442"/>
      <c r="B16" s="3442"/>
      <c r="C16" s="3442"/>
      <c r="D16" s="3442"/>
      <c r="E16" s="3442"/>
      <c r="F16" s="3831" t="s">
        <v>1785</v>
      </c>
      <c r="G16" s="3831"/>
      <c r="H16" s="3831"/>
      <c r="I16" s="3831"/>
    </row>
    <row r="17" spans="1:9" ht="16.5">
      <c r="A17" s="3442"/>
      <c r="B17" s="3442"/>
      <c r="C17" s="3442"/>
      <c r="D17" s="3442"/>
      <c r="E17" s="3442"/>
      <c r="F17" s="3442"/>
      <c r="G17" s="3442"/>
      <c r="H17" s="3442"/>
      <c r="I17" s="3442"/>
    </row>
    <row r="18" spans="1:9" ht="16.5">
      <c r="A18" s="3834" t="s">
        <v>46</v>
      </c>
      <c r="B18" s="3834"/>
      <c r="C18" s="3834"/>
      <c r="D18" s="3834" t="s">
        <v>613</v>
      </c>
      <c r="E18" s="3834"/>
      <c r="F18" s="3834" t="s">
        <v>257</v>
      </c>
      <c r="G18" s="3834"/>
      <c r="H18" s="3834" t="s">
        <v>615</v>
      </c>
      <c r="I18" s="3834"/>
    </row>
  </sheetData>
  <mergeCells count="33">
    <mergeCell ref="A1:I1"/>
    <mergeCell ref="A2:I2"/>
    <mergeCell ref="A3:E3"/>
    <mergeCell ref="A6:I6"/>
    <mergeCell ref="A8:B8"/>
    <mergeCell ref="C8:D8"/>
    <mergeCell ref="F8:G8"/>
    <mergeCell ref="H8:I8"/>
    <mergeCell ref="A18:C18"/>
    <mergeCell ref="D18:E18"/>
    <mergeCell ref="F18:G18"/>
    <mergeCell ref="H18:I18"/>
    <mergeCell ref="A9:B9"/>
    <mergeCell ref="C9:D9"/>
    <mergeCell ref="F9:G9"/>
    <mergeCell ref="H9:I9"/>
    <mergeCell ref="A13:D13"/>
    <mergeCell ref="F13:G13"/>
    <mergeCell ref="H13:I13"/>
    <mergeCell ref="A12:B12"/>
    <mergeCell ref="A11:B11"/>
    <mergeCell ref="A10:B10"/>
    <mergeCell ref="C12:D12"/>
    <mergeCell ref="C11:D11"/>
    <mergeCell ref="F12:G12"/>
    <mergeCell ref="F11:G11"/>
    <mergeCell ref="F10:G10"/>
    <mergeCell ref="A15:I15"/>
    <mergeCell ref="F16:I16"/>
    <mergeCell ref="C10:D10"/>
    <mergeCell ref="H12:I12"/>
    <mergeCell ref="H11:I11"/>
    <mergeCell ref="H10:I10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K483"/>
  <sheetViews>
    <sheetView topLeftCell="J1" zoomScale="85" zoomScaleNormal="85" workbookViewId="0">
      <pane xSplit="1" ySplit="11" topLeftCell="K80" activePane="bottomRight" state="frozen"/>
      <selection activeCell="J1" sqref="J1"/>
      <selection pane="topRight" activeCell="K1" sqref="K1"/>
      <selection pane="bottomLeft" activeCell="J12" sqref="J12"/>
      <selection pane="bottomRight" activeCell="AP80" sqref="AP80"/>
    </sheetView>
  </sheetViews>
  <sheetFormatPr defaultColWidth="3.375" defaultRowHeight="15.75"/>
  <cols>
    <col min="1" max="1" width="10.25" style="2767" hidden="1" customWidth="1"/>
    <col min="2" max="2" width="7.75" style="2766" hidden="1" customWidth="1"/>
    <col min="3" max="3" width="9.375" style="2766" hidden="1" customWidth="1"/>
    <col min="4" max="4" width="8.125" style="2766" hidden="1" customWidth="1"/>
    <col min="5" max="5" width="6.875" style="2767" hidden="1" customWidth="1"/>
    <col min="6" max="6" width="8.375" style="2768" hidden="1" customWidth="1"/>
    <col min="7" max="7" width="9" style="2769" hidden="1" customWidth="1"/>
    <col min="8" max="8" width="10.375" style="2767" hidden="1" customWidth="1"/>
    <col min="9" max="9" width="3" style="2770" hidden="1" customWidth="1"/>
    <col min="10" max="10" width="4" style="2767" customWidth="1"/>
    <col min="11" max="11" width="4" style="2766" customWidth="1"/>
    <col min="12" max="12" width="12.25" style="2766" customWidth="1"/>
    <col min="13" max="19" width="3.625" style="2822" customWidth="1"/>
    <col min="20" max="20" width="4.375" style="2822" customWidth="1"/>
    <col min="21" max="33" width="3.625" style="2822" customWidth="1"/>
    <col min="34" max="34" width="3.625" style="2821" customWidth="1"/>
    <col min="35" max="42" width="3.625" style="2822" customWidth="1"/>
    <col min="43" max="43" width="3.875" style="2822" customWidth="1"/>
    <col min="44" max="44" width="9.5" style="2766" customWidth="1"/>
    <col min="45" max="45" width="8.625" style="2766" customWidth="1"/>
    <col min="46" max="46" width="6.625" style="2766" customWidth="1"/>
    <col min="47" max="47" width="6.375" style="2766" customWidth="1"/>
    <col min="48" max="48" width="8" style="3542" customWidth="1"/>
    <col min="49" max="49" width="14.625" style="2766" customWidth="1"/>
    <col min="50" max="50" width="7.75" style="2766" hidden="1" customWidth="1"/>
    <col min="51" max="51" width="9.375" style="3542" hidden="1" customWidth="1"/>
    <col min="52" max="52" width="11.75" style="2766" customWidth="1"/>
    <col min="53" max="53" width="7.75" style="2766" customWidth="1"/>
    <col min="54" max="54" width="7.75" style="2766" hidden="1" customWidth="1"/>
    <col min="55" max="55" width="7.75" style="2766" customWidth="1"/>
    <col min="56" max="56" width="8.75" style="2766" customWidth="1"/>
    <col min="57" max="58" width="7.75" style="2766" customWidth="1"/>
    <col min="59" max="59" width="9" style="2766" customWidth="1"/>
    <col min="60" max="202" width="7.75" style="2766" customWidth="1"/>
    <col min="203" max="203" width="3.375" style="2766" customWidth="1"/>
    <col min="204" max="204" width="8" style="2766" customWidth="1"/>
    <col min="205" max="205" width="14.625" style="2766" customWidth="1"/>
    <col min="206" max="207" width="3" style="2766" customWidth="1"/>
    <col min="208" max="16384" width="3.375" style="2766"/>
  </cols>
  <sheetData>
    <row r="1" spans="1:63" s="3542" customFormat="1" ht="23.25" customHeight="1">
      <c r="A1" s="3876" t="s">
        <v>165</v>
      </c>
      <c r="B1" s="3876"/>
      <c r="C1" s="3876"/>
      <c r="D1" s="3876"/>
      <c r="E1" s="3876"/>
      <c r="F1" s="3876"/>
      <c r="G1" s="3876"/>
      <c r="H1" s="3876"/>
      <c r="I1" s="3876"/>
      <c r="J1" s="3876"/>
      <c r="K1" s="3876"/>
      <c r="L1" s="3876"/>
      <c r="M1" s="3876"/>
      <c r="N1" s="3876"/>
      <c r="O1" s="3876"/>
      <c r="P1" s="3876"/>
      <c r="Q1" s="3876"/>
      <c r="R1" s="3876"/>
      <c r="S1" s="3876"/>
      <c r="T1" s="3876"/>
      <c r="U1" s="3876"/>
      <c r="V1" s="3876"/>
      <c r="W1" s="3876"/>
      <c r="X1" s="3876"/>
      <c r="Y1" s="3876"/>
      <c r="Z1" s="3876"/>
      <c r="AA1" s="3876"/>
      <c r="AB1" s="3876"/>
      <c r="AC1" s="3876"/>
      <c r="AD1" s="3876"/>
      <c r="AE1" s="3876"/>
      <c r="AF1" s="3876"/>
      <c r="AG1" s="3876"/>
      <c r="AH1" s="3876"/>
      <c r="AI1" s="3876"/>
      <c r="AJ1" s="3876"/>
      <c r="AK1" s="3876"/>
      <c r="AL1" s="3876"/>
      <c r="AM1" s="3876"/>
      <c r="AN1" s="3876"/>
      <c r="AO1" s="3876"/>
      <c r="AP1" s="3876"/>
      <c r="AQ1" s="3876"/>
      <c r="AR1" s="3876"/>
      <c r="AS1" s="3876"/>
      <c r="AT1" s="3876"/>
      <c r="AU1" s="3876"/>
      <c r="AV1" s="3876"/>
      <c r="AW1" s="3876"/>
      <c r="AX1" s="3876"/>
      <c r="AY1" s="3876"/>
    </row>
    <row r="2" spans="1:63" s="3542" customFormat="1" ht="12.75" customHeight="1">
      <c r="A2" s="3876" t="s">
        <v>171</v>
      </c>
      <c r="B2" s="3876"/>
      <c r="C2" s="3876"/>
      <c r="D2" s="3876"/>
      <c r="E2" s="3876"/>
      <c r="F2" s="3876"/>
      <c r="G2" s="3876"/>
      <c r="H2" s="3876"/>
      <c r="I2" s="3876"/>
      <c r="J2" s="3876"/>
      <c r="K2" s="3876"/>
      <c r="L2" s="3876"/>
      <c r="M2" s="3876"/>
      <c r="N2" s="3876"/>
      <c r="O2" s="3876"/>
      <c r="P2" s="3876"/>
      <c r="Q2" s="3876"/>
      <c r="R2" s="3876"/>
      <c r="S2" s="3876"/>
      <c r="T2" s="3876"/>
      <c r="U2" s="3876"/>
      <c r="V2" s="3876"/>
      <c r="W2" s="3876"/>
      <c r="X2" s="3876"/>
      <c r="Y2" s="3876"/>
      <c r="Z2" s="3876"/>
      <c r="AA2" s="3876"/>
      <c r="AB2" s="3876"/>
      <c r="AC2" s="3876"/>
      <c r="AD2" s="3876"/>
      <c r="AE2" s="3876"/>
      <c r="AF2" s="3876"/>
      <c r="AG2" s="3876"/>
      <c r="AH2" s="3876"/>
      <c r="AI2" s="3876"/>
      <c r="AJ2" s="3876"/>
      <c r="AK2" s="3876"/>
      <c r="AL2" s="3876"/>
      <c r="AM2" s="3876"/>
      <c r="AN2" s="3876"/>
      <c r="AO2" s="3876"/>
      <c r="AP2" s="3876"/>
      <c r="AQ2" s="3876"/>
      <c r="AR2" s="3876"/>
      <c r="AS2" s="3876"/>
      <c r="AT2" s="3876"/>
      <c r="AU2" s="3876"/>
      <c r="AV2" s="3876"/>
      <c r="AW2" s="3876"/>
      <c r="AX2" s="3876"/>
      <c r="AY2" s="3876"/>
    </row>
    <row r="3" spans="1:63" s="3542" customFormat="1" ht="12.75" customHeight="1">
      <c r="A3" s="3876" t="s">
        <v>726</v>
      </c>
      <c r="B3" s="3876"/>
      <c r="C3" s="3876"/>
      <c r="D3" s="3876"/>
      <c r="E3" s="3876"/>
      <c r="F3" s="3876"/>
      <c r="G3" s="3876"/>
      <c r="H3" s="3876"/>
      <c r="I3" s="3876"/>
      <c r="J3" s="3876"/>
      <c r="K3" s="3876"/>
      <c r="L3" s="3876"/>
      <c r="M3" s="3876"/>
      <c r="N3" s="3876"/>
      <c r="O3" s="3876"/>
      <c r="P3" s="3876"/>
      <c r="Q3" s="3876"/>
      <c r="R3" s="3876"/>
      <c r="S3" s="3876"/>
      <c r="T3" s="3876"/>
      <c r="U3" s="3876"/>
      <c r="V3" s="3876"/>
      <c r="W3" s="3876"/>
      <c r="X3" s="3876"/>
      <c r="Y3" s="3876"/>
      <c r="Z3" s="3876"/>
      <c r="AA3" s="3876"/>
      <c r="AB3" s="3876"/>
      <c r="AC3" s="3876"/>
      <c r="AD3" s="3876"/>
      <c r="AE3" s="3876"/>
      <c r="AF3" s="3876"/>
      <c r="AG3" s="3876"/>
      <c r="AH3" s="3876"/>
      <c r="AI3" s="3876"/>
      <c r="AJ3" s="3876"/>
      <c r="AK3" s="3876"/>
      <c r="AL3" s="3876"/>
      <c r="AM3" s="3876"/>
      <c r="AN3" s="3876"/>
      <c r="AO3" s="3876"/>
      <c r="AP3" s="3876"/>
      <c r="AQ3" s="3876"/>
      <c r="AR3" s="3876"/>
      <c r="AS3" s="3876"/>
      <c r="AT3" s="3876"/>
      <c r="AU3" s="3876"/>
      <c r="AV3" s="3876"/>
      <c r="AW3" s="3876"/>
      <c r="AX3" s="3876"/>
      <c r="AY3" s="3876"/>
    </row>
    <row r="4" spans="1:63" s="3542" customFormat="1" ht="25.5" customHeight="1">
      <c r="H4" s="3541"/>
      <c r="I4" s="3541"/>
      <c r="J4" s="3877" t="s">
        <v>602</v>
      </c>
      <c r="K4" s="3877"/>
      <c r="L4" s="3877"/>
      <c r="M4" s="3877"/>
      <c r="N4" s="3877"/>
      <c r="O4" s="3877"/>
      <c r="P4" s="3877"/>
      <c r="Q4" s="3877"/>
      <c r="R4" s="3877"/>
      <c r="S4" s="3877"/>
      <c r="T4" s="3877"/>
      <c r="U4" s="3877"/>
      <c r="V4" s="3877"/>
      <c r="W4" s="2699"/>
      <c r="X4" s="2699"/>
      <c r="Y4" s="2699"/>
      <c r="Z4" s="2699"/>
      <c r="AA4" s="2699"/>
      <c r="AB4" s="2699"/>
      <c r="AC4" s="2699"/>
      <c r="AD4" s="2699"/>
      <c r="AE4" s="2699"/>
      <c r="AF4" s="2699"/>
      <c r="AG4" s="2699"/>
      <c r="AH4" s="2760"/>
      <c r="AI4" s="2699"/>
      <c r="AJ4" s="2699"/>
      <c r="AK4" s="2699"/>
      <c r="AL4" s="2699"/>
      <c r="AM4" s="2699"/>
      <c r="AN4" s="2699"/>
      <c r="AO4" s="2699"/>
      <c r="AP4" s="2699"/>
      <c r="AQ4" s="2699"/>
    </row>
    <row r="5" spans="1:63" s="3542" customFormat="1" ht="23.25" customHeight="1">
      <c r="A5" s="3876" t="s">
        <v>541</v>
      </c>
      <c r="B5" s="3876"/>
      <c r="C5" s="3876"/>
      <c r="D5" s="3876"/>
      <c r="E5" s="3876"/>
      <c r="F5" s="3876"/>
      <c r="G5" s="3876"/>
      <c r="H5" s="3541"/>
      <c r="I5" s="3541"/>
      <c r="J5" s="3876" t="s">
        <v>541</v>
      </c>
      <c r="K5" s="3876"/>
      <c r="L5" s="3876"/>
      <c r="M5" s="3876"/>
      <c r="N5" s="3876"/>
      <c r="O5" s="3876"/>
      <c r="P5" s="3876"/>
      <c r="Q5" s="3876"/>
      <c r="R5" s="3876"/>
      <c r="S5" s="3876"/>
      <c r="T5" s="3876"/>
      <c r="U5" s="3876"/>
      <c r="V5" s="3876"/>
      <c r="W5" s="2699"/>
      <c r="X5" s="2699"/>
      <c r="Y5" s="2699"/>
      <c r="Z5" s="2699"/>
      <c r="AA5" s="2699"/>
      <c r="AB5" s="2699"/>
      <c r="AC5" s="2699"/>
      <c r="AD5" s="2699"/>
      <c r="AE5" s="2699"/>
      <c r="AF5" s="2699"/>
      <c r="AG5" s="2699"/>
      <c r="AH5" s="2760"/>
      <c r="AI5" s="2699"/>
      <c r="AJ5" s="2699"/>
      <c r="AK5" s="2699"/>
      <c r="AL5" s="2699"/>
      <c r="AM5" s="2699"/>
      <c r="AN5" s="2699"/>
      <c r="AO5" s="2699"/>
      <c r="AP5" s="2699"/>
      <c r="AQ5" s="2699"/>
    </row>
    <row r="6" spans="1:63" s="3542" customFormat="1" ht="6" customHeight="1">
      <c r="A6" s="3541"/>
      <c r="B6" s="3541"/>
      <c r="C6" s="3541"/>
      <c r="D6" s="3541"/>
      <c r="E6" s="3541"/>
      <c r="F6" s="3541"/>
      <c r="G6" s="3541"/>
      <c r="H6" s="3541"/>
      <c r="I6" s="3541"/>
      <c r="J6" s="3541"/>
      <c r="K6" s="3541"/>
      <c r="L6" s="3541"/>
      <c r="M6" s="2698"/>
      <c r="N6" s="2698"/>
      <c r="O6" s="2698"/>
      <c r="P6" s="2698"/>
      <c r="Q6" s="2698"/>
      <c r="R6" s="2698"/>
      <c r="S6" s="2698"/>
      <c r="T6" s="2698"/>
      <c r="U6" s="2699"/>
      <c r="V6" s="2699"/>
      <c r="W6" s="2699"/>
      <c r="X6" s="2699"/>
      <c r="Y6" s="2699"/>
      <c r="Z6" s="2699"/>
      <c r="AA6" s="2699"/>
      <c r="AB6" s="2699"/>
      <c r="AC6" s="2699"/>
      <c r="AD6" s="2699"/>
      <c r="AE6" s="2699"/>
      <c r="AF6" s="2699"/>
      <c r="AG6" s="2699"/>
      <c r="AH6" s="2760"/>
      <c r="AI6" s="2699"/>
      <c r="AJ6" s="2699"/>
      <c r="AK6" s="2699"/>
      <c r="AL6" s="2699"/>
      <c r="AM6" s="2699"/>
      <c r="AN6" s="2699"/>
      <c r="AO6" s="2699"/>
      <c r="AP6" s="2699"/>
      <c r="AQ6" s="2699"/>
    </row>
    <row r="7" spans="1:63" ht="20.25" customHeight="1">
      <c r="A7" s="3545"/>
      <c r="J7" s="3876" t="s">
        <v>1776</v>
      </c>
      <c r="K7" s="3876"/>
      <c r="L7" s="3876"/>
      <c r="M7" s="3876"/>
      <c r="N7" s="3876"/>
      <c r="O7" s="3876"/>
      <c r="P7" s="3876"/>
      <c r="Q7" s="3876"/>
      <c r="R7" s="3876"/>
      <c r="S7" s="3876"/>
      <c r="T7" s="3876"/>
      <c r="U7" s="3876"/>
      <c r="V7" s="3876"/>
      <c r="W7" s="3876"/>
      <c r="X7" s="3876"/>
      <c r="Y7" s="3876"/>
      <c r="Z7" s="3876"/>
      <c r="AA7" s="3876"/>
      <c r="AB7" s="3876"/>
      <c r="AC7" s="3876"/>
      <c r="AD7" s="3876"/>
      <c r="AE7" s="3876"/>
      <c r="AF7" s="3876"/>
      <c r="AG7" s="3876"/>
      <c r="AH7" s="3876"/>
      <c r="AI7" s="3876"/>
      <c r="AJ7" s="3876"/>
      <c r="AK7" s="3876"/>
      <c r="AL7" s="3876"/>
      <c r="AM7" s="3876"/>
      <c r="AN7" s="3876"/>
      <c r="AO7" s="3876"/>
      <c r="AP7" s="3876"/>
      <c r="AQ7" s="3876"/>
      <c r="AR7" s="3876"/>
      <c r="AS7" s="3876"/>
      <c r="AT7" s="3876"/>
      <c r="AU7" s="3876"/>
      <c r="AV7" s="3876"/>
      <c r="AW7" s="3876"/>
      <c r="AX7" s="3876"/>
      <c r="AY7" s="3876"/>
    </row>
    <row r="8" spans="1:63" hidden="1">
      <c r="A8" s="2771"/>
      <c r="K8" s="3542"/>
      <c r="L8" s="3542"/>
      <c r="M8" s="2699"/>
      <c r="N8" s="2699"/>
      <c r="O8" s="2699"/>
      <c r="P8" s="2699"/>
      <c r="Q8" s="2699"/>
      <c r="R8" s="2699"/>
      <c r="S8" s="2699"/>
      <c r="T8" s="2699"/>
      <c r="U8" s="2699"/>
      <c r="V8" s="2699"/>
      <c r="W8" s="2699"/>
      <c r="X8" s="2699"/>
      <c r="Y8" s="2699"/>
      <c r="Z8" s="2699"/>
      <c r="AA8" s="2699"/>
      <c r="AB8" s="2699"/>
      <c r="AC8" s="2699"/>
      <c r="AD8" s="2699"/>
      <c r="AE8" s="2699"/>
      <c r="AF8" s="2699"/>
      <c r="AG8" s="2699"/>
      <c r="AH8" s="2760"/>
      <c r="AI8" s="2699"/>
      <c r="AJ8" s="2699"/>
      <c r="AK8" s="2699"/>
      <c r="AL8" s="2699"/>
      <c r="AM8" s="2699"/>
      <c r="AN8" s="2699"/>
      <c r="AO8" s="2699"/>
      <c r="AP8" s="2699"/>
      <c r="AQ8" s="2699"/>
      <c r="AR8" s="3542"/>
      <c r="AS8" s="3542"/>
      <c r="AT8" s="3542"/>
      <c r="AU8" s="3542"/>
    </row>
    <row r="9" spans="1:63" ht="15.75" customHeight="1">
      <c r="A9" s="3864" t="s">
        <v>642</v>
      </c>
      <c r="B9" s="3867" t="s">
        <v>643</v>
      </c>
      <c r="C9" s="3870" t="s">
        <v>644</v>
      </c>
      <c r="D9" s="3867" t="s">
        <v>645</v>
      </c>
      <c r="E9" s="3843" t="s">
        <v>646</v>
      </c>
      <c r="F9" s="3870" t="s">
        <v>647</v>
      </c>
      <c r="G9" s="3873" t="s">
        <v>648</v>
      </c>
      <c r="H9" s="3843" t="s">
        <v>649</v>
      </c>
      <c r="I9" s="3848" t="s">
        <v>650</v>
      </c>
      <c r="J9" s="3856" t="s">
        <v>19</v>
      </c>
      <c r="K9" s="3846" t="s">
        <v>19</v>
      </c>
      <c r="L9" s="3846" t="s">
        <v>20</v>
      </c>
      <c r="M9" s="3853" t="s">
        <v>50</v>
      </c>
      <c r="N9" s="3854"/>
      <c r="O9" s="3854"/>
      <c r="P9" s="3854"/>
      <c r="Q9" s="3854"/>
      <c r="R9" s="3854"/>
      <c r="S9" s="3854"/>
      <c r="T9" s="3854"/>
      <c r="U9" s="3854"/>
      <c r="V9" s="3854"/>
      <c r="W9" s="3854"/>
      <c r="X9" s="3854"/>
      <c r="Y9" s="3854"/>
      <c r="Z9" s="3854"/>
      <c r="AA9" s="3854"/>
      <c r="AB9" s="3854"/>
      <c r="AC9" s="3854"/>
      <c r="AD9" s="3854"/>
      <c r="AE9" s="3854"/>
      <c r="AF9" s="3854"/>
      <c r="AG9" s="3854"/>
      <c r="AH9" s="3854"/>
      <c r="AI9" s="3854"/>
      <c r="AJ9" s="3854"/>
      <c r="AK9" s="3854"/>
      <c r="AL9" s="3854"/>
      <c r="AM9" s="3854"/>
      <c r="AN9" s="3854"/>
      <c r="AO9" s="3854"/>
      <c r="AP9" s="3854"/>
      <c r="AQ9" s="3855"/>
      <c r="AR9" s="3864" t="s">
        <v>1603</v>
      </c>
      <c r="AS9" s="3864" t="s">
        <v>1604</v>
      </c>
      <c r="AT9" s="3864" t="s">
        <v>1605</v>
      </c>
      <c r="AU9" s="3864" t="s">
        <v>1606</v>
      </c>
      <c r="AV9" s="3878" t="s">
        <v>804</v>
      </c>
      <c r="AW9" s="3878" t="s">
        <v>1159</v>
      </c>
      <c r="AY9" s="3878" t="s">
        <v>1159</v>
      </c>
    </row>
    <row r="10" spans="1:63" ht="129.75" customHeight="1">
      <c r="A10" s="3865"/>
      <c r="B10" s="3868"/>
      <c r="C10" s="3871"/>
      <c r="D10" s="3868"/>
      <c r="E10" s="3844"/>
      <c r="F10" s="3871"/>
      <c r="G10" s="3874"/>
      <c r="H10" s="3844"/>
      <c r="I10" s="3849"/>
      <c r="J10" s="3857"/>
      <c r="K10" s="3847"/>
      <c r="L10" s="3847"/>
      <c r="M10" s="2772">
        <v>1</v>
      </c>
      <c r="N10" s="2772">
        <v>2</v>
      </c>
      <c r="O10" s="2772">
        <v>3</v>
      </c>
      <c r="P10" s="2772">
        <v>4</v>
      </c>
      <c r="Q10" s="3416">
        <v>5</v>
      </c>
      <c r="R10" s="2772">
        <v>6</v>
      </c>
      <c r="S10" s="2772">
        <v>7</v>
      </c>
      <c r="T10" s="2772">
        <v>8</v>
      </c>
      <c r="U10" s="2772">
        <v>9</v>
      </c>
      <c r="V10" s="2772">
        <v>10</v>
      </c>
      <c r="W10" s="2772">
        <v>11</v>
      </c>
      <c r="X10" s="3416">
        <v>12</v>
      </c>
      <c r="Y10" s="2772">
        <v>13</v>
      </c>
      <c r="Z10" s="2772">
        <v>14</v>
      </c>
      <c r="AA10" s="2772">
        <v>15</v>
      </c>
      <c r="AB10" s="2772">
        <v>16</v>
      </c>
      <c r="AC10" s="2772">
        <v>17</v>
      </c>
      <c r="AD10" s="2772">
        <v>18</v>
      </c>
      <c r="AE10" s="3416">
        <v>19</v>
      </c>
      <c r="AF10" s="2772">
        <v>20</v>
      </c>
      <c r="AG10" s="2772">
        <v>21</v>
      </c>
      <c r="AH10" s="2772">
        <v>22</v>
      </c>
      <c r="AI10" s="2772">
        <v>23</v>
      </c>
      <c r="AJ10" s="2772">
        <v>24</v>
      </c>
      <c r="AK10" s="2772">
        <v>25</v>
      </c>
      <c r="AL10" s="3416">
        <v>26</v>
      </c>
      <c r="AM10" s="2772">
        <v>27</v>
      </c>
      <c r="AN10" s="2772">
        <v>28</v>
      </c>
      <c r="AO10" s="2772">
        <v>29</v>
      </c>
      <c r="AP10" s="2772">
        <v>30</v>
      </c>
      <c r="AQ10" s="2772">
        <v>31</v>
      </c>
      <c r="AR10" s="3881"/>
      <c r="AS10" s="3881"/>
      <c r="AT10" s="3881"/>
      <c r="AU10" s="3881"/>
      <c r="AV10" s="3879"/>
      <c r="AW10" s="3879"/>
      <c r="AY10" s="3879"/>
    </row>
    <row r="11" spans="1:63" ht="29.25" hidden="1" customHeight="1">
      <c r="A11" s="3865"/>
      <c r="B11" s="3868"/>
      <c r="C11" s="3871"/>
      <c r="D11" s="3868"/>
      <c r="E11" s="3844"/>
      <c r="F11" s="3871"/>
      <c r="G11" s="3874"/>
      <c r="H11" s="3844"/>
      <c r="I11" s="3849"/>
      <c r="J11" s="2773"/>
      <c r="K11" s="2774"/>
      <c r="L11" s="2775"/>
      <c r="M11" s="2772" t="s">
        <v>93</v>
      </c>
      <c r="N11" s="2772" t="s">
        <v>52</v>
      </c>
      <c r="O11" s="2772" t="s">
        <v>92</v>
      </c>
      <c r="P11" s="2772" t="s">
        <v>53</v>
      </c>
      <c r="Q11" s="2772" t="s">
        <v>93</v>
      </c>
      <c r="R11" s="2772" t="s">
        <v>52</v>
      </c>
      <c r="S11" s="2772" t="s">
        <v>92</v>
      </c>
      <c r="T11" s="2772" t="s">
        <v>53</v>
      </c>
      <c r="U11" s="2772" t="s">
        <v>93</v>
      </c>
      <c r="V11" s="2772" t="s">
        <v>52</v>
      </c>
      <c r="W11" s="2772" t="s">
        <v>92</v>
      </c>
      <c r="X11" s="2772" t="s">
        <v>53</v>
      </c>
      <c r="Y11" s="2772" t="s">
        <v>93</v>
      </c>
      <c r="Z11" s="2772" t="s">
        <v>52</v>
      </c>
      <c r="AA11" s="2772" t="s">
        <v>92</v>
      </c>
      <c r="AB11" s="2772" t="s">
        <v>53</v>
      </c>
      <c r="AC11" s="2772" t="s">
        <v>93</v>
      </c>
      <c r="AD11" s="2772" t="s">
        <v>52</v>
      </c>
      <c r="AE11" s="2772" t="s">
        <v>92</v>
      </c>
      <c r="AF11" s="2772" t="s">
        <v>53</v>
      </c>
      <c r="AG11" s="2772" t="s">
        <v>93</v>
      </c>
      <c r="AH11" s="2772" t="s">
        <v>52</v>
      </c>
      <c r="AI11" s="2772" t="s">
        <v>92</v>
      </c>
      <c r="AJ11" s="2772" t="s">
        <v>53</v>
      </c>
      <c r="AK11" s="2772" t="s">
        <v>93</v>
      </c>
      <c r="AL11" s="2772" t="s">
        <v>52</v>
      </c>
      <c r="AM11" s="2772" t="s">
        <v>92</v>
      </c>
      <c r="AN11" s="2772" t="s">
        <v>53</v>
      </c>
      <c r="AO11" s="2772" t="s">
        <v>93</v>
      </c>
      <c r="AP11" s="2772" t="s">
        <v>52</v>
      </c>
      <c r="AQ11" s="2772" t="s">
        <v>92</v>
      </c>
      <c r="AR11" s="3546"/>
      <c r="AS11" s="3546"/>
      <c r="AT11" s="3546"/>
      <c r="AU11" s="3546"/>
      <c r="AV11" s="3540"/>
      <c r="AW11" s="2776"/>
      <c r="AY11" s="3540"/>
      <c r="BK11" s="2766">
        <v>23</v>
      </c>
    </row>
    <row r="12" spans="1:63" ht="29.25" customHeight="1">
      <c r="A12" s="3866"/>
      <c r="B12" s="3869"/>
      <c r="C12" s="3872"/>
      <c r="D12" s="3869"/>
      <c r="E12" s="3845"/>
      <c r="F12" s="3872"/>
      <c r="G12" s="3875"/>
      <c r="H12" s="3845"/>
      <c r="I12" s="3850"/>
      <c r="J12" s="3543" t="s">
        <v>52</v>
      </c>
      <c r="K12" s="3859" t="s">
        <v>796</v>
      </c>
      <c r="L12" s="3860"/>
      <c r="M12" s="2703">
        <f t="shared" ref="M12:AQ12" si="0">COUNTIF(M13:M48,"X")+COUNTIF(M13:M48,"CN")+COUNTIF(M13:M48,"X1")+COUNTIF(M13:M48,"CN1")</f>
        <v>24</v>
      </c>
      <c r="N12" s="2703">
        <f t="shared" si="0"/>
        <v>19</v>
      </c>
      <c r="O12" s="2703">
        <f t="shared" si="0"/>
        <v>19</v>
      </c>
      <c r="P12" s="2703">
        <f t="shared" si="0"/>
        <v>36</v>
      </c>
      <c r="Q12" s="2761">
        <f t="shared" si="0"/>
        <v>36</v>
      </c>
      <c r="R12" s="2703">
        <f t="shared" si="0"/>
        <v>32</v>
      </c>
      <c r="S12" s="2703">
        <f t="shared" si="0"/>
        <v>36</v>
      </c>
      <c r="T12" s="2703">
        <f t="shared" si="0"/>
        <v>36</v>
      </c>
      <c r="U12" s="2703">
        <f t="shared" si="0"/>
        <v>36</v>
      </c>
      <c r="V12" s="2703">
        <f t="shared" si="0"/>
        <v>34</v>
      </c>
      <c r="W12" s="2703">
        <f t="shared" si="0"/>
        <v>34</v>
      </c>
      <c r="X12" s="2761">
        <f t="shared" si="0"/>
        <v>34</v>
      </c>
      <c r="Y12" s="2703">
        <f t="shared" si="0"/>
        <v>32</v>
      </c>
      <c r="Z12" s="2703">
        <f t="shared" si="0"/>
        <v>36</v>
      </c>
      <c r="AA12" s="2703">
        <f t="shared" si="0"/>
        <v>32</v>
      </c>
      <c r="AB12" s="2703">
        <f t="shared" si="0"/>
        <v>31</v>
      </c>
      <c r="AC12" s="2703">
        <f t="shared" si="0"/>
        <v>24</v>
      </c>
      <c r="AD12" s="2703">
        <f t="shared" si="0"/>
        <v>24</v>
      </c>
      <c r="AE12" s="2761">
        <f t="shared" si="0"/>
        <v>33</v>
      </c>
      <c r="AF12" s="2703">
        <f t="shared" si="0"/>
        <v>31</v>
      </c>
      <c r="AG12" s="2703">
        <f t="shared" si="0"/>
        <v>33</v>
      </c>
      <c r="AH12" s="2703">
        <f t="shared" si="0"/>
        <v>35</v>
      </c>
      <c r="AI12" s="2703">
        <f t="shared" si="0"/>
        <v>36</v>
      </c>
      <c r="AJ12" s="2703">
        <f t="shared" si="0"/>
        <v>32</v>
      </c>
      <c r="AK12" s="2703">
        <f t="shared" si="0"/>
        <v>24</v>
      </c>
      <c r="AL12" s="2761">
        <f t="shared" si="0"/>
        <v>30</v>
      </c>
      <c r="AM12" s="2703">
        <f t="shared" si="0"/>
        <v>27</v>
      </c>
      <c r="AN12" s="2703">
        <f t="shared" si="0"/>
        <v>33</v>
      </c>
      <c r="AO12" s="2703">
        <f t="shared" si="0"/>
        <v>30</v>
      </c>
      <c r="AP12" s="2703">
        <f t="shared" si="0"/>
        <v>28</v>
      </c>
      <c r="AQ12" s="2703">
        <f t="shared" si="0"/>
        <v>32</v>
      </c>
      <c r="AR12" s="2777">
        <f>SUM(AR13:AR48)</f>
        <v>696</v>
      </c>
      <c r="AS12" s="2777">
        <f>SUM(AS13:AS48)</f>
        <v>111</v>
      </c>
      <c r="AT12" s="2777">
        <f>SUM(AT13:AT48)</f>
        <v>130</v>
      </c>
      <c r="AU12" s="2777">
        <f>SUM(AU13:AU48)</f>
        <v>22</v>
      </c>
      <c r="AV12" s="2777">
        <f>SUM(AV13:AV48)</f>
        <v>959</v>
      </c>
      <c r="AW12" s="2777"/>
      <c r="AX12" s="2777">
        <f>SUM(AX13:AX48)</f>
        <v>180</v>
      </c>
      <c r="AY12" s="2777"/>
      <c r="BF12" s="2778"/>
    </row>
    <row r="13" spans="1:63" ht="21.75" customHeight="1">
      <c r="A13" s="2779"/>
      <c r="B13" s="2780"/>
      <c r="C13" s="2781"/>
      <c r="D13" s="2781"/>
      <c r="E13" s="2782"/>
      <c r="F13" s="2776"/>
      <c r="G13" s="2783"/>
      <c r="H13" s="2782"/>
      <c r="I13" s="2784"/>
      <c r="J13" s="2785">
        <v>1</v>
      </c>
      <c r="K13" s="2785">
        <v>1</v>
      </c>
      <c r="L13" s="2786" t="s">
        <v>104</v>
      </c>
      <c r="M13" s="3582" t="s">
        <v>142</v>
      </c>
      <c r="N13" s="3583" t="s">
        <v>1191</v>
      </c>
      <c r="O13" s="3582" t="s">
        <v>142</v>
      </c>
      <c r="P13" s="3584" t="s">
        <v>142</v>
      </c>
      <c r="Q13" s="2745" t="s">
        <v>1190</v>
      </c>
      <c r="R13" s="3585" t="s">
        <v>1191</v>
      </c>
      <c r="S13" s="3582" t="s">
        <v>142</v>
      </c>
      <c r="T13" s="3584" t="s">
        <v>142</v>
      </c>
      <c r="U13" s="3582" t="s">
        <v>142</v>
      </c>
      <c r="V13" s="3585" t="s">
        <v>1191</v>
      </c>
      <c r="W13" s="3582" t="s">
        <v>142</v>
      </c>
      <c r="X13" s="2747" t="s">
        <v>1190</v>
      </c>
      <c r="Y13" s="3582" t="s">
        <v>142</v>
      </c>
      <c r="Z13" s="3585" t="s">
        <v>1191</v>
      </c>
      <c r="AA13" s="3582" t="s">
        <v>142</v>
      </c>
      <c r="AB13" s="3584" t="s">
        <v>142</v>
      </c>
      <c r="AC13" s="3582"/>
      <c r="AD13" s="3585" t="s">
        <v>1191</v>
      </c>
      <c r="AE13" s="2745" t="s">
        <v>1190</v>
      </c>
      <c r="AF13" s="3584" t="s">
        <v>142</v>
      </c>
      <c r="AG13" s="3582" t="s">
        <v>142</v>
      </c>
      <c r="AH13" s="3585" t="s">
        <v>1191</v>
      </c>
      <c r="AI13" s="3582" t="s">
        <v>142</v>
      </c>
      <c r="AJ13" s="3584" t="s">
        <v>142</v>
      </c>
      <c r="AK13" s="3582" t="s">
        <v>142</v>
      </c>
      <c r="AL13" s="2745" t="s">
        <v>1192</v>
      </c>
      <c r="AM13" s="3582" t="s">
        <v>142</v>
      </c>
      <c r="AN13" s="3584" t="s">
        <v>142</v>
      </c>
      <c r="AO13" s="3585" t="s">
        <v>142</v>
      </c>
      <c r="AP13" s="3585" t="s">
        <v>1777</v>
      </c>
      <c r="AQ13" s="2700" t="s">
        <v>142</v>
      </c>
      <c r="AR13" s="2787">
        <f>COUNTIF(M13:AQ13,"X")</f>
        <v>19</v>
      </c>
      <c r="AS13" s="2788">
        <f t="shared" ref="AS13:AS48" si="1">+COUNTIF(M13:AQ13,"CN")</f>
        <v>3</v>
      </c>
      <c r="AT13" s="2789">
        <f t="shared" ref="AT13:AT48" si="2">COUNTIF(M13:AQ13,"X1")</f>
        <v>7</v>
      </c>
      <c r="AU13" s="2790">
        <f t="shared" ref="AU13:AU48" si="3">+COUNTIF(M13:AQ13,"CN1")</f>
        <v>1</v>
      </c>
      <c r="AV13" s="2788">
        <f>+SUM(AR13:AU13)</f>
        <v>30</v>
      </c>
      <c r="AW13" s="2791"/>
      <c r="AX13" s="2792"/>
      <c r="AY13" s="2788"/>
    </row>
    <row r="14" spans="1:63" ht="21.75" customHeight="1">
      <c r="A14" s="2779"/>
      <c r="B14" s="2780"/>
      <c r="C14" s="2781"/>
      <c r="D14" s="2781"/>
      <c r="E14" s="2782"/>
      <c r="F14" s="2776"/>
      <c r="G14" s="2783"/>
      <c r="H14" s="2782"/>
      <c r="I14" s="2784"/>
      <c r="J14" s="2785">
        <v>2</v>
      </c>
      <c r="K14" s="2785">
        <v>2</v>
      </c>
      <c r="L14" s="2786" t="s">
        <v>1181</v>
      </c>
      <c r="M14" s="3585" t="s">
        <v>1191</v>
      </c>
      <c r="N14" s="3585" t="s">
        <v>142</v>
      </c>
      <c r="O14" s="3586" t="s">
        <v>142</v>
      </c>
      <c r="P14" s="3585" t="s">
        <v>142</v>
      </c>
      <c r="Q14" s="2746" t="s">
        <v>1192</v>
      </c>
      <c r="R14" s="3585" t="s">
        <v>142</v>
      </c>
      <c r="S14" s="3586" t="s">
        <v>142</v>
      </c>
      <c r="T14" s="3585" t="s">
        <v>142</v>
      </c>
      <c r="U14" s="3585" t="s">
        <v>1191</v>
      </c>
      <c r="V14" s="3585" t="s">
        <v>142</v>
      </c>
      <c r="W14" s="3586" t="s">
        <v>142</v>
      </c>
      <c r="X14" s="2746" t="s">
        <v>1190</v>
      </c>
      <c r="Y14" s="3585" t="s">
        <v>1191</v>
      </c>
      <c r="Z14" s="3585" t="s">
        <v>142</v>
      </c>
      <c r="AA14" s="3586" t="s">
        <v>142</v>
      </c>
      <c r="AB14" s="3585" t="s">
        <v>142</v>
      </c>
      <c r="AC14" s="3585" t="s">
        <v>1191</v>
      </c>
      <c r="AD14" s="3585" t="s">
        <v>142</v>
      </c>
      <c r="AE14" s="3103" t="s">
        <v>1190</v>
      </c>
      <c r="AF14" s="3585" t="s">
        <v>142</v>
      </c>
      <c r="AG14" s="3585" t="s">
        <v>1191</v>
      </c>
      <c r="AH14" s="3582" t="s">
        <v>142</v>
      </c>
      <c r="AI14" s="3586" t="s">
        <v>142</v>
      </c>
      <c r="AJ14" s="3585" t="s">
        <v>142</v>
      </c>
      <c r="AK14" s="3582" t="s">
        <v>1191</v>
      </c>
      <c r="AL14" s="2745" t="s">
        <v>1192</v>
      </c>
      <c r="AM14" s="3586" t="s">
        <v>142</v>
      </c>
      <c r="AN14" s="3585" t="s">
        <v>142</v>
      </c>
      <c r="AO14" s="3585" t="s">
        <v>1191</v>
      </c>
      <c r="AP14" s="3585" t="s">
        <v>142</v>
      </c>
      <c r="AQ14" s="2701" t="s">
        <v>142</v>
      </c>
      <c r="AR14" s="2787">
        <f t="shared" ref="AR14:AR48" si="4">COUNTIF(M14:AQ14,"X")</f>
        <v>20</v>
      </c>
      <c r="AS14" s="2788">
        <f t="shared" si="1"/>
        <v>2</v>
      </c>
      <c r="AT14" s="2789">
        <f t="shared" si="2"/>
        <v>7</v>
      </c>
      <c r="AU14" s="2790">
        <f t="shared" si="3"/>
        <v>2</v>
      </c>
      <c r="AV14" s="2788">
        <f t="shared" ref="AV14:AV48" si="5">+SUM(AR14:AU14)</f>
        <v>31</v>
      </c>
      <c r="AW14" s="2791"/>
      <c r="AX14" s="2792"/>
      <c r="AY14" s="2788"/>
    </row>
    <row r="15" spans="1:63" ht="21.75" customHeight="1">
      <c r="A15" s="2779"/>
      <c r="B15" s="2780"/>
      <c r="C15" s="2781"/>
      <c r="D15" s="2781"/>
      <c r="E15" s="2782"/>
      <c r="F15" s="2776"/>
      <c r="G15" s="2783"/>
      <c r="H15" s="2782"/>
      <c r="I15" s="2784"/>
      <c r="J15" s="2785">
        <v>3</v>
      </c>
      <c r="K15" s="2785">
        <v>3</v>
      </c>
      <c r="L15" s="2793" t="s">
        <v>1182</v>
      </c>
      <c r="M15" s="3585" t="s">
        <v>1191</v>
      </c>
      <c r="N15" s="3585" t="s">
        <v>142</v>
      </c>
      <c r="O15" s="3586" t="s">
        <v>142</v>
      </c>
      <c r="P15" s="3585" t="s">
        <v>142</v>
      </c>
      <c r="Q15" s="2746" t="s">
        <v>1192</v>
      </c>
      <c r="R15" s="3584" t="s">
        <v>142</v>
      </c>
      <c r="S15" s="3586" t="s">
        <v>142</v>
      </c>
      <c r="T15" s="3585" t="s">
        <v>142</v>
      </c>
      <c r="U15" s="3585" t="s">
        <v>1191</v>
      </c>
      <c r="V15" s="3584" t="s">
        <v>142</v>
      </c>
      <c r="W15" s="3586" t="s">
        <v>142</v>
      </c>
      <c r="X15" s="2746" t="s">
        <v>1190</v>
      </c>
      <c r="Y15" s="3585" t="s">
        <v>1191</v>
      </c>
      <c r="Z15" s="3584" t="s">
        <v>142</v>
      </c>
      <c r="AA15" s="3586" t="s">
        <v>142</v>
      </c>
      <c r="AB15" s="3585" t="s">
        <v>142</v>
      </c>
      <c r="AC15" s="3585" t="s">
        <v>1191</v>
      </c>
      <c r="AD15" s="3584" t="s">
        <v>142</v>
      </c>
      <c r="AE15" s="3103" t="s">
        <v>1190</v>
      </c>
      <c r="AF15" s="3585" t="s">
        <v>142</v>
      </c>
      <c r="AG15" s="3585" t="s">
        <v>1191</v>
      </c>
      <c r="AH15" s="3585" t="s">
        <v>142</v>
      </c>
      <c r="AI15" s="3586" t="s">
        <v>142</v>
      </c>
      <c r="AJ15" s="3585" t="s">
        <v>142</v>
      </c>
      <c r="AK15" s="3582" t="s">
        <v>1191</v>
      </c>
      <c r="AL15" s="2745" t="s">
        <v>1192</v>
      </c>
      <c r="AM15" s="3586" t="s">
        <v>142</v>
      </c>
      <c r="AN15" s="3585" t="s">
        <v>142</v>
      </c>
      <c r="AO15" s="3585" t="s">
        <v>1191</v>
      </c>
      <c r="AP15" s="3584" t="s">
        <v>142</v>
      </c>
      <c r="AQ15" s="2701" t="s">
        <v>142</v>
      </c>
      <c r="AR15" s="2787">
        <f t="shared" si="4"/>
        <v>20</v>
      </c>
      <c r="AS15" s="2788">
        <f t="shared" si="1"/>
        <v>2</v>
      </c>
      <c r="AT15" s="2789">
        <f t="shared" si="2"/>
        <v>7</v>
      </c>
      <c r="AU15" s="2790">
        <f t="shared" si="3"/>
        <v>2</v>
      </c>
      <c r="AV15" s="2788">
        <f t="shared" si="5"/>
        <v>31</v>
      </c>
      <c r="AW15" s="2791"/>
      <c r="AX15" s="2792"/>
      <c r="AY15" s="2788"/>
    </row>
    <row r="16" spans="1:63" ht="21.75" customHeight="1">
      <c r="A16" s="2779"/>
      <c r="B16" s="2780"/>
      <c r="C16" s="2781"/>
      <c r="D16" s="2781"/>
      <c r="E16" s="2782"/>
      <c r="F16" s="2776"/>
      <c r="G16" s="2783"/>
      <c r="H16" s="2782"/>
      <c r="I16" s="2784"/>
      <c r="J16" s="2785">
        <v>4</v>
      </c>
      <c r="K16" s="2785">
        <v>4</v>
      </c>
      <c r="L16" s="2786" t="s">
        <v>1183</v>
      </c>
      <c r="M16" s="3585"/>
      <c r="N16" s="3584"/>
      <c r="O16" s="3583"/>
      <c r="P16" s="3585" t="s">
        <v>142</v>
      </c>
      <c r="Q16" s="2747" t="s">
        <v>1192</v>
      </c>
      <c r="R16" s="3584" t="s">
        <v>142</v>
      </c>
      <c r="S16" s="3583" t="s">
        <v>142</v>
      </c>
      <c r="T16" s="3585" t="s">
        <v>142</v>
      </c>
      <c r="U16" s="3584" t="s">
        <v>1191</v>
      </c>
      <c r="V16" s="3584"/>
      <c r="W16" s="3583" t="s">
        <v>142</v>
      </c>
      <c r="X16" s="2746" t="s">
        <v>1190</v>
      </c>
      <c r="Y16" s="3584"/>
      <c r="Z16" s="3584" t="s">
        <v>142</v>
      </c>
      <c r="AA16" s="3583" t="s">
        <v>142</v>
      </c>
      <c r="AB16" s="3585"/>
      <c r="AC16" s="3584"/>
      <c r="AD16" s="3584"/>
      <c r="AE16" s="3104" t="s">
        <v>1190</v>
      </c>
      <c r="AF16" s="3585" t="s">
        <v>142</v>
      </c>
      <c r="AG16" s="3584"/>
      <c r="AH16" s="3585" t="s">
        <v>142</v>
      </c>
      <c r="AI16" s="3583" t="s">
        <v>142</v>
      </c>
      <c r="AJ16" s="3585"/>
      <c r="AK16" s="3582"/>
      <c r="AL16" s="2745" t="s">
        <v>1192</v>
      </c>
      <c r="AM16" s="3583"/>
      <c r="AN16" s="3585" t="s">
        <v>142</v>
      </c>
      <c r="AO16" s="3585" t="s">
        <v>1191</v>
      </c>
      <c r="AP16" s="3584"/>
      <c r="AQ16" s="2702" t="s">
        <v>142</v>
      </c>
      <c r="AR16" s="2787">
        <f t="shared" si="4"/>
        <v>12</v>
      </c>
      <c r="AS16" s="2788">
        <f t="shared" si="1"/>
        <v>2</v>
      </c>
      <c r="AT16" s="2789">
        <f t="shared" si="2"/>
        <v>2</v>
      </c>
      <c r="AU16" s="2790">
        <f t="shared" si="3"/>
        <v>2</v>
      </c>
      <c r="AV16" s="2788">
        <f t="shared" si="5"/>
        <v>18</v>
      </c>
      <c r="AW16" s="2791"/>
      <c r="AX16" s="2792"/>
      <c r="AY16" s="2788"/>
    </row>
    <row r="17" spans="1:51" ht="21.75" customHeight="1">
      <c r="A17" s="2779"/>
      <c r="B17" s="2780"/>
      <c r="C17" s="2781"/>
      <c r="D17" s="2781"/>
      <c r="E17" s="2782"/>
      <c r="F17" s="2776"/>
      <c r="G17" s="2783"/>
      <c r="H17" s="2782"/>
      <c r="I17" s="2784"/>
      <c r="J17" s="2785">
        <v>5</v>
      </c>
      <c r="K17" s="2785">
        <v>5</v>
      </c>
      <c r="L17" s="2785" t="s">
        <v>1267</v>
      </c>
      <c r="M17" s="3584" t="s">
        <v>1191</v>
      </c>
      <c r="N17" s="3584" t="s">
        <v>1191</v>
      </c>
      <c r="O17" s="3583" t="s">
        <v>142</v>
      </c>
      <c r="P17" s="3584" t="s">
        <v>142</v>
      </c>
      <c r="Q17" s="2747" t="s">
        <v>1192</v>
      </c>
      <c r="R17" s="3585" t="s">
        <v>1191</v>
      </c>
      <c r="S17" s="3583" t="s">
        <v>142</v>
      </c>
      <c r="T17" s="3584" t="s">
        <v>142</v>
      </c>
      <c r="U17" s="3584" t="s">
        <v>1191</v>
      </c>
      <c r="V17" s="3585" t="s">
        <v>1191</v>
      </c>
      <c r="W17" s="3583" t="s">
        <v>142</v>
      </c>
      <c r="X17" s="2747" t="s">
        <v>1190</v>
      </c>
      <c r="Y17" s="3584"/>
      <c r="Z17" s="3585" t="s">
        <v>1191</v>
      </c>
      <c r="AA17" s="3583" t="s">
        <v>142</v>
      </c>
      <c r="AB17" s="3584"/>
      <c r="AC17" s="3584"/>
      <c r="AD17" s="3585" t="s">
        <v>1191</v>
      </c>
      <c r="AE17" s="3104" t="s">
        <v>1190</v>
      </c>
      <c r="AF17" s="3584" t="s">
        <v>142</v>
      </c>
      <c r="AG17" s="3584" t="s">
        <v>1191</v>
      </c>
      <c r="AH17" s="3584" t="s">
        <v>1191</v>
      </c>
      <c r="AI17" s="3583" t="s">
        <v>142</v>
      </c>
      <c r="AJ17" s="3584" t="s">
        <v>142</v>
      </c>
      <c r="AK17" s="3582" t="s">
        <v>1191</v>
      </c>
      <c r="AL17" s="2745" t="s">
        <v>1192</v>
      </c>
      <c r="AM17" s="3583" t="s">
        <v>142</v>
      </c>
      <c r="AN17" s="3584" t="s">
        <v>142</v>
      </c>
      <c r="AO17" s="3584" t="s">
        <v>1191</v>
      </c>
      <c r="AP17" s="3585" t="s">
        <v>1191</v>
      </c>
      <c r="AQ17" s="2702" t="s">
        <v>142</v>
      </c>
      <c r="AR17" s="2787">
        <f t="shared" si="4"/>
        <v>12</v>
      </c>
      <c r="AS17" s="2788">
        <f t="shared" si="1"/>
        <v>2</v>
      </c>
      <c r="AT17" s="2789">
        <f t="shared" si="2"/>
        <v>12</v>
      </c>
      <c r="AU17" s="2790">
        <f t="shared" si="3"/>
        <v>2</v>
      </c>
      <c r="AV17" s="2788">
        <f t="shared" si="5"/>
        <v>28</v>
      </c>
      <c r="AW17" s="2791"/>
      <c r="AX17" s="2792"/>
      <c r="AY17" s="2788"/>
    </row>
    <row r="18" spans="1:51" ht="21.75" customHeight="1">
      <c r="A18" s="2779"/>
      <c r="B18" s="2780"/>
      <c r="C18" s="2781"/>
      <c r="D18" s="2781"/>
      <c r="E18" s="2782"/>
      <c r="F18" s="2776"/>
      <c r="G18" s="2783"/>
      <c r="H18" s="2782"/>
      <c r="I18" s="2784"/>
      <c r="J18" s="2785">
        <v>6</v>
      </c>
      <c r="K18" s="2785">
        <v>6</v>
      </c>
      <c r="L18" s="2786" t="s">
        <v>951</v>
      </c>
      <c r="M18" s="3585" t="s">
        <v>1191</v>
      </c>
      <c r="N18" s="3585" t="s">
        <v>1191</v>
      </c>
      <c r="O18" s="3586" t="s">
        <v>142</v>
      </c>
      <c r="P18" s="3585" t="s">
        <v>142</v>
      </c>
      <c r="Q18" s="2746" t="s">
        <v>1192</v>
      </c>
      <c r="R18" s="3585" t="s">
        <v>1191</v>
      </c>
      <c r="S18" s="3586" t="s">
        <v>142</v>
      </c>
      <c r="T18" s="3585" t="s">
        <v>142</v>
      </c>
      <c r="U18" s="3585" t="s">
        <v>1191</v>
      </c>
      <c r="V18" s="3585" t="s">
        <v>1191</v>
      </c>
      <c r="W18" s="3586" t="s">
        <v>142</v>
      </c>
      <c r="X18" s="2746" t="s">
        <v>1190</v>
      </c>
      <c r="Y18" s="3585" t="s">
        <v>1191</v>
      </c>
      <c r="Z18" s="3585" t="s">
        <v>1191</v>
      </c>
      <c r="AA18" s="3586" t="s">
        <v>142</v>
      </c>
      <c r="AB18" s="3585" t="s">
        <v>142</v>
      </c>
      <c r="AC18" s="3585" t="s">
        <v>1191</v>
      </c>
      <c r="AD18" s="3585" t="s">
        <v>1191</v>
      </c>
      <c r="AE18" s="3103" t="s">
        <v>1190</v>
      </c>
      <c r="AF18" s="3585" t="s">
        <v>142</v>
      </c>
      <c r="AG18" s="3585" t="s">
        <v>1191</v>
      </c>
      <c r="AH18" s="3584" t="s">
        <v>1191</v>
      </c>
      <c r="AI18" s="3586" t="s">
        <v>142</v>
      </c>
      <c r="AJ18" s="3585" t="s">
        <v>142</v>
      </c>
      <c r="AK18" s="3582" t="s">
        <v>1191</v>
      </c>
      <c r="AL18" s="2745" t="s">
        <v>1192</v>
      </c>
      <c r="AM18" s="3586" t="s">
        <v>142</v>
      </c>
      <c r="AN18" s="3585" t="s">
        <v>142</v>
      </c>
      <c r="AO18" s="3584" t="s">
        <v>1191</v>
      </c>
      <c r="AP18" s="3585" t="s">
        <v>1191</v>
      </c>
      <c r="AQ18" s="2702" t="s">
        <v>142</v>
      </c>
      <c r="AR18" s="2787">
        <f t="shared" si="4"/>
        <v>13</v>
      </c>
      <c r="AS18" s="2788">
        <f t="shared" si="1"/>
        <v>2</v>
      </c>
      <c r="AT18" s="2789">
        <f t="shared" si="2"/>
        <v>14</v>
      </c>
      <c r="AU18" s="2790">
        <f t="shared" si="3"/>
        <v>2</v>
      </c>
      <c r="AV18" s="2788">
        <f t="shared" si="5"/>
        <v>31</v>
      </c>
      <c r="AW18" s="2791"/>
      <c r="AX18" s="2792"/>
      <c r="AY18" s="2788"/>
    </row>
    <row r="19" spans="1:51" ht="21.75" customHeight="1">
      <c r="A19" s="2779"/>
      <c r="B19" s="2780"/>
      <c r="C19" s="2781"/>
      <c r="D19" s="2781"/>
      <c r="E19" s="2782"/>
      <c r="F19" s="2776"/>
      <c r="G19" s="2783"/>
      <c r="H19" s="2782"/>
      <c r="I19" s="2784"/>
      <c r="J19" s="2785">
        <v>7</v>
      </c>
      <c r="K19" s="2785">
        <v>7</v>
      </c>
      <c r="L19" s="2785" t="s">
        <v>960</v>
      </c>
      <c r="M19" s="3585" t="s">
        <v>1191</v>
      </c>
      <c r="N19" s="3585"/>
      <c r="O19" s="3586"/>
      <c r="P19" s="3585" t="s">
        <v>142</v>
      </c>
      <c r="Q19" s="2746" t="s">
        <v>1192</v>
      </c>
      <c r="R19" s="3585" t="s">
        <v>1191</v>
      </c>
      <c r="S19" s="3586" t="s">
        <v>142</v>
      </c>
      <c r="T19" s="3585" t="s">
        <v>142</v>
      </c>
      <c r="U19" s="3585" t="s">
        <v>1191</v>
      </c>
      <c r="V19" s="3585" t="s">
        <v>1191</v>
      </c>
      <c r="W19" s="3586" t="s">
        <v>142</v>
      </c>
      <c r="X19" s="2746" t="s">
        <v>1190</v>
      </c>
      <c r="Y19" s="3585" t="s">
        <v>1191</v>
      </c>
      <c r="Z19" s="3585" t="s">
        <v>1191</v>
      </c>
      <c r="AA19" s="3586" t="s">
        <v>142</v>
      </c>
      <c r="AB19" s="3585" t="s">
        <v>142</v>
      </c>
      <c r="AC19" s="3585"/>
      <c r="AD19" s="3585"/>
      <c r="AE19" s="3103" t="s">
        <v>1190</v>
      </c>
      <c r="AF19" s="3585" t="s">
        <v>142</v>
      </c>
      <c r="AG19" s="3585" t="s">
        <v>1191</v>
      </c>
      <c r="AH19" s="3585" t="s">
        <v>1191</v>
      </c>
      <c r="AI19" s="3586" t="s">
        <v>142</v>
      </c>
      <c r="AJ19" s="3585"/>
      <c r="AK19" s="3582" t="s">
        <v>1191</v>
      </c>
      <c r="AL19" s="2745" t="s">
        <v>1190</v>
      </c>
      <c r="AM19" s="3586"/>
      <c r="AN19" s="3585" t="s">
        <v>142</v>
      </c>
      <c r="AO19" s="3585" t="s">
        <v>1191</v>
      </c>
      <c r="AP19" s="3585" t="s">
        <v>1191</v>
      </c>
      <c r="AQ19" s="2702" t="s">
        <v>142</v>
      </c>
      <c r="AR19" s="2787">
        <f t="shared" si="4"/>
        <v>10</v>
      </c>
      <c r="AS19" s="2788">
        <f t="shared" si="1"/>
        <v>3</v>
      </c>
      <c r="AT19" s="2789">
        <f t="shared" si="2"/>
        <v>11</v>
      </c>
      <c r="AU19" s="2790">
        <f t="shared" si="3"/>
        <v>1</v>
      </c>
      <c r="AV19" s="2788">
        <f t="shared" si="5"/>
        <v>25</v>
      </c>
      <c r="AW19" s="2791"/>
      <c r="AX19" s="2792"/>
      <c r="AY19" s="2788"/>
    </row>
    <row r="20" spans="1:51" ht="21.75" customHeight="1">
      <c r="A20" s="2779"/>
      <c r="B20" s="2780"/>
      <c r="C20" s="2781"/>
      <c r="D20" s="2781"/>
      <c r="E20" s="2782"/>
      <c r="F20" s="2776"/>
      <c r="G20" s="2783"/>
      <c r="H20" s="2782"/>
      <c r="I20" s="2784"/>
      <c r="J20" s="2785">
        <v>8</v>
      </c>
      <c r="K20" s="2785">
        <v>8</v>
      </c>
      <c r="L20" s="2785" t="s">
        <v>661</v>
      </c>
      <c r="M20" s="3585" t="s">
        <v>1191</v>
      </c>
      <c r="N20" s="3585" t="s">
        <v>1191</v>
      </c>
      <c r="O20" s="3586" t="s">
        <v>142</v>
      </c>
      <c r="P20" s="3585" t="s">
        <v>142</v>
      </c>
      <c r="Q20" s="2746" t="s">
        <v>1192</v>
      </c>
      <c r="R20" s="3585" t="s">
        <v>1191</v>
      </c>
      <c r="S20" s="3586" t="s">
        <v>142</v>
      </c>
      <c r="T20" s="3585" t="s">
        <v>142</v>
      </c>
      <c r="U20" s="3585" t="s">
        <v>1191</v>
      </c>
      <c r="V20" s="3585" t="s">
        <v>1191</v>
      </c>
      <c r="W20" s="3586" t="s">
        <v>142</v>
      </c>
      <c r="X20" s="2746" t="s">
        <v>1190</v>
      </c>
      <c r="Y20" s="3585" t="s">
        <v>1191</v>
      </c>
      <c r="Z20" s="3585" t="s">
        <v>1191</v>
      </c>
      <c r="AA20" s="3586" t="s">
        <v>142</v>
      </c>
      <c r="AB20" s="3585" t="s">
        <v>142</v>
      </c>
      <c r="AC20" s="3585" t="s">
        <v>1191</v>
      </c>
      <c r="AD20" s="3585" t="s">
        <v>1191</v>
      </c>
      <c r="AE20" s="3103" t="s">
        <v>1190</v>
      </c>
      <c r="AF20" s="3585" t="s">
        <v>142</v>
      </c>
      <c r="AG20" s="3585" t="s">
        <v>1191</v>
      </c>
      <c r="AH20" s="3585" t="s">
        <v>1191</v>
      </c>
      <c r="AI20" s="3586" t="s">
        <v>142</v>
      </c>
      <c r="AJ20" s="3585" t="s">
        <v>142</v>
      </c>
      <c r="AK20" s="3582" t="s">
        <v>1191</v>
      </c>
      <c r="AL20" s="3104" t="s">
        <v>1190</v>
      </c>
      <c r="AM20" s="3586" t="s">
        <v>142</v>
      </c>
      <c r="AN20" s="3585" t="s">
        <v>142</v>
      </c>
      <c r="AO20" s="3585" t="s">
        <v>1191</v>
      </c>
      <c r="AP20" s="3585" t="s">
        <v>1191</v>
      </c>
      <c r="AQ20" s="2701" t="s">
        <v>142</v>
      </c>
      <c r="AR20" s="2787">
        <f t="shared" si="4"/>
        <v>13</v>
      </c>
      <c r="AS20" s="2788">
        <f t="shared" si="1"/>
        <v>3</v>
      </c>
      <c r="AT20" s="2789">
        <f t="shared" si="2"/>
        <v>14</v>
      </c>
      <c r="AU20" s="2790">
        <f t="shared" si="3"/>
        <v>1</v>
      </c>
      <c r="AV20" s="2788">
        <f t="shared" si="5"/>
        <v>31</v>
      </c>
      <c r="AW20" s="2791"/>
      <c r="AX20" s="2792"/>
      <c r="AY20" s="2788"/>
    </row>
    <row r="21" spans="1:51" ht="21.75" customHeight="1">
      <c r="A21" s="2779"/>
      <c r="B21" s="2780"/>
      <c r="C21" s="2781"/>
      <c r="D21" s="2781"/>
      <c r="E21" s="2782"/>
      <c r="F21" s="2776"/>
      <c r="G21" s="2783"/>
      <c r="H21" s="2782"/>
      <c r="I21" s="2784"/>
      <c r="J21" s="2785">
        <v>9</v>
      </c>
      <c r="K21" s="2785">
        <v>9</v>
      </c>
      <c r="L21" s="2786" t="s">
        <v>1184</v>
      </c>
      <c r="M21" s="3585" t="s">
        <v>1191</v>
      </c>
      <c r="N21" s="3585" t="s">
        <v>1191</v>
      </c>
      <c r="O21" s="3586"/>
      <c r="P21" s="3585" t="s">
        <v>142</v>
      </c>
      <c r="Q21" s="2746" t="s">
        <v>1192</v>
      </c>
      <c r="R21" s="3585" t="s">
        <v>1191</v>
      </c>
      <c r="S21" s="3586" t="s">
        <v>142</v>
      </c>
      <c r="T21" s="3585" t="s">
        <v>142</v>
      </c>
      <c r="U21" s="3585" t="s">
        <v>1191</v>
      </c>
      <c r="V21" s="3585" t="s">
        <v>1191</v>
      </c>
      <c r="W21" s="3586" t="s">
        <v>142</v>
      </c>
      <c r="X21" s="2746" t="s">
        <v>1190</v>
      </c>
      <c r="Y21" s="3585" t="s">
        <v>1191</v>
      </c>
      <c r="Z21" s="3585" t="s">
        <v>1191</v>
      </c>
      <c r="AA21" s="3586"/>
      <c r="AB21" s="3585"/>
      <c r="AC21" s="3585"/>
      <c r="AD21" s="3585"/>
      <c r="AE21" s="3103"/>
      <c r="AF21" s="3585"/>
      <c r="AG21" s="3585" t="s">
        <v>1191</v>
      </c>
      <c r="AH21" s="3585" t="s">
        <v>1191</v>
      </c>
      <c r="AI21" s="3586" t="s">
        <v>142</v>
      </c>
      <c r="AJ21" s="3585" t="s">
        <v>142</v>
      </c>
      <c r="AK21" s="3582" t="s">
        <v>1191</v>
      </c>
      <c r="AL21" s="2745" t="s">
        <v>1190</v>
      </c>
      <c r="AM21" s="3586" t="s">
        <v>142</v>
      </c>
      <c r="AN21" s="3585"/>
      <c r="AO21" s="3585" t="s">
        <v>1191</v>
      </c>
      <c r="AP21" s="3585" t="s">
        <v>1191</v>
      </c>
      <c r="AQ21" s="2701" t="s">
        <v>142</v>
      </c>
      <c r="AR21" s="2787">
        <f t="shared" si="4"/>
        <v>8</v>
      </c>
      <c r="AS21" s="2788">
        <f t="shared" si="1"/>
        <v>2</v>
      </c>
      <c r="AT21" s="2789">
        <f t="shared" si="2"/>
        <v>12</v>
      </c>
      <c r="AU21" s="2790">
        <f t="shared" si="3"/>
        <v>1</v>
      </c>
      <c r="AV21" s="2788">
        <f t="shared" si="5"/>
        <v>23</v>
      </c>
      <c r="AW21" s="2791"/>
      <c r="AX21" s="2792"/>
      <c r="AY21" s="2788"/>
    </row>
    <row r="22" spans="1:51" ht="21.75" customHeight="1">
      <c r="A22" s="2779"/>
      <c r="B22" s="2780"/>
      <c r="C22" s="2781"/>
      <c r="D22" s="2781"/>
      <c r="E22" s="2782"/>
      <c r="F22" s="2776"/>
      <c r="G22" s="2783"/>
      <c r="H22" s="2782"/>
      <c r="I22" s="2784"/>
      <c r="J22" s="2785">
        <v>10</v>
      </c>
      <c r="K22" s="2785">
        <v>10</v>
      </c>
      <c r="L22" s="2785" t="s">
        <v>925</v>
      </c>
      <c r="M22" s="3585"/>
      <c r="N22" s="3585"/>
      <c r="O22" s="3586"/>
      <c r="P22" s="3585" t="s">
        <v>142</v>
      </c>
      <c r="Q22" s="2746" t="s">
        <v>1192</v>
      </c>
      <c r="R22" s="3585" t="s">
        <v>1191</v>
      </c>
      <c r="S22" s="3586" t="s">
        <v>142</v>
      </c>
      <c r="T22" s="3585" t="s">
        <v>142</v>
      </c>
      <c r="U22" s="3585" t="s">
        <v>1191</v>
      </c>
      <c r="V22" s="3585" t="s">
        <v>1191</v>
      </c>
      <c r="W22" s="3586"/>
      <c r="X22" s="2746" t="s">
        <v>1190</v>
      </c>
      <c r="Y22" s="3585" t="s">
        <v>1191</v>
      </c>
      <c r="Z22" s="3585" t="s">
        <v>1191</v>
      </c>
      <c r="AA22" s="3586" t="s">
        <v>142</v>
      </c>
      <c r="AB22" s="3585"/>
      <c r="AC22" s="3585"/>
      <c r="AD22" s="3585"/>
      <c r="AE22" s="3103" t="s">
        <v>1190</v>
      </c>
      <c r="AF22" s="3585" t="s">
        <v>142</v>
      </c>
      <c r="AG22" s="3585" t="s">
        <v>1191</v>
      </c>
      <c r="AH22" s="3585" t="s">
        <v>1191</v>
      </c>
      <c r="AI22" s="3586" t="s">
        <v>142</v>
      </c>
      <c r="AJ22" s="3585" t="s">
        <v>142</v>
      </c>
      <c r="AK22" s="3582"/>
      <c r="AL22" s="2745"/>
      <c r="AM22" s="3586"/>
      <c r="AN22" s="3585"/>
      <c r="AO22" s="3585"/>
      <c r="AP22" s="3585" t="s">
        <v>1191</v>
      </c>
      <c r="AQ22" s="2701" t="s">
        <v>142</v>
      </c>
      <c r="AR22" s="2787">
        <f t="shared" si="4"/>
        <v>8</v>
      </c>
      <c r="AS22" s="2788">
        <f t="shared" si="1"/>
        <v>2</v>
      </c>
      <c r="AT22" s="2789">
        <f t="shared" si="2"/>
        <v>8</v>
      </c>
      <c r="AU22" s="2790">
        <f t="shared" si="3"/>
        <v>1</v>
      </c>
      <c r="AV22" s="2788">
        <f t="shared" si="5"/>
        <v>19</v>
      </c>
      <c r="AW22" s="2791"/>
      <c r="AX22" s="2792"/>
      <c r="AY22" s="2788"/>
    </row>
    <row r="23" spans="1:51" ht="21.75" customHeight="1">
      <c r="A23" s="2779"/>
      <c r="B23" s="2780"/>
      <c r="C23" s="2781"/>
      <c r="D23" s="2781"/>
      <c r="E23" s="2782"/>
      <c r="F23" s="2776"/>
      <c r="G23" s="2783"/>
      <c r="H23" s="2782"/>
      <c r="I23" s="2784"/>
      <c r="J23" s="2785">
        <v>11</v>
      </c>
      <c r="K23" s="2785">
        <v>11</v>
      </c>
      <c r="L23" s="2786" t="s">
        <v>942</v>
      </c>
      <c r="M23" s="3582" t="s">
        <v>142</v>
      </c>
      <c r="N23" s="3585"/>
      <c r="O23" s="3585"/>
      <c r="P23" s="3585" t="s">
        <v>142</v>
      </c>
      <c r="Q23" s="2746" t="s">
        <v>1190</v>
      </c>
      <c r="R23" s="3585" t="s">
        <v>142</v>
      </c>
      <c r="S23" s="3585" t="s">
        <v>142</v>
      </c>
      <c r="T23" s="3585" t="s">
        <v>142</v>
      </c>
      <c r="U23" s="3585" t="s">
        <v>142</v>
      </c>
      <c r="V23" s="3585" t="s">
        <v>142</v>
      </c>
      <c r="W23" s="3585" t="s">
        <v>142</v>
      </c>
      <c r="X23" s="2746" t="s">
        <v>1190</v>
      </c>
      <c r="Y23" s="3585" t="s">
        <v>142</v>
      </c>
      <c r="Z23" s="3585" t="s">
        <v>142</v>
      </c>
      <c r="AA23" s="3585" t="s">
        <v>142</v>
      </c>
      <c r="AB23" s="3585" t="s">
        <v>142</v>
      </c>
      <c r="AC23" s="3585" t="s">
        <v>142</v>
      </c>
      <c r="AD23" s="3585" t="s">
        <v>142</v>
      </c>
      <c r="AE23" s="2746" t="s">
        <v>1190</v>
      </c>
      <c r="AF23" s="3585" t="s">
        <v>142</v>
      </c>
      <c r="AG23" s="3585" t="s">
        <v>142</v>
      </c>
      <c r="AH23" s="3585" t="s">
        <v>142</v>
      </c>
      <c r="AI23" s="3585" t="s">
        <v>142</v>
      </c>
      <c r="AJ23" s="3585" t="s">
        <v>142</v>
      </c>
      <c r="AK23" s="3582" t="s">
        <v>142</v>
      </c>
      <c r="AL23" s="2745"/>
      <c r="AM23" s="3585" t="s">
        <v>142</v>
      </c>
      <c r="AN23" s="3585" t="s">
        <v>142</v>
      </c>
      <c r="AO23" s="3585" t="s">
        <v>142</v>
      </c>
      <c r="AP23" s="3585" t="s">
        <v>142</v>
      </c>
      <c r="AQ23" s="2701" t="s">
        <v>142</v>
      </c>
      <c r="AR23" s="2787">
        <f t="shared" si="4"/>
        <v>25</v>
      </c>
      <c r="AS23" s="2788">
        <f t="shared" si="1"/>
        <v>3</v>
      </c>
      <c r="AT23" s="2789">
        <f t="shared" si="2"/>
        <v>0</v>
      </c>
      <c r="AU23" s="2790">
        <f t="shared" si="3"/>
        <v>0</v>
      </c>
      <c r="AV23" s="2788">
        <f t="shared" si="5"/>
        <v>28</v>
      </c>
      <c r="AW23" s="2791"/>
      <c r="AX23" s="2792"/>
      <c r="AY23" s="2788"/>
    </row>
    <row r="24" spans="1:51" ht="21.75" customHeight="1">
      <c r="A24" s="2779"/>
      <c r="B24" s="2780"/>
      <c r="C24" s="2781"/>
      <c r="D24" s="2781"/>
      <c r="E24" s="2782"/>
      <c r="F24" s="2776"/>
      <c r="G24" s="2783"/>
      <c r="H24" s="2782"/>
      <c r="I24" s="2784"/>
      <c r="J24" s="2785">
        <v>12</v>
      </c>
      <c r="K24" s="2785">
        <v>12</v>
      </c>
      <c r="L24" s="2785" t="s">
        <v>943</v>
      </c>
      <c r="M24" s="3585" t="s">
        <v>142</v>
      </c>
      <c r="N24" s="3585" t="s">
        <v>142</v>
      </c>
      <c r="O24" s="3585" t="s">
        <v>142</v>
      </c>
      <c r="P24" s="3585" t="s">
        <v>142</v>
      </c>
      <c r="Q24" s="2746" t="s">
        <v>1190</v>
      </c>
      <c r="R24" s="3582" t="s">
        <v>142</v>
      </c>
      <c r="S24" s="3585" t="s">
        <v>142</v>
      </c>
      <c r="T24" s="3585" t="s">
        <v>142</v>
      </c>
      <c r="U24" s="3585" t="s">
        <v>142</v>
      </c>
      <c r="V24" s="3582" t="s">
        <v>142</v>
      </c>
      <c r="W24" s="3585" t="s">
        <v>142</v>
      </c>
      <c r="X24" s="2746" t="s">
        <v>1190</v>
      </c>
      <c r="Y24" s="3585" t="s">
        <v>142</v>
      </c>
      <c r="Z24" s="3582" t="s">
        <v>142</v>
      </c>
      <c r="AA24" s="3585" t="s">
        <v>142</v>
      </c>
      <c r="AB24" s="3585" t="s">
        <v>142</v>
      </c>
      <c r="AC24" s="3585" t="s">
        <v>142</v>
      </c>
      <c r="AD24" s="3582" t="s">
        <v>142</v>
      </c>
      <c r="AE24" s="2746" t="s">
        <v>1190</v>
      </c>
      <c r="AF24" s="3585" t="s">
        <v>142</v>
      </c>
      <c r="AG24" s="3585" t="s">
        <v>142</v>
      </c>
      <c r="AH24" s="3585" t="s">
        <v>142</v>
      </c>
      <c r="AI24" s="3585" t="s">
        <v>142</v>
      </c>
      <c r="AJ24" s="3585" t="s">
        <v>142</v>
      </c>
      <c r="AK24" s="3582" t="s">
        <v>142</v>
      </c>
      <c r="AL24" s="2745" t="s">
        <v>1190</v>
      </c>
      <c r="AM24" s="3585" t="s">
        <v>142</v>
      </c>
      <c r="AN24" s="3585" t="s">
        <v>142</v>
      </c>
      <c r="AO24" s="3585"/>
      <c r="AP24" s="3582"/>
      <c r="AQ24" s="2701"/>
      <c r="AR24" s="2787">
        <f t="shared" si="4"/>
        <v>24</v>
      </c>
      <c r="AS24" s="2788">
        <f t="shared" si="1"/>
        <v>4</v>
      </c>
      <c r="AT24" s="2789">
        <f t="shared" si="2"/>
        <v>0</v>
      </c>
      <c r="AU24" s="2790">
        <f t="shared" si="3"/>
        <v>0</v>
      </c>
      <c r="AV24" s="2788">
        <f t="shared" si="5"/>
        <v>28</v>
      </c>
      <c r="AW24" s="2791"/>
      <c r="AX24" s="2792"/>
      <c r="AY24" s="2788"/>
    </row>
    <row r="25" spans="1:51" ht="21.75" customHeight="1">
      <c r="A25" s="2779"/>
      <c r="B25" s="2780"/>
      <c r="C25" s="2781"/>
      <c r="D25" s="2781"/>
      <c r="E25" s="2782"/>
      <c r="F25" s="2776"/>
      <c r="G25" s="2783"/>
      <c r="H25" s="2782"/>
      <c r="I25" s="2784"/>
      <c r="J25" s="2785">
        <v>13</v>
      </c>
      <c r="K25" s="2785">
        <v>13</v>
      </c>
      <c r="L25" s="2785" t="s">
        <v>1268</v>
      </c>
      <c r="M25" s="3585" t="s">
        <v>142</v>
      </c>
      <c r="N25" s="3582" t="s">
        <v>142</v>
      </c>
      <c r="O25" s="3585" t="s">
        <v>142</v>
      </c>
      <c r="P25" s="3585" t="s">
        <v>142</v>
      </c>
      <c r="Q25" s="2745" t="s">
        <v>1190</v>
      </c>
      <c r="R25" s="3585" t="s">
        <v>142</v>
      </c>
      <c r="S25" s="3585" t="s">
        <v>142</v>
      </c>
      <c r="T25" s="3585" t="s">
        <v>142</v>
      </c>
      <c r="U25" s="3582" t="s">
        <v>142</v>
      </c>
      <c r="V25" s="3585" t="s">
        <v>142</v>
      </c>
      <c r="W25" s="3585" t="s">
        <v>142</v>
      </c>
      <c r="X25" s="2746" t="s">
        <v>1190</v>
      </c>
      <c r="Y25" s="3582" t="s">
        <v>142</v>
      </c>
      <c r="Z25" s="3585" t="s">
        <v>142</v>
      </c>
      <c r="AA25" s="3585" t="s">
        <v>142</v>
      </c>
      <c r="AB25" s="3585" t="s">
        <v>142</v>
      </c>
      <c r="AC25" s="3582" t="s">
        <v>142</v>
      </c>
      <c r="AD25" s="3585" t="s">
        <v>142</v>
      </c>
      <c r="AE25" s="2746" t="s">
        <v>1190</v>
      </c>
      <c r="AF25" s="3585" t="s">
        <v>142</v>
      </c>
      <c r="AG25" s="3582" t="s">
        <v>142</v>
      </c>
      <c r="AH25" s="3585" t="s">
        <v>142</v>
      </c>
      <c r="AI25" s="3585" t="s">
        <v>142</v>
      </c>
      <c r="AJ25" s="3585" t="s">
        <v>142</v>
      </c>
      <c r="AK25" s="3582" t="s">
        <v>142</v>
      </c>
      <c r="AL25" s="2745" t="s">
        <v>1190</v>
      </c>
      <c r="AM25" s="3585" t="s">
        <v>142</v>
      </c>
      <c r="AN25" s="3585" t="s">
        <v>142</v>
      </c>
      <c r="AO25" s="3585" t="s">
        <v>142</v>
      </c>
      <c r="AP25" s="3585"/>
      <c r="AQ25" s="2701"/>
      <c r="AR25" s="2787">
        <f t="shared" si="4"/>
        <v>25</v>
      </c>
      <c r="AS25" s="2788">
        <f t="shared" si="1"/>
        <v>4</v>
      </c>
      <c r="AT25" s="2789">
        <f t="shared" si="2"/>
        <v>0</v>
      </c>
      <c r="AU25" s="2790">
        <f t="shared" si="3"/>
        <v>0</v>
      </c>
      <c r="AV25" s="2788">
        <f t="shared" si="5"/>
        <v>29</v>
      </c>
      <c r="AW25" s="2791"/>
      <c r="AX25" s="2792"/>
      <c r="AY25" s="2788"/>
    </row>
    <row r="26" spans="1:51" ht="21.75" customHeight="1">
      <c r="A26" s="2779"/>
      <c r="B26" s="2780"/>
      <c r="C26" s="2781"/>
      <c r="D26" s="2781"/>
      <c r="E26" s="2782"/>
      <c r="F26" s="2776"/>
      <c r="G26" s="2783"/>
      <c r="H26" s="2782"/>
      <c r="I26" s="2784"/>
      <c r="J26" s="2785">
        <v>14</v>
      </c>
      <c r="K26" s="2785">
        <v>14</v>
      </c>
      <c r="L26" s="2785" t="s">
        <v>1212</v>
      </c>
      <c r="M26" s="3585"/>
      <c r="N26" s="3585"/>
      <c r="O26" s="3585"/>
      <c r="P26" s="3584" t="s">
        <v>142</v>
      </c>
      <c r="Q26" s="2746" t="s">
        <v>1190</v>
      </c>
      <c r="R26" s="3585" t="s">
        <v>142</v>
      </c>
      <c r="S26" s="3585" t="s">
        <v>142</v>
      </c>
      <c r="T26" s="3584" t="s">
        <v>142</v>
      </c>
      <c r="U26" s="3585" t="s">
        <v>142</v>
      </c>
      <c r="V26" s="3585" t="s">
        <v>142</v>
      </c>
      <c r="W26" s="3585" t="s">
        <v>142</v>
      </c>
      <c r="X26" s="2747" t="s">
        <v>1190</v>
      </c>
      <c r="Y26" s="3585" t="s">
        <v>142</v>
      </c>
      <c r="Z26" s="3585" t="s">
        <v>142</v>
      </c>
      <c r="AA26" s="3585"/>
      <c r="AB26" s="3584" t="s">
        <v>142</v>
      </c>
      <c r="AC26" s="3585" t="s">
        <v>142</v>
      </c>
      <c r="AD26" s="3585" t="s">
        <v>142</v>
      </c>
      <c r="AE26" s="2746" t="s">
        <v>1190</v>
      </c>
      <c r="AF26" s="3584" t="s">
        <v>142</v>
      </c>
      <c r="AG26" s="3585" t="s">
        <v>142</v>
      </c>
      <c r="AH26" s="3585" t="s">
        <v>142</v>
      </c>
      <c r="AI26" s="3585" t="s">
        <v>142</v>
      </c>
      <c r="AJ26" s="3584" t="s">
        <v>142</v>
      </c>
      <c r="AK26" s="3582"/>
      <c r="AL26" s="2745"/>
      <c r="AM26" s="3585" t="s">
        <v>142</v>
      </c>
      <c r="AN26" s="3584" t="s">
        <v>142</v>
      </c>
      <c r="AO26" s="3585"/>
      <c r="AP26" s="3585"/>
      <c r="AQ26" s="2701" t="s">
        <v>142</v>
      </c>
      <c r="AR26" s="2787">
        <f t="shared" si="4"/>
        <v>20</v>
      </c>
      <c r="AS26" s="2788">
        <f t="shared" si="1"/>
        <v>3</v>
      </c>
      <c r="AT26" s="2789">
        <f t="shared" si="2"/>
        <v>0</v>
      </c>
      <c r="AU26" s="2790">
        <f t="shared" si="3"/>
        <v>0</v>
      </c>
      <c r="AV26" s="2788">
        <f t="shared" si="5"/>
        <v>23</v>
      </c>
      <c r="AW26" s="2791"/>
      <c r="AX26" s="2792"/>
      <c r="AY26" s="2788"/>
    </row>
    <row r="27" spans="1:51" ht="21.75" customHeight="1">
      <c r="A27" s="2779"/>
      <c r="B27" s="2780"/>
      <c r="C27" s="2781"/>
      <c r="D27" s="2781"/>
      <c r="E27" s="2782"/>
      <c r="F27" s="2776"/>
      <c r="G27" s="2783"/>
      <c r="H27" s="2782"/>
      <c r="I27" s="2784"/>
      <c r="J27" s="2785">
        <v>15</v>
      </c>
      <c r="K27" s="2785">
        <v>15</v>
      </c>
      <c r="L27" s="2793" t="s">
        <v>1562</v>
      </c>
      <c r="M27" s="3584" t="s">
        <v>142</v>
      </c>
      <c r="N27" s="3585" t="s">
        <v>142</v>
      </c>
      <c r="O27" s="3585" t="s">
        <v>142</v>
      </c>
      <c r="P27" s="3585" t="s">
        <v>142</v>
      </c>
      <c r="Q27" s="2746" t="s">
        <v>1190</v>
      </c>
      <c r="R27" s="3584" t="s">
        <v>142</v>
      </c>
      <c r="S27" s="3585" t="s">
        <v>142</v>
      </c>
      <c r="T27" s="3585" t="s">
        <v>142</v>
      </c>
      <c r="U27" s="3585" t="s">
        <v>142</v>
      </c>
      <c r="V27" s="3584" t="s">
        <v>142</v>
      </c>
      <c r="W27" s="3585" t="s">
        <v>142</v>
      </c>
      <c r="X27" s="2746" t="s">
        <v>1190</v>
      </c>
      <c r="Y27" s="3585" t="s">
        <v>142</v>
      </c>
      <c r="Z27" s="3584" t="s">
        <v>142</v>
      </c>
      <c r="AA27" s="3585" t="s">
        <v>142</v>
      </c>
      <c r="AB27" s="3585" t="s">
        <v>142</v>
      </c>
      <c r="AC27" s="3585" t="s">
        <v>142</v>
      </c>
      <c r="AD27" s="3584" t="s">
        <v>142</v>
      </c>
      <c r="AE27" s="2746" t="s">
        <v>1190</v>
      </c>
      <c r="AF27" s="3585" t="s">
        <v>142</v>
      </c>
      <c r="AG27" s="3585" t="s">
        <v>142</v>
      </c>
      <c r="AH27" s="3585" t="s">
        <v>142</v>
      </c>
      <c r="AI27" s="3585" t="s">
        <v>142</v>
      </c>
      <c r="AJ27" s="3585" t="s">
        <v>142</v>
      </c>
      <c r="AK27" s="3582" t="s">
        <v>142</v>
      </c>
      <c r="AL27" s="2745" t="s">
        <v>1190</v>
      </c>
      <c r="AM27" s="3585" t="s">
        <v>142</v>
      </c>
      <c r="AN27" s="3585" t="s">
        <v>142</v>
      </c>
      <c r="AO27" s="3585" t="s">
        <v>142</v>
      </c>
      <c r="AP27" s="3584" t="s">
        <v>142</v>
      </c>
      <c r="AQ27" s="2701" t="s">
        <v>142</v>
      </c>
      <c r="AR27" s="2787">
        <f t="shared" si="4"/>
        <v>27</v>
      </c>
      <c r="AS27" s="2788">
        <f t="shared" si="1"/>
        <v>4</v>
      </c>
      <c r="AT27" s="2789">
        <f t="shared" si="2"/>
        <v>0</v>
      </c>
      <c r="AU27" s="2790">
        <f t="shared" si="3"/>
        <v>0</v>
      </c>
      <c r="AV27" s="2788">
        <f t="shared" si="5"/>
        <v>31</v>
      </c>
      <c r="AW27" s="2791"/>
      <c r="AX27" s="2792"/>
      <c r="AY27" s="2788"/>
    </row>
    <row r="28" spans="1:51" ht="21.75" customHeight="1">
      <c r="A28" s="2779" t="e">
        <f>#REF!*#REF!+#REF!*#REF!</f>
        <v>#REF!</v>
      </c>
      <c r="B28" s="2780" t="e">
        <f>IF(#REF!&gt;15,40,IF(#REF!&gt;12,35,IF(#REF!&gt;9,30,25)))</f>
        <v>#REF!</v>
      </c>
      <c r="C28" s="2781" t="s">
        <v>92</v>
      </c>
      <c r="D28" s="2781">
        <f t="shared" ref="D28:D79" si="6">IF(C28="A",60,IF(C28="B",50,IF(C28="C",45,40)))</f>
        <v>50</v>
      </c>
      <c r="E28" s="2782" t="e">
        <f t="shared" ref="E28:E79" si="7">D28+B28</f>
        <v>#REF!</v>
      </c>
      <c r="F28" s="2776" t="e">
        <f t="shared" ref="F28:F79" si="8">IF(E28&gt;94,"A",IF(E28&gt;80,"B",IF(E28&gt;69,"C","D")))</f>
        <v>#REF!</v>
      </c>
      <c r="G28" s="2783">
        <f>('[7]LÁT A'!N11+'[7]LÁT D'!N11+'[7]LÁT C'!N11+'[7]LÁT B'!N11)*0.4+'[7]MỦ DÂY'!AH11*0.5</f>
        <v>16</v>
      </c>
      <c r="H28" s="2782" t="e">
        <f>G28*IF(F28="A",#REF!,IF(F28="B",#REF!,IF(F28="C",#REF!,#REF!)))</f>
        <v>#REF!</v>
      </c>
      <c r="I28" s="2784" t="e">
        <f t="shared" ref="I28:I79" si="9">A28+H28</f>
        <v>#REF!</v>
      </c>
      <c r="J28" s="2785">
        <v>16</v>
      </c>
      <c r="K28" s="2785">
        <v>16</v>
      </c>
      <c r="L28" s="2786" t="s">
        <v>1269</v>
      </c>
      <c r="M28" s="3585" t="s">
        <v>142</v>
      </c>
      <c r="N28" s="3584" t="s">
        <v>142</v>
      </c>
      <c r="O28" s="3584" t="s">
        <v>142</v>
      </c>
      <c r="P28" s="3584" t="s">
        <v>142</v>
      </c>
      <c r="Q28" s="2747" t="s">
        <v>1190</v>
      </c>
      <c r="R28" s="3584" t="s">
        <v>142</v>
      </c>
      <c r="S28" s="3584" t="s">
        <v>142</v>
      </c>
      <c r="T28" s="3584" t="s">
        <v>142</v>
      </c>
      <c r="U28" s="3584" t="s">
        <v>142</v>
      </c>
      <c r="V28" s="3584" t="s">
        <v>142</v>
      </c>
      <c r="W28" s="3584" t="s">
        <v>142</v>
      </c>
      <c r="X28" s="2747" t="s">
        <v>1190</v>
      </c>
      <c r="Y28" s="3584" t="s">
        <v>142</v>
      </c>
      <c r="Z28" s="3584" t="s">
        <v>142</v>
      </c>
      <c r="AA28" s="3584" t="s">
        <v>142</v>
      </c>
      <c r="AB28" s="3584" t="s">
        <v>142</v>
      </c>
      <c r="AC28" s="3584" t="s">
        <v>142</v>
      </c>
      <c r="AD28" s="3584" t="s">
        <v>142</v>
      </c>
      <c r="AE28" s="2747"/>
      <c r="AF28" s="3584"/>
      <c r="AG28" s="3584" t="s">
        <v>142</v>
      </c>
      <c r="AH28" s="3585" t="s">
        <v>142</v>
      </c>
      <c r="AI28" s="3584" t="s">
        <v>142</v>
      </c>
      <c r="AJ28" s="3584" t="s">
        <v>142</v>
      </c>
      <c r="AK28" s="3582" t="s">
        <v>142</v>
      </c>
      <c r="AL28" s="2745" t="s">
        <v>1190</v>
      </c>
      <c r="AM28" s="3584" t="s">
        <v>142</v>
      </c>
      <c r="AN28" s="3584" t="s">
        <v>142</v>
      </c>
      <c r="AO28" s="3585" t="s">
        <v>142</v>
      </c>
      <c r="AP28" s="3584" t="s">
        <v>142</v>
      </c>
      <c r="AQ28" s="2702" t="s">
        <v>142</v>
      </c>
      <c r="AR28" s="2787">
        <f t="shared" si="4"/>
        <v>26</v>
      </c>
      <c r="AS28" s="2788">
        <f t="shared" si="1"/>
        <v>3</v>
      </c>
      <c r="AT28" s="2789">
        <f t="shared" si="2"/>
        <v>0</v>
      </c>
      <c r="AU28" s="2790">
        <f t="shared" si="3"/>
        <v>0</v>
      </c>
      <c r="AV28" s="2788">
        <f t="shared" si="5"/>
        <v>29</v>
      </c>
      <c r="AW28" s="2781"/>
      <c r="AX28" s="2792">
        <f>IF(AV28=31,20,IF(AV28&gt;=25,10))</f>
        <v>10</v>
      </c>
      <c r="AY28" s="2788"/>
    </row>
    <row r="29" spans="1:51" ht="21.75" customHeight="1">
      <c r="A29" s="2779" t="e">
        <f>#REF!*#REF!+#REF!*#REF!</f>
        <v>#REF!</v>
      </c>
      <c r="B29" s="2780" t="e">
        <f>IF(#REF!&gt;15,40,IF(#REF!&gt;12,35,IF(#REF!&gt;9,30,25)))</f>
        <v>#REF!</v>
      </c>
      <c r="C29" s="2781" t="s">
        <v>92</v>
      </c>
      <c r="D29" s="2781">
        <f t="shared" si="6"/>
        <v>50</v>
      </c>
      <c r="E29" s="2782" t="e">
        <f t="shared" si="7"/>
        <v>#REF!</v>
      </c>
      <c r="F29" s="2776" t="e">
        <f t="shared" si="8"/>
        <v>#REF!</v>
      </c>
      <c r="G29" s="2783">
        <f>('[7]LÁT A'!N12+'[7]LÁT D'!N12+'[7]LÁT C'!N12+'[7]LÁT B'!N12)*0.4+'[7]MỦ DÂY'!AH12*0.5</f>
        <v>0</v>
      </c>
      <c r="H29" s="2782" t="e">
        <f>G29*IF(F29="A",#REF!,IF(F29="B",#REF!,IF(F29="C",#REF!,#REF!)))</f>
        <v>#REF!</v>
      </c>
      <c r="I29" s="2784" t="e">
        <f t="shared" si="9"/>
        <v>#REF!</v>
      </c>
      <c r="J29" s="2785">
        <v>17</v>
      </c>
      <c r="K29" s="2785">
        <v>17</v>
      </c>
      <c r="L29" s="2785" t="s">
        <v>944</v>
      </c>
      <c r="M29" s="3585" t="s">
        <v>142</v>
      </c>
      <c r="N29" s="3584" t="s">
        <v>142</v>
      </c>
      <c r="O29" s="3585" t="s">
        <v>142</v>
      </c>
      <c r="P29" s="3585" t="s">
        <v>142</v>
      </c>
      <c r="Q29" s="2747" t="s">
        <v>1190</v>
      </c>
      <c r="R29" s="3585"/>
      <c r="S29" s="3585" t="s">
        <v>142</v>
      </c>
      <c r="T29" s="3585" t="s">
        <v>142</v>
      </c>
      <c r="U29" s="3584" t="s">
        <v>142</v>
      </c>
      <c r="V29" s="3585" t="s">
        <v>142</v>
      </c>
      <c r="W29" s="3585" t="s">
        <v>142</v>
      </c>
      <c r="X29" s="2746" t="s">
        <v>1190</v>
      </c>
      <c r="Y29" s="3584" t="s">
        <v>142</v>
      </c>
      <c r="Z29" s="3585" t="s">
        <v>142</v>
      </c>
      <c r="AA29" s="3585" t="s">
        <v>142</v>
      </c>
      <c r="AB29" s="3585" t="s">
        <v>142</v>
      </c>
      <c r="AC29" s="3584" t="s">
        <v>142</v>
      </c>
      <c r="AD29" s="3585" t="s">
        <v>142</v>
      </c>
      <c r="AE29" s="2746" t="s">
        <v>1190</v>
      </c>
      <c r="AF29" s="3585" t="s">
        <v>142</v>
      </c>
      <c r="AG29" s="3584" t="s">
        <v>142</v>
      </c>
      <c r="AH29" s="3584" t="s">
        <v>142</v>
      </c>
      <c r="AI29" s="3585" t="s">
        <v>142</v>
      </c>
      <c r="AJ29" s="3585" t="s">
        <v>142</v>
      </c>
      <c r="AK29" s="3585" t="s">
        <v>142</v>
      </c>
      <c r="AL29" s="2745" t="s">
        <v>1190</v>
      </c>
      <c r="AM29" s="3585" t="s">
        <v>142</v>
      </c>
      <c r="AN29" s="3585" t="s">
        <v>142</v>
      </c>
      <c r="AO29" s="3584" t="s">
        <v>142</v>
      </c>
      <c r="AP29" s="3585" t="s">
        <v>150</v>
      </c>
      <c r="AQ29" s="2702" t="s">
        <v>142</v>
      </c>
      <c r="AR29" s="2787">
        <f t="shared" si="4"/>
        <v>26</v>
      </c>
      <c r="AS29" s="2788">
        <f t="shared" si="1"/>
        <v>4</v>
      </c>
      <c r="AT29" s="2789">
        <f t="shared" si="2"/>
        <v>0</v>
      </c>
      <c r="AU29" s="2790">
        <f t="shared" si="3"/>
        <v>0</v>
      </c>
      <c r="AV29" s="2788">
        <f t="shared" si="5"/>
        <v>30</v>
      </c>
      <c r="AW29" s="2781"/>
      <c r="AX29" s="2792">
        <f>IF(AV29=31,20,IF(AV29&gt;=25,10))</f>
        <v>10</v>
      </c>
      <c r="AY29" s="2788"/>
    </row>
    <row r="30" spans="1:51" ht="21.75" customHeight="1">
      <c r="A30" s="2779" t="e">
        <f>#REF!*#REF!+#REF!*#REF!</f>
        <v>#REF!</v>
      </c>
      <c r="B30" s="2780" t="e">
        <f>IF(#REF!&gt;15,40,IF(#REF!&gt;12,35,IF(#REF!&gt;9,30,25)))</f>
        <v>#REF!</v>
      </c>
      <c r="C30" s="2781" t="s">
        <v>92</v>
      </c>
      <c r="D30" s="2781">
        <f t="shared" si="6"/>
        <v>50</v>
      </c>
      <c r="E30" s="2782" t="e">
        <f t="shared" si="7"/>
        <v>#REF!</v>
      </c>
      <c r="F30" s="2776" t="e">
        <f t="shared" si="8"/>
        <v>#REF!</v>
      </c>
      <c r="G30" s="2783">
        <f>('[7]LÁT A'!N13+'[7]LÁT D'!N13+'[7]LÁT C'!N13+'[7]LÁT B'!N13)*0.4+'[7]MỦ DÂY'!AH13*0.5</f>
        <v>16</v>
      </c>
      <c r="H30" s="2782" t="e">
        <f>G30*IF(F30="A",#REF!,IF(F30="B",#REF!,IF(F30="C",#REF!,#REF!)))</f>
        <v>#REF!</v>
      </c>
      <c r="I30" s="2784" t="e">
        <f t="shared" si="9"/>
        <v>#REF!</v>
      </c>
      <c r="J30" s="2785">
        <v>18</v>
      </c>
      <c r="K30" s="2785">
        <v>18</v>
      </c>
      <c r="L30" s="2786" t="s">
        <v>961</v>
      </c>
      <c r="M30" s="3585" t="s">
        <v>142</v>
      </c>
      <c r="N30" s="3585" t="s">
        <v>142</v>
      </c>
      <c r="O30" s="3585" t="s">
        <v>142</v>
      </c>
      <c r="P30" s="3585" t="s">
        <v>142</v>
      </c>
      <c r="Q30" s="2746" t="s">
        <v>1190</v>
      </c>
      <c r="R30" s="3585"/>
      <c r="S30" s="3585" t="s">
        <v>142</v>
      </c>
      <c r="T30" s="3585" t="s">
        <v>142</v>
      </c>
      <c r="U30" s="3585" t="s">
        <v>142</v>
      </c>
      <c r="V30" s="3585" t="s">
        <v>142</v>
      </c>
      <c r="W30" s="3585" t="s">
        <v>142</v>
      </c>
      <c r="X30" s="2746" t="s">
        <v>1190</v>
      </c>
      <c r="Y30" s="3585" t="s">
        <v>142</v>
      </c>
      <c r="Z30" s="3585" t="s">
        <v>142</v>
      </c>
      <c r="AA30" s="3585" t="s">
        <v>142</v>
      </c>
      <c r="AB30" s="3585" t="s">
        <v>142</v>
      </c>
      <c r="AC30" s="3585" t="s">
        <v>142</v>
      </c>
      <c r="AD30" s="3585" t="s">
        <v>142</v>
      </c>
      <c r="AE30" s="2746" t="s">
        <v>1190</v>
      </c>
      <c r="AF30" s="3585" t="s">
        <v>142</v>
      </c>
      <c r="AG30" s="3585" t="s">
        <v>142</v>
      </c>
      <c r="AH30" s="3585"/>
      <c r="AI30" s="3585" t="s">
        <v>142</v>
      </c>
      <c r="AJ30" s="3585" t="s">
        <v>142</v>
      </c>
      <c r="AK30" s="3585" t="s">
        <v>142</v>
      </c>
      <c r="AL30" s="2745" t="s">
        <v>1190</v>
      </c>
      <c r="AM30" s="3585" t="s">
        <v>142</v>
      </c>
      <c r="AN30" s="3585" t="s">
        <v>142</v>
      </c>
      <c r="AO30" s="3585" t="s">
        <v>142</v>
      </c>
      <c r="AP30" s="3585" t="s">
        <v>142</v>
      </c>
      <c r="AQ30" s="2702" t="s">
        <v>142</v>
      </c>
      <c r="AR30" s="2787">
        <f t="shared" si="4"/>
        <v>25</v>
      </c>
      <c r="AS30" s="2788">
        <f t="shared" si="1"/>
        <v>4</v>
      </c>
      <c r="AT30" s="2789">
        <f t="shared" si="2"/>
        <v>0</v>
      </c>
      <c r="AU30" s="2790">
        <f t="shared" si="3"/>
        <v>0</v>
      </c>
      <c r="AV30" s="2788">
        <f t="shared" si="5"/>
        <v>29</v>
      </c>
      <c r="AW30" s="2781"/>
      <c r="AX30" s="2792">
        <f t="shared" ref="AX30:AX48" si="10">IF(AV30=31,20,IF(AV30&gt;=25,10))</f>
        <v>10</v>
      </c>
      <c r="AY30" s="2788"/>
    </row>
    <row r="31" spans="1:51" ht="21.75" customHeight="1">
      <c r="A31" s="2779" t="e">
        <f>#REF!*#REF!+#REF!*#REF!</f>
        <v>#REF!</v>
      </c>
      <c r="B31" s="2780" t="e">
        <f>IF(#REF!&gt;15,40,IF(#REF!&gt;12,35,IF(#REF!&gt;9,30,25)))</f>
        <v>#REF!</v>
      </c>
      <c r="C31" s="2781" t="s">
        <v>92</v>
      </c>
      <c r="D31" s="2781">
        <f t="shared" si="6"/>
        <v>50</v>
      </c>
      <c r="E31" s="2782" t="e">
        <f t="shared" si="7"/>
        <v>#REF!</v>
      </c>
      <c r="F31" s="2776" t="e">
        <f t="shared" si="8"/>
        <v>#REF!</v>
      </c>
      <c r="G31" s="2783">
        <f>('[7]LÁT A'!N14+'[7]LÁT D'!N14+'[7]LÁT C'!N14+'[7]LÁT B'!N14)*0.4+'[7]MỦ DÂY'!AH14*0.5</f>
        <v>24</v>
      </c>
      <c r="H31" s="2782" t="e">
        <f>G31*IF(F31="A",#REF!,IF(F31="B",#REF!,IF(F31="C",#REF!,#REF!)))</f>
        <v>#REF!</v>
      </c>
      <c r="I31" s="2784" t="e">
        <f t="shared" si="9"/>
        <v>#REF!</v>
      </c>
      <c r="J31" s="2785">
        <v>19</v>
      </c>
      <c r="K31" s="2785">
        <v>19</v>
      </c>
      <c r="L31" s="2786" t="s">
        <v>1185</v>
      </c>
      <c r="M31" s="3585" t="s">
        <v>142</v>
      </c>
      <c r="N31" s="3585" t="s">
        <v>142</v>
      </c>
      <c r="O31" s="3584" t="s">
        <v>142</v>
      </c>
      <c r="P31" s="3585" t="s">
        <v>142</v>
      </c>
      <c r="Q31" s="2746" t="s">
        <v>1190</v>
      </c>
      <c r="R31" s="3585" t="s">
        <v>142</v>
      </c>
      <c r="S31" s="3584" t="s">
        <v>142</v>
      </c>
      <c r="T31" s="3585" t="s">
        <v>142</v>
      </c>
      <c r="U31" s="3585" t="s">
        <v>142</v>
      </c>
      <c r="V31" s="3585" t="s">
        <v>142</v>
      </c>
      <c r="W31" s="3584" t="s">
        <v>142</v>
      </c>
      <c r="X31" s="2746" t="s">
        <v>1190</v>
      </c>
      <c r="Y31" s="3585" t="s">
        <v>142</v>
      </c>
      <c r="Z31" s="3585" t="s">
        <v>142</v>
      </c>
      <c r="AA31" s="3584" t="s">
        <v>142</v>
      </c>
      <c r="AB31" s="3585" t="s">
        <v>142</v>
      </c>
      <c r="AC31" s="3585" t="s">
        <v>142</v>
      </c>
      <c r="AD31" s="3585" t="s">
        <v>142</v>
      </c>
      <c r="AE31" s="2747"/>
      <c r="AF31" s="3585"/>
      <c r="AG31" s="3585" t="s">
        <v>142</v>
      </c>
      <c r="AH31" s="3585" t="s">
        <v>142</v>
      </c>
      <c r="AI31" s="3584" t="s">
        <v>142</v>
      </c>
      <c r="AJ31" s="3585" t="s">
        <v>142</v>
      </c>
      <c r="AK31" s="3582" t="s">
        <v>142</v>
      </c>
      <c r="AL31" s="2745" t="s">
        <v>1190</v>
      </c>
      <c r="AM31" s="3584" t="s">
        <v>142</v>
      </c>
      <c r="AN31" s="3585" t="s">
        <v>142</v>
      </c>
      <c r="AO31" s="3585" t="s">
        <v>142</v>
      </c>
      <c r="AP31" s="3585" t="s">
        <v>142</v>
      </c>
      <c r="AQ31" s="2702" t="s">
        <v>142</v>
      </c>
      <c r="AR31" s="2787">
        <f t="shared" si="4"/>
        <v>26</v>
      </c>
      <c r="AS31" s="2788">
        <f t="shared" si="1"/>
        <v>3</v>
      </c>
      <c r="AT31" s="2789">
        <f t="shared" si="2"/>
        <v>0</v>
      </c>
      <c r="AU31" s="2790">
        <f t="shared" si="3"/>
        <v>0</v>
      </c>
      <c r="AV31" s="2788">
        <f t="shared" si="5"/>
        <v>29</v>
      </c>
      <c r="AW31" s="2781"/>
      <c r="AX31" s="2792">
        <f t="shared" si="10"/>
        <v>10</v>
      </c>
      <c r="AY31" s="2788"/>
    </row>
    <row r="32" spans="1:51" ht="21.75" customHeight="1">
      <c r="A32" s="2779" t="e">
        <f>#REF!*#REF!+#REF!*#REF!</f>
        <v>#REF!</v>
      </c>
      <c r="B32" s="2780" t="e">
        <f>IF(#REF!&gt;15,40,IF(#REF!&gt;12,35,IF(#REF!&gt;9,30,25)))</f>
        <v>#REF!</v>
      </c>
      <c r="C32" s="2781" t="s">
        <v>92</v>
      </c>
      <c r="D32" s="2781">
        <f t="shared" si="6"/>
        <v>50</v>
      </c>
      <c r="E32" s="2782" t="e">
        <f t="shared" si="7"/>
        <v>#REF!</v>
      </c>
      <c r="F32" s="2776" t="e">
        <f t="shared" si="8"/>
        <v>#REF!</v>
      </c>
      <c r="G32" s="2783">
        <f>('[7]LÁT A'!N15+'[7]LÁT D'!N15+'[7]LÁT C'!N15+'[7]LÁT B'!N15)*0.4+'[7]MỦ DÂY'!AH15*0.5</f>
        <v>24</v>
      </c>
      <c r="H32" s="2782" t="e">
        <f>G32*IF(F32="A",#REF!,IF(F32="B",#REF!,IF(F32="C",#REF!,#REF!)))</f>
        <v>#REF!</v>
      </c>
      <c r="I32" s="2784" t="e">
        <f t="shared" si="9"/>
        <v>#REF!</v>
      </c>
      <c r="J32" s="2785">
        <v>20</v>
      </c>
      <c r="K32" s="2785">
        <v>20</v>
      </c>
      <c r="L32" s="2786" t="s">
        <v>1394</v>
      </c>
      <c r="M32" s="3585" t="s">
        <v>142</v>
      </c>
      <c r="N32" s="3585" t="s">
        <v>1191</v>
      </c>
      <c r="O32" s="3585" t="s">
        <v>142</v>
      </c>
      <c r="P32" s="3585" t="s">
        <v>142</v>
      </c>
      <c r="Q32" s="2746" t="s">
        <v>1190</v>
      </c>
      <c r="R32" s="3585" t="s">
        <v>1191</v>
      </c>
      <c r="S32" s="3585" t="s">
        <v>142</v>
      </c>
      <c r="T32" s="3585" t="s">
        <v>142</v>
      </c>
      <c r="U32" s="3585" t="s">
        <v>142</v>
      </c>
      <c r="V32" s="3585" t="s">
        <v>1191</v>
      </c>
      <c r="W32" s="3585" t="s">
        <v>142</v>
      </c>
      <c r="X32" s="2746" t="s">
        <v>1190</v>
      </c>
      <c r="Y32" s="3585"/>
      <c r="Z32" s="3585" t="s">
        <v>1191</v>
      </c>
      <c r="AA32" s="3585" t="s">
        <v>142</v>
      </c>
      <c r="AB32" s="3585"/>
      <c r="AC32" s="3585" t="s">
        <v>142</v>
      </c>
      <c r="AD32" s="3585" t="s">
        <v>1191</v>
      </c>
      <c r="AE32" s="2746" t="s">
        <v>1190</v>
      </c>
      <c r="AF32" s="3585" t="s">
        <v>142</v>
      </c>
      <c r="AG32" s="3585" t="s">
        <v>142</v>
      </c>
      <c r="AH32" s="3584" t="s">
        <v>1191</v>
      </c>
      <c r="AI32" s="3585" t="s">
        <v>142</v>
      </c>
      <c r="AJ32" s="3585" t="s">
        <v>142</v>
      </c>
      <c r="AK32" s="3582" t="s">
        <v>142</v>
      </c>
      <c r="AL32" s="2745" t="s">
        <v>1192</v>
      </c>
      <c r="AM32" s="3585" t="s">
        <v>142</v>
      </c>
      <c r="AN32" s="3585" t="s">
        <v>142</v>
      </c>
      <c r="AO32" s="3584" t="s">
        <v>142</v>
      </c>
      <c r="AP32" s="3585" t="s">
        <v>1191</v>
      </c>
      <c r="AQ32" s="2702" t="s">
        <v>142</v>
      </c>
      <c r="AR32" s="2787">
        <f t="shared" si="4"/>
        <v>18</v>
      </c>
      <c r="AS32" s="2788">
        <f t="shared" si="1"/>
        <v>3</v>
      </c>
      <c r="AT32" s="2789">
        <f t="shared" si="2"/>
        <v>7</v>
      </c>
      <c r="AU32" s="2790">
        <f t="shared" si="3"/>
        <v>1</v>
      </c>
      <c r="AV32" s="2788">
        <f t="shared" si="5"/>
        <v>29</v>
      </c>
      <c r="AW32" s="2791"/>
      <c r="AX32" s="2792">
        <f t="shared" si="10"/>
        <v>10</v>
      </c>
      <c r="AY32" s="2788"/>
    </row>
    <row r="33" spans="1:63" ht="21.75" customHeight="1">
      <c r="A33" s="2779" t="e">
        <f>#REF!*#REF!+#REF!*#REF!</f>
        <v>#REF!</v>
      </c>
      <c r="B33" s="2780" t="e">
        <f>IF(#REF!&gt;15,40,IF(#REF!&gt;12,35,IF(#REF!&gt;9,30,25)))</f>
        <v>#REF!</v>
      </c>
      <c r="C33" s="2781" t="s">
        <v>92</v>
      </c>
      <c r="D33" s="2781">
        <f t="shared" si="6"/>
        <v>50</v>
      </c>
      <c r="E33" s="2782" t="e">
        <f t="shared" si="7"/>
        <v>#REF!</v>
      </c>
      <c r="F33" s="2776" t="e">
        <f t="shared" si="8"/>
        <v>#REF!</v>
      </c>
      <c r="G33" s="2783">
        <f>('[7]LÁT A'!N16+'[7]LÁT D'!N16+'[7]LÁT C'!N16+'[7]LÁT B'!N16)*0.4+'[7]MỦ DÂY'!AH16*0.5</f>
        <v>0</v>
      </c>
      <c r="H33" s="2782" t="e">
        <f>G33*IF(F33="A",#REF!,IF(F33="B",#REF!,IF(F33="C",#REF!,#REF!)))</f>
        <v>#REF!</v>
      </c>
      <c r="I33" s="2784" t="e">
        <f t="shared" si="9"/>
        <v>#REF!</v>
      </c>
      <c r="J33" s="2785">
        <v>21</v>
      </c>
      <c r="K33" s="2785">
        <v>21</v>
      </c>
      <c r="L33" s="2786" t="s">
        <v>945</v>
      </c>
      <c r="M33" s="3582"/>
      <c r="N33" s="3585" t="s">
        <v>1191</v>
      </c>
      <c r="O33" s="3585" t="s">
        <v>142</v>
      </c>
      <c r="P33" s="3585" t="s">
        <v>142</v>
      </c>
      <c r="Q33" s="2746" t="s">
        <v>1190</v>
      </c>
      <c r="R33" s="3585" t="s">
        <v>1191</v>
      </c>
      <c r="S33" s="3585" t="s">
        <v>142</v>
      </c>
      <c r="T33" s="3585" t="s">
        <v>142</v>
      </c>
      <c r="U33" s="3585" t="s">
        <v>142</v>
      </c>
      <c r="V33" s="3585" t="s">
        <v>1191</v>
      </c>
      <c r="W33" s="3585" t="s">
        <v>142</v>
      </c>
      <c r="X33" s="2746" t="s">
        <v>1190</v>
      </c>
      <c r="Y33" s="3585" t="s">
        <v>142</v>
      </c>
      <c r="Z33" s="3585" t="s">
        <v>1191</v>
      </c>
      <c r="AA33" s="3585" t="s">
        <v>142</v>
      </c>
      <c r="AB33" s="3585" t="s">
        <v>142</v>
      </c>
      <c r="AC33" s="3585" t="s">
        <v>142</v>
      </c>
      <c r="AD33" s="3585" t="s">
        <v>1191</v>
      </c>
      <c r="AE33" s="2746" t="s">
        <v>1190</v>
      </c>
      <c r="AF33" s="3585" t="s">
        <v>142</v>
      </c>
      <c r="AG33" s="3585" t="s">
        <v>142</v>
      </c>
      <c r="AH33" s="3585" t="s">
        <v>1191</v>
      </c>
      <c r="AI33" s="3585" t="s">
        <v>142</v>
      </c>
      <c r="AJ33" s="3585" t="s">
        <v>142</v>
      </c>
      <c r="AK33" s="3582" t="s">
        <v>142</v>
      </c>
      <c r="AL33" s="2745" t="s">
        <v>1192</v>
      </c>
      <c r="AM33" s="3585" t="s">
        <v>142</v>
      </c>
      <c r="AN33" s="3585" t="s">
        <v>142</v>
      </c>
      <c r="AO33" s="3585" t="s">
        <v>142</v>
      </c>
      <c r="AP33" s="3585" t="s">
        <v>1191</v>
      </c>
      <c r="AQ33" s="2702" t="s">
        <v>142</v>
      </c>
      <c r="AR33" s="2787">
        <f t="shared" si="4"/>
        <v>19</v>
      </c>
      <c r="AS33" s="2788">
        <f t="shared" si="1"/>
        <v>3</v>
      </c>
      <c r="AT33" s="2789">
        <f t="shared" si="2"/>
        <v>7</v>
      </c>
      <c r="AU33" s="2790">
        <f t="shared" si="3"/>
        <v>1</v>
      </c>
      <c r="AV33" s="2788">
        <f t="shared" si="5"/>
        <v>30</v>
      </c>
      <c r="AW33" s="2781"/>
      <c r="AX33" s="2792">
        <f t="shared" si="10"/>
        <v>10</v>
      </c>
      <c r="AY33" s="2788"/>
    </row>
    <row r="34" spans="1:63" ht="21.75" customHeight="1">
      <c r="A34" s="2779" t="e">
        <f>#REF!*#REF!+#REF!*#REF!</f>
        <v>#REF!</v>
      </c>
      <c r="B34" s="2780" t="e">
        <f>IF(#REF!&gt;15,40,IF(#REF!&gt;12,35,IF(#REF!&gt;9,30,25)))</f>
        <v>#REF!</v>
      </c>
      <c r="C34" s="2781" t="s">
        <v>92</v>
      </c>
      <c r="D34" s="2781">
        <f t="shared" si="6"/>
        <v>50</v>
      </c>
      <c r="E34" s="2782" t="e">
        <f t="shared" si="7"/>
        <v>#REF!</v>
      </c>
      <c r="F34" s="2776" t="e">
        <f t="shared" si="8"/>
        <v>#REF!</v>
      </c>
      <c r="G34" s="2783">
        <f>('[7]LÁT A'!N17+'[7]LÁT D'!N17+'[7]LÁT C'!N17+'[7]LÁT B'!N17)*0.4+'[7]MỦ DÂY'!AH17*0.5</f>
        <v>0</v>
      </c>
      <c r="H34" s="2782" t="e">
        <f>G34*IF(F34="A",#REF!,IF(F34="B",#REF!,IF(F34="C",#REF!,#REF!)))</f>
        <v>#REF!</v>
      </c>
      <c r="I34" s="2784" t="e">
        <f t="shared" si="9"/>
        <v>#REF!</v>
      </c>
      <c r="J34" s="2785">
        <v>22</v>
      </c>
      <c r="K34" s="2785">
        <v>22</v>
      </c>
      <c r="L34" s="2785" t="s">
        <v>1186</v>
      </c>
      <c r="M34" s="3585" t="s">
        <v>142</v>
      </c>
      <c r="N34" s="3585" t="s">
        <v>1191</v>
      </c>
      <c r="O34" s="3585" t="s">
        <v>142</v>
      </c>
      <c r="P34" s="3585" t="s">
        <v>142</v>
      </c>
      <c r="Q34" s="2746" t="s">
        <v>1190</v>
      </c>
      <c r="R34" s="3585" t="s">
        <v>1191</v>
      </c>
      <c r="S34" s="3585" t="s">
        <v>142</v>
      </c>
      <c r="T34" s="3585" t="s">
        <v>142</v>
      </c>
      <c r="U34" s="3585" t="s">
        <v>142</v>
      </c>
      <c r="V34" s="3585" t="s">
        <v>1191</v>
      </c>
      <c r="W34" s="3585" t="s">
        <v>142</v>
      </c>
      <c r="X34" s="2746" t="s">
        <v>1190</v>
      </c>
      <c r="Y34" s="3585" t="s">
        <v>142</v>
      </c>
      <c r="Z34" s="3585" t="s">
        <v>1191</v>
      </c>
      <c r="AA34" s="3585" t="s">
        <v>142</v>
      </c>
      <c r="AB34" s="3585" t="s">
        <v>142</v>
      </c>
      <c r="AC34" s="3585" t="s">
        <v>142</v>
      </c>
      <c r="AD34" s="3585" t="s">
        <v>1191</v>
      </c>
      <c r="AE34" s="2746" t="s">
        <v>1190</v>
      </c>
      <c r="AF34" s="3585" t="s">
        <v>142</v>
      </c>
      <c r="AG34" s="3585" t="s">
        <v>142</v>
      </c>
      <c r="AH34" s="3585" t="s">
        <v>1191</v>
      </c>
      <c r="AI34" s="3585" t="s">
        <v>142</v>
      </c>
      <c r="AJ34" s="3585" t="s">
        <v>142</v>
      </c>
      <c r="AK34" s="3582" t="s">
        <v>142</v>
      </c>
      <c r="AL34" s="2745" t="s">
        <v>1192</v>
      </c>
      <c r="AM34" s="3585" t="s">
        <v>142</v>
      </c>
      <c r="AN34" s="3585" t="s">
        <v>142</v>
      </c>
      <c r="AO34" s="3585" t="s">
        <v>142</v>
      </c>
      <c r="AP34" s="3585" t="s">
        <v>1191</v>
      </c>
      <c r="AQ34" s="2702" t="s">
        <v>142</v>
      </c>
      <c r="AR34" s="2787">
        <f t="shared" si="4"/>
        <v>20</v>
      </c>
      <c r="AS34" s="2788">
        <f t="shared" si="1"/>
        <v>3</v>
      </c>
      <c r="AT34" s="2789">
        <f t="shared" si="2"/>
        <v>7</v>
      </c>
      <c r="AU34" s="2790">
        <f t="shared" si="3"/>
        <v>1</v>
      </c>
      <c r="AV34" s="2788">
        <f t="shared" si="5"/>
        <v>31</v>
      </c>
      <c r="AW34" s="2791"/>
      <c r="AX34" s="2792">
        <f t="shared" si="10"/>
        <v>20</v>
      </c>
      <c r="AY34" s="2788"/>
    </row>
    <row r="35" spans="1:63" ht="21.75" customHeight="1">
      <c r="A35" s="2779" t="e">
        <f>#REF!*#REF!+#REF!*#REF!</f>
        <v>#REF!</v>
      </c>
      <c r="B35" s="2780" t="e">
        <f>IF(#REF!&gt;15,40,IF(#REF!&gt;12,35,IF(#REF!&gt;9,30,25)))</f>
        <v>#REF!</v>
      </c>
      <c r="C35" s="2781" t="s">
        <v>92</v>
      </c>
      <c r="D35" s="2781">
        <f t="shared" si="6"/>
        <v>50</v>
      </c>
      <c r="E35" s="2782" t="e">
        <f t="shared" si="7"/>
        <v>#REF!</v>
      </c>
      <c r="F35" s="2776" t="e">
        <f t="shared" si="8"/>
        <v>#REF!</v>
      </c>
      <c r="G35" s="2783">
        <f>('[7]LÁT A'!N18+'[7]LÁT D'!N18+'[7]LÁT C'!N18+'[7]LÁT B'!N18)*0.4+'[7]MỦ DÂY'!AH18*0.5</f>
        <v>16</v>
      </c>
      <c r="H35" s="2782" t="e">
        <f>G35*IF(F35="A",#REF!,IF(F35="B",#REF!,IF(F35="C",#REF!,#REF!)))</f>
        <v>#REF!</v>
      </c>
      <c r="I35" s="2784" t="e">
        <f t="shared" si="9"/>
        <v>#REF!</v>
      </c>
      <c r="J35" s="2785">
        <v>23</v>
      </c>
      <c r="K35" s="2785">
        <v>23</v>
      </c>
      <c r="L35" s="2785" t="s">
        <v>1187</v>
      </c>
      <c r="M35" s="3585" t="s">
        <v>1191</v>
      </c>
      <c r="N35" s="3585"/>
      <c r="O35" s="3586" t="s">
        <v>142</v>
      </c>
      <c r="P35" s="3585" t="s">
        <v>142</v>
      </c>
      <c r="Q35" s="2746" t="s">
        <v>1192</v>
      </c>
      <c r="R35" s="3585" t="s">
        <v>142</v>
      </c>
      <c r="S35" s="3586" t="s">
        <v>142</v>
      </c>
      <c r="T35" s="3585" t="s">
        <v>142</v>
      </c>
      <c r="U35" s="3585" t="s">
        <v>1191</v>
      </c>
      <c r="V35" s="3585" t="s">
        <v>142</v>
      </c>
      <c r="W35" s="3586" t="s">
        <v>142</v>
      </c>
      <c r="X35" s="2746" t="s">
        <v>1190</v>
      </c>
      <c r="Y35" s="3585" t="s">
        <v>1191</v>
      </c>
      <c r="Z35" s="3585" t="s">
        <v>142</v>
      </c>
      <c r="AA35" s="3586" t="s">
        <v>142</v>
      </c>
      <c r="AB35" s="3585" t="s">
        <v>142</v>
      </c>
      <c r="AC35" s="3585" t="s">
        <v>1191</v>
      </c>
      <c r="AD35" s="3585" t="s">
        <v>142</v>
      </c>
      <c r="AE35" s="3103" t="s">
        <v>1190</v>
      </c>
      <c r="AF35" s="3585" t="s">
        <v>142</v>
      </c>
      <c r="AG35" s="3585" t="s">
        <v>1191</v>
      </c>
      <c r="AH35" s="3585" t="s">
        <v>142</v>
      </c>
      <c r="AI35" s="3586" t="s">
        <v>142</v>
      </c>
      <c r="AJ35" s="3585" t="s">
        <v>142</v>
      </c>
      <c r="AK35" s="3582" t="s">
        <v>1191</v>
      </c>
      <c r="AL35" s="2745" t="s">
        <v>1190</v>
      </c>
      <c r="AM35" s="3586" t="s">
        <v>142</v>
      </c>
      <c r="AN35" s="3585" t="s">
        <v>142</v>
      </c>
      <c r="AO35" s="3585" t="s">
        <v>1191</v>
      </c>
      <c r="AP35" s="3585"/>
      <c r="AQ35" s="2701" t="s">
        <v>142</v>
      </c>
      <c r="AR35" s="2787">
        <f t="shared" si="4"/>
        <v>18</v>
      </c>
      <c r="AS35" s="2788">
        <f t="shared" si="1"/>
        <v>3</v>
      </c>
      <c r="AT35" s="2789">
        <f t="shared" si="2"/>
        <v>7</v>
      </c>
      <c r="AU35" s="2790">
        <f t="shared" si="3"/>
        <v>1</v>
      </c>
      <c r="AV35" s="2788">
        <f t="shared" si="5"/>
        <v>29</v>
      </c>
      <c r="AW35" s="2781"/>
      <c r="AX35" s="2792">
        <f t="shared" si="10"/>
        <v>10</v>
      </c>
      <c r="AY35" s="2788"/>
    </row>
    <row r="36" spans="1:63" ht="21.75" customHeight="1">
      <c r="A36" s="2779" t="e">
        <f>#REF!*#REF!+#REF!*#REF!</f>
        <v>#REF!</v>
      </c>
      <c r="B36" s="2780" t="e">
        <f>IF(#REF!&gt;15,40,IF(#REF!&gt;12,35,IF(#REF!&gt;9,30,25)))</f>
        <v>#REF!</v>
      </c>
      <c r="C36" s="2781" t="s">
        <v>92</v>
      </c>
      <c r="D36" s="2781">
        <f t="shared" si="6"/>
        <v>50</v>
      </c>
      <c r="E36" s="2782" t="e">
        <f t="shared" si="7"/>
        <v>#REF!</v>
      </c>
      <c r="F36" s="2776" t="e">
        <f t="shared" si="8"/>
        <v>#REF!</v>
      </c>
      <c r="G36" s="2783">
        <f>('[7]LÁT A'!N19+'[7]LÁT D'!N19+'[7]LÁT C'!N19+'[7]LÁT B'!N19)*0.4+'[7]MỦ DÂY'!AH19*0.5</f>
        <v>0</v>
      </c>
      <c r="H36" s="2782" t="e">
        <f>G36*IF(F36="A",#REF!,IF(F36="B",#REF!,IF(F36="C",#REF!,#REF!)))</f>
        <v>#REF!</v>
      </c>
      <c r="I36" s="2784" t="e">
        <f t="shared" si="9"/>
        <v>#REF!</v>
      </c>
      <c r="J36" s="2785">
        <v>24</v>
      </c>
      <c r="K36" s="2785">
        <v>24</v>
      </c>
      <c r="L36" s="2785" t="s">
        <v>946</v>
      </c>
      <c r="M36" s="3585"/>
      <c r="N36" s="3585"/>
      <c r="O36" s="3586"/>
      <c r="P36" s="3585" t="s">
        <v>142</v>
      </c>
      <c r="Q36" s="2746" t="s">
        <v>1192</v>
      </c>
      <c r="R36" s="3582" t="s">
        <v>142</v>
      </c>
      <c r="S36" s="3586" t="s">
        <v>142</v>
      </c>
      <c r="T36" s="3585" t="s">
        <v>142</v>
      </c>
      <c r="U36" s="3585" t="s">
        <v>1191</v>
      </c>
      <c r="V36" s="3582" t="s">
        <v>142</v>
      </c>
      <c r="W36" s="3586"/>
      <c r="X36" s="2746" t="s">
        <v>1190</v>
      </c>
      <c r="Y36" s="3585" t="s">
        <v>1191</v>
      </c>
      <c r="Z36" s="3582" t="s">
        <v>142</v>
      </c>
      <c r="AA36" s="3586" t="s">
        <v>142</v>
      </c>
      <c r="AB36" s="3585" t="s">
        <v>142</v>
      </c>
      <c r="AC36" s="3585"/>
      <c r="AD36" s="3582"/>
      <c r="AE36" s="3103" t="s">
        <v>1190</v>
      </c>
      <c r="AF36" s="3585" t="s">
        <v>142</v>
      </c>
      <c r="AG36" s="3585"/>
      <c r="AH36" s="3585" t="s">
        <v>142</v>
      </c>
      <c r="AI36" s="3586" t="s">
        <v>142</v>
      </c>
      <c r="AJ36" s="3585" t="s">
        <v>142</v>
      </c>
      <c r="AK36" s="3585"/>
      <c r="AL36" s="2745"/>
      <c r="AM36" s="3586"/>
      <c r="AN36" s="3585"/>
      <c r="AO36" s="3585"/>
      <c r="AP36" s="3582" t="s">
        <v>142</v>
      </c>
      <c r="AQ36" s="2701" t="s">
        <v>142</v>
      </c>
      <c r="AR36" s="2787">
        <f t="shared" si="4"/>
        <v>14</v>
      </c>
      <c r="AS36" s="2788">
        <f t="shared" si="1"/>
        <v>2</v>
      </c>
      <c r="AT36" s="2789">
        <f t="shared" si="2"/>
        <v>2</v>
      </c>
      <c r="AU36" s="2790">
        <f t="shared" si="3"/>
        <v>1</v>
      </c>
      <c r="AV36" s="2788">
        <f t="shared" si="5"/>
        <v>19</v>
      </c>
      <c r="AW36" s="2791"/>
      <c r="AX36" s="2792" t="b">
        <f t="shared" si="10"/>
        <v>0</v>
      </c>
      <c r="AY36" s="2788"/>
    </row>
    <row r="37" spans="1:63" ht="21.75" customHeight="1">
      <c r="A37" s="2779" t="e">
        <f>#REF!*#REF!+#REF!*#REF!</f>
        <v>#REF!</v>
      </c>
      <c r="B37" s="2780" t="e">
        <f>IF(#REF!&gt;15,40,IF(#REF!&gt;12,35,IF(#REF!&gt;9,30,25)))</f>
        <v>#REF!</v>
      </c>
      <c r="C37" s="2781" t="s">
        <v>92</v>
      </c>
      <c r="D37" s="2781">
        <f t="shared" si="6"/>
        <v>50</v>
      </c>
      <c r="E37" s="2782" t="e">
        <f t="shared" si="7"/>
        <v>#REF!</v>
      </c>
      <c r="F37" s="2776" t="e">
        <f t="shared" si="8"/>
        <v>#REF!</v>
      </c>
      <c r="G37" s="2783">
        <f>('[7]LÁT A'!N12+'[7]LÁT D'!N12+'[7]LÁT C'!N12+'[7]LÁT B'!N12)*0.4+'[7]MỦ DÂY'!AH12*0.5</f>
        <v>0</v>
      </c>
      <c r="H37" s="2782" t="e">
        <f>G37*IF(F37="A",#REF!,IF(F37="B",#REF!,IF(F37="C",#REF!,#REF!)))</f>
        <v>#REF!</v>
      </c>
      <c r="I37" s="2784" t="e">
        <f t="shared" si="9"/>
        <v>#REF!</v>
      </c>
      <c r="J37" s="2785">
        <v>25</v>
      </c>
      <c r="K37" s="2785">
        <v>25</v>
      </c>
      <c r="L37" s="2785" t="s">
        <v>947</v>
      </c>
      <c r="M37" s="3584"/>
      <c r="N37" s="3582"/>
      <c r="O37" s="3586"/>
      <c r="P37" s="3585" t="s">
        <v>142</v>
      </c>
      <c r="Q37" s="2745" t="s">
        <v>1192</v>
      </c>
      <c r="R37" s="3585" t="s">
        <v>142</v>
      </c>
      <c r="S37" s="3586" t="s">
        <v>142</v>
      </c>
      <c r="T37" s="3585" t="s">
        <v>142</v>
      </c>
      <c r="U37" s="3582" t="s">
        <v>1191</v>
      </c>
      <c r="V37" s="3585"/>
      <c r="W37" s="3586" t="s">
        <v>142</v>
      </c>
      <c r="X37" s="2746" t="s">
        <v>1190</v>
      </c>
      <c r="Y37" s="3582"/>
      <c r="Z37" s="3585" t="s">
        <v>142</v>
      </c>
      <c r="AA37" s="3586" t="s">
        <v>142</v>
      </c>
      <c r="AB37" s="3585" t="s">
        <v>142</v>
      </c>
      <c r="AC37" s="3582"/>
      <c r="AD37" s="3585"/>
      <c r="AE37" s="3103" t="s">
        <v>1190</v>
      </c>
      <c r="AF37" s="3585" t="s">
        <v>142</v>
      </c>
      <c r="AG37" s="3582"/>
      <c r="AH37" s="3585" t="s">
        <v>142</v>
      </c>
      <c r="AI37" s="3586" t="s">
        <v>142</v>
      </c>
      <c r="AJ37" s="3585"/>
      <c r="AK37" s="3582"/>
      <c r="AL37" s="2745" t="s">
        <v>1190</v>
      </c>
      <c r="AM37" s="3586"/>
      <c r="AN37" s="3585" t="s">
        <v>142</v>
      </c>
      <c r="AO37" s="3585" t="s">
        <v>1191</v>
      </c>
      <c r="AP37" s="3585"/>
      <c r="AQ37" s="2701" t="s">
        <v>142</v>
      </c>
      <c r="AR37" s="2787">
        <f t="shared" si="4"/>
        <v>13</v>
      </c>
      <c r="AS37" s="2788">
        <f t="shared" si="1"/>
        <v>3</v>
      </c>
      <c r="AT37" s="2789">
        <f t="shared" si="2"/>
        <v>2</v>
      </c>
      <c r="AU37" s="2790">
        <f t="shared" si="3"/>
        <v>1</v>
      </c>
      <c r="AV37" s="2788">
        <f t="shared" si="5"/>
        <v>19</v>
      </c>
      <c r="AW37" s="2781"/>
      <c r="AX37" s="2792" t="b">
        <f t="shared" si="10"/>
        <v>0</v>
      </c>
      <c r="AY37" s="2788"/>
    </row>
    <row r="38" spans="1:63" ht="21.75" customHeight="1">
      <c r="A38" s="2779" t="e">
        <f>#REF!*#REF!+#REF!*#REF!</f>
        <v>#REF!</v>
      </c>
      <c r="B38" s="2780" t="e">
        <f>IF(#REF!&gt;15,40,IF(#REF!&gt;12,35,IF(#REF!&gt;9,30,25)))</f>
        <v>#REF!</v>
      </c>
      <c r="C38" s="2781" t="s">
        <v>92</v>
      </c>
      <c r="D38" s="2781">
        <f t="shared" si="6"/>
        <v>50</v>
      </c>
      <c r="E38" s="2782" t="e">
        <f t="shared" si="7"/>
        <v>#REF!</v>
      </c>
      <c r="F38" s="2776" t="e">
        <f t="shared" si="8"/>
        <v>#REF!</v>
      </c>
      <c r="G38" s="2783">
        <f>('[7]LÁT A'!N13+'[7]LÁT D'!N13+'[7]LÁT C'!N13+'[7]LÁT B'!N13)*0.4+'[7]MỦ DÂY'!AH13*0.5</f>
        <v>16</v>
      </c>
      <c r="H38" s="2782" t="e">
        <f>G38*IF(F38="A",#REF!,IF(F38="B",#REF!,IF(F38="C",#REF!,#REF!)))</f>
        <v>#REF!</v>
      </c>
      <c r="I38" s="2784" t="e">
        <f t="shared" si="9"/>
        <v>#REF!</v>
      </c>
      <c r="J38" s="2785">
        <v>26</v>
      </c>
      <c r="K38" s="2785">
        <v>26</v>
      </c>
      <c r="L38" s="2785" t="s">
        <v>963</v>
      </c>
      <c r="M38" s="3585"/>
      <c r="N38" s="3585"/>
      <c r="O38" s="3586"/>
      <c r="P38" s="3585" t="s">
        <v>142</v>
      </c>
      <c r="Q38" s="2746" t="s">
        <v>1192</v>
      </c>
      <c r="R38" s="3585"/>
      <c r="S38" s="3586" t="s">
        <v>142</v>
      </c>
      <c r="T38" s="3585" t="s">
        <v>142</v>
      </c>
      <c r="U38" s="3585" t="s">
        <v>1191</v>
      </c>
      <c r="V38" s="3585" t="s">
        <v>142</v>
      </c>
      <c r="W38" s="3586" t="s">
        <v>142</v>
      </c>
      <c r="X38" s="2746"/>
      <c r="Y38" s="3585" t="s">
        <v>1191</v>
      </c>
      <c r="Z38" s="3585" t="s">
        <v>142</v>
      </c>
      <c r="AA38" s="3586" t="s">
        <v>142</v>
      </c>
      <c r="AB38" s="3585" t="s">
        <v>142</v>
      </c>
      <c r="AC38" s="3585"/>
      <c r="AD38" s="3585"/>
      <c r="AE38" s="3103" t="s">
        <v>1190</v>
      </c>
      <c r="AF38" s="3585"/>
      <c r="AG38" s="3585" t="s">
        <v>1191</v>
      </c>
      <c r="AH38" s="3585" t="s">
        <v>142</v>
      </c>
      <c r="AI38" s="3586" t="s">
        <v>142</v>
      </c>
      <c r="AJ38" s="3585" t="s">
        <v>142</v>
      </c>
      <c r="AK38" s="3582"/>
      <c r="AL38" s="2745" t="s">
        <v>1190</v>
      </c>
      <c r="AM38" s="3586" t="s">
        <v>142</v>
      </c>
      <c r="AN38" s="3585" t="s">
        <v>142</v>
      </c>
      <c r="AO38" s="3585" t="s">
        <v>1191</v>
      </c>
      <c r="AP38" s="3585" t="s">
        <v>142</v>
      </c>
      <c r="AQ38" s="2701"/>
      <c r="AR38" s="2787">
        <f t="shared" si="4"/>
        <v>14</v>
      </c>
      <c r="AS38" s="2788">
        <f t="shared" si="1"/>
        <v>2</v>
      </c>
      <c r="AT38" s="2789">
        <f t="shared" si="2"/>
        <v>4</v>
      </c>
      <c r="AU38" s="2790">
        <f t="shared" si="3"/>
        <v>1</v>
      </c>
      <c r="AV38" s="2788">
        <f t="shared" si="5"/>
        <v>21</v>
      </c>
      <c r="AW38" s="2781"/>
      <c r="AX38" s="2792" t="b">
        <f t="shared" si="10"/>
        <v>0</v>
      </c>
      <c r="AY38" s="2788"/>
    </row>
    <row r="39" spans="1:63" ht="21.75" customHeight="1">
      <c r="A39" s="2779" t="e">
        <f>#REF!*#REF!+#REF!*#REF!</f>
        <v>#REF!</v>
      </c>
      <c r="B39" s="2780" t="e">
        <f>IF(#REF!&gt;15,40,IF(#REF!&gt;12,35,IF(#REF!&gt;9,30,25)))</f>
        <v>#REF!</v>
      </c>
      <c r="C39" s="2781" t="s">
        <v>92</v>
      </c>
      <c r="D39" s="2781">
        <f t="shared" si="6"/>
        <v>50</v>
      </c>
      <c r="E39" s="2782" t="e">
        <f t="shared" si="7"/>
        <v>#REF!</v>
      </c>
      <c r="F39" s="2776" t="e">
        <f t="shared" si="8"/>
        <v>#REF!</v>
      </c>
      <c r="G39" s="2783">
        <f>('[7]LÁT A'!N14+'[7]LÁT D'!N14+'[7]LÁT C'!N14+'[7]LÁT B'!N14)*0.4+'[7]MỦ DÂY'!AH14*0.5</f>
        <v>24</v>
      </c>
      <c r="H39" s="2782" t="e">
        <f>G39*IF(F39="A",#REF!,IF(F39="B",#REF!,IF(F39="C",#REF!,#REF!)))</f>
        <v>#REF!</v>
      </c>
      <c r="I39" s="2784" t="e">
        <f t="shared" si="9"/>
        <v>#REF!</v>
      </c>
      <c r="J39" s="2785">
        <v>27</v>
      </c>
      <c r="K39" s="2785">
        <v>27</v>
      </c>
      <c r="L39" s="2785" t="s">
        <v>756</v>
      </c>
      <c r="M39" s="3585" t="s">
        <v>142</v>
      </c>
      <c r="N39" s="3585" t="s">
        <v>142</v>
      </c>
      <c r="O39" s="3585" t="s">
        <v>142</v>
      </c>
      <c r="P39" s="3585" t="s">
        <v>142</v>
      </c>
      <c r="Q39" s="2746" t="s">
        <v>1190</v>
      </c>
      <c r="R39" s="3584" t="s">
        <v>142</v>
      </c>
      <c r="S39" s="3585" t="s">
        <v>142</v>
      </c>
      <c r="T39" s="3585" t="s">
        <v>142</v>
      </c>
      <c r="U39" s="3585" t="s">
        <v>142</v>
      </c>
      <c r="V39" s="3584" t="s">
        <v>142</v>
      </c>
      <c r="W39" s="3585" t="s">
        <v>142</v>
      </c>
      <c r="X39" s="2746" t="s">
        <v>1190</v>
      </c>
      <c r="Y39" s="3585" t="s">
        <v>142</v>
      </c>
      <c r="Z39" s="3584" t="s">
        <v>142</v>
      </c>
      <c r="AA39" s="3586" t="s">
        <v>142</v>
      </c>
      <c r="AB39" s="3585" t="s">
        <v>142</v>
      </c>
      <c r="AC39" s="3585" t="s">
        <v>142</v>
      </c>
      <c r="AD39" s="3584" t="s">
        <v>142</v>
      </c>
      <c r="AE39" s="2746" t="s">
        <v>1190</v>
      </c>
      <c r="AF39" s="3585" t="s">
        <v>142</v>
      </c>
      <c r="AG39" s="3585" t="s">
        <v>142</v>
      </c>
      <c r="AH39" s="3585" t="s">
        <v>142</v>
      </c>
      <c r="AI39" s="3585" t="s">
        <v>142</v>
      </c>
      <c r="AJ39" s="3585" t="s">
        <v>142</v>
      </c>
      <c r="AK39" s="3582" t="s">
        <v>142</v>
      </c>
      <c r="AL39" s="2745" t="s">
        <v>1190</v>
      </c>
      <c r="AM39" s="3585" t="s">
        <v>142</v>
      </c>
      <c r="AN39" s="3585" t="s">
        <v>142</v>
      </c>
      <c r="AO39" s="3585" t="s">
        <v>142</v>
      </c>
      <c r="AP39" s="3584" t="s">
        <v>142</v>
      </c>
      <c r="AQ39" s="2701" t="s">
        <v>142</v>
      </c>
      <c r="AR39" s="2787">
        <f t="shared" si="4"/>
        <v>27</v>
      </c>
      <c r="AS39" s="2788">
        <f t="shared" si="1"/>
        <v>4</v>
      </c>
      <c r="AT39" s="2789">
        <f t="shared" si="2"/>
        <v>0</v>
      </c>
      <c r="AU39" s="2790">
        <f t="shared" si="3"/>
        <v>0</v>
      </c>
      <c r="AV39" s="2788">
        <f t="shared" si="5"/>
        <v>31</v>
      </c>
      <c r="AW39" s="2791"/>
      <c r="AX39" s="2792">
        <f t="shared" si="10"/>
        <v>20</v>
      </c>
      <c r="AY39" s="2788"/>
    </row>
    <row r="40" spans="1:63" ht="21.75" customHeight="1">
      <c r="A40" s="2779" t="e">
        <f>#REF!*#REF!+#REF!*#REF!</f>
        <v>#REF!</v>
      </c>
      <c r="B40" s="2780" t="e">
        <f>IF(#REF!&gt;15,40,IF(#REF!&gt;12,35,IF(#REF!&gt;9,30,25)))</f>
        <v>#REF!</v>
      </c>
      <c r="C40" s="2781" t="s">
        <v>92</v>
      </c>
      <c r="D40" s="2781">
        <f t="shared" si="6"/>
        <v>50</v>
      </c>
      <c r="E40" s="2782" t="e">
        <f t="shared" si="7"/>
        <v>#REF!</v>
      </c>
      <c r="F40" s="2776" t="e">
        <f t="shared" si="8"/>
        <v>#REF!</v>
      </c>
      <c r="G40" s="2783">
        <f>('[7]LÁT A'!N15+'[7]LÁT D'!N15+'[7]LÁT C'!N15+'[7]LÁT B'!N15)*0.4+'[7]MỦ DÂY'!AH15*0.5</f>
        <v>24</v>
      </c>
      <c r="H40" s="2782" t="e">
        <f>G40*IF(F40="A",#REF!,IF(F40="B",#REF!,IF(F40="C",#REF!,#REF!)))</f>
        <v>#REF!</v>
      </c>
      <c r="I40" s="2784" t="e">
        <f t="shared" si="9"/>
        <v>#REF!</v>
      </c>
      <c r="J40" s="2785">
        <v>28</v>
      </c>
      <c r="K40" s="2785">
        <v>28</v>
      </c>
      <c r="L40" s="2785" t="s">
        <v>948</v>
      </c>
      <c r="M40" s="3585"/>
      <c r="N40" s="3584"/>
      <c r="O40" s="3585"/>
      <c r="P40" s="3585" t="s">
        <v>142</v>
      </c>
      <c r="Q40" s="2747" t="s">
        <v>1190</v>
      </c>
      <c r="R40" s="3584" t="s">
        <v>142</v>
      </c>
      <c r="S40" s="3585" t="s">
        <v>142</v>
      </c>
      <c r="T40" s="3585" t="s">
        <v>142</v>
      </c>
      <c r="U40" s="3584" t="s">
        <v>142</v>
      </c>
      <c r="V40" s="3584" t="s">
        <v>142</v>
      </c>
      <c r="W40" s="3585" t="s">
        <v>142</v>
      </c>
      <c r="X40" s="2746" t="s">
        <v>1190</v>
      </c>
      <c r="Y40" s="3584" t="s">
        <v>142</v>
      </c>
      <c r="Z40" s="3584" t="s">
        <v>142</v>
      </c>
      <c r="AA40" s="3582"/>
      <c r="AB40" s="3585" t="s">
        <v>142</v>
      </c>
      <c r="AC40" s="3584" t="s">
        <v>142</v>
      </c>
      <c r="AD40" s="3584" t="s">
        <v>142</v>
      </c>
      <c r="AE40" s="2746" t="s">
        <v>1190</v>
      </c>
      <c r="AF40" s="3585" t="s">
        <v>142</v>
      </c>
      <c r="AG40" s="3584" t="s">
        <v>142</v>
      </c>
      <c r="AH40" s="3585" t="s">
        <v>142</v>
      </c>
      <c r="AI40" s="3585" t="s">
        <v>142</v>
      </c>
      <c r="AJ40" s="3585" t="s">
        <v>142</v>
      </c>
      <c r="AK40" s="3582"/>
      <c r="AL40" s="2745"/>
      <c r="AM40" s="3585" t="s">
        <v>142</v>
      </c>
      <c r="AN40" s="3585" t="s">
        <v>142</v>
      </c>
      <c r="AO40" s="3585"/>
      <c r="AP40" s="3584"/>
      <c r="AQ40" s="2701" t="s">
        <v>142</v>
      </c>
      <c r="AR40" s="2787">
        <f t="shared" si="4"/>
        <v>20</v>
      </c>
      <c r="AS40" s="2788">
        <f t="shared" si="1"/>
        <v>3</v>
      </c>
      <c r="AT40" s="2789">
        <f t="shared" si="2"/>
        <v>0</v>
      </c>
      <c r="AU40" s="2790">
        <f t="shared" si="3"/>
        <v>0</v>
      </c>
      <c r="AV40" s="2788">
        <f t="shared" si="5"/>
        <v>23</v>
      </c>
      <c r="AW40" s="2781"/>
      <c r="AX40" s="2792" t="b">
        <f t="shared" si="10"/>
        <v>0</v>
      </c>
      <c r="AY40" s="2788"/>
    </row>
    <row r="41" spans="1:63" ht="21.75" customHeight="1">
      <c r="A41" s="2779" t="e">
        <f>#REF!*#REF!+#REF!*#REF!</f>
        <v>#REF!</v>
      </c>
      <c r="B41" s="2780" t="e">
        <f>IF(#REF!&gt;15,40,IF(#REF!&gt;12,35,IF(#REF!&gt;9,30,25)))</f>
        <v>#REF!</v>
      </c>
      <c r="C41" s="2781" t="s">
        <v>92</v>
      </c>
      <c r="D41" s="2781">
        <f t="shared" si="6"/>
        <v>50</v>
      </c>
      <c r="E41" s="2782" t="e">
        <f t="shared" si="7"/>
        <v>#REF!</v>
      </c>
      <c r="F41" s="2776" t="e">
        <f t="shared" si="8"/>
        <v>#REF!</v>
      </c>
      <c r="G41" s="2783">
        <f>('[7]LÁT A'!N16+'[7]LÁT D'!N16+'[7]LÁT C'!N16+'[7]LÁT B'!N16)*0.4+'[7]MỦ DÂY'!AH16*0.5</f>
        <v>0</v>
      </c>
      <c r="H41" s="2782" t="e">
        <f>G41*IF(F41="A",#REF!,IF(F41="B",#REF!,IF(F41="C",#REF!,#REF!)))</f>
        <v>#REF!</v>
      </c>
      <c r="I41" s="2784" t="e">
        <f t="shared" si="9"/>
        <v>#REF!</v>
      </c>
      <c r="J41" s="2785">
        <v>29</v>
      </c>
      <c r="K41" s="2785">
        <v>29</v>
      </c>
      <c r="L41" s="2785" t="s">
        <v>949</v>
      </c>
      <c r="M41" s="3585"/>
      <c r="N41" s="3584"/>
      <c r="O41" s="3585"/>
      <c r="P41" s="3585" t="s">
        <v>142</v>
      </c>
      <c r="Q41" s="2747" t="s">
        <v>1190</v>
      </c>
      <c r="R41" s="3585" t="s">
        <v>142</v>
      </c>
      <c r="S41" s="3585" t="s">
        <v>142</v>
      </c>
      <c r="T41" s="3585" t="s">
        <v>142</v>
      </c>
      <c r="U41" s="3584" t="s">
        <v>142</v>
      </c>
      <c r="V41" s="3585" t="s">
        <v>142</v>
      </c>
      <c r="W41" s="3585" t="s">
        <v>142</v>
      </c>
      <c r="X41" s="2746" t="s">
        <v>1190</v>
      </c>
      <c r="Y41" s="3584" t="s">
        <v>142</v>
      </c>
      <c r="Z41" s="3585" t="s">
        <v>142</v>
      </c>
      <c r="AA41" s="3582"/>
      <c r="AB41" s="3585" t="s">
        <v>142</v>
      </c>
      <c r="AC41" s="3584" t="s">
        <v>142</v>
      </c>
      <c r="AD41" s="3585" t="s">
        <v>142</v>
      </c>
      <c r="AE41" s="2746" t="s">
        <v>1190</v>
      </c>
      <c r="AF41" s="3585" t="s">
        <v>142</v>
      </c>
      <c r="AG41" s="3584" t="s">
        <v>142</v>
      </c>
      <c r="AH41" s="3585" t="s">
        <v>142</v>
      </c>
      <c r="AI41" s="3585" t="s">
        <v>142</v>
      </c>
      <c r="AJ41" s="3585" t="s">
        <v>142</v>
      </c>
      <c r="AK41" s="3582"/>
      <c r="AL41" s="2745"/>
      <c r="AM41" s="3585" t="s">
        <v>142</v>
      </c>
      <c r="AN41" s="3585" t="s">
        <v>142</v>
      </c>
      <c r="AO41" s="3585"/>
      <c r="AP41" s="3585"/>
      <c r="AQ41" s="2701" t="s">
        <v>142</v>
      </c>
      <c r="AR41" s="2787">
        <f t="shared" si="4"/>
        <v>20</v>
      </c>
      <c r="AS41" s="2788">
        <f t="shared" si="1"/>
        <v>3</v>
      </c>
      <c r="AT41" s="2789">
        <f t="shared" si="2"/>
        <v>0</v>
      </c>
      <c r="AU41" s="2790">
        <f t="shared" si="3"/>
        <v>0</v>
      </c>
      <c r="AV41" s="2788">
        <f t="shared" si="5"/>
        <v>23</v>
      </c>
      <c r="AW41" s="2791"/>
      <c r="AX41" s="2792" t="b">
        <f t="shared" si="10"/>
        <v>0</v>
      </c>
      <c r="AY41" s="2788"/>
      <c r="BK41" s="2766">
        <f>106-23</f>
        <v>83</v>
      </c>
    </row>
    <row r="42" spans="1:63" ht="21.75" customHeight="1">
      <c r="A42" s="2779" t="e">
        <f>#REF!*#REF!+#REF!*#REF!</f>
        <v>#REF!</v>
      </c>
      <c r="B42" s="2780" t="e">
        <f>IF(#REF!&gt;15,40,IF(#REF!&gt;12,35,IF(#REF!&gt;9,30,25)))</f>
        <v>#REF!</v>
      </c>
      <c r="C42" s="2781" t="s">
        <v>92</v>
      </c>
      <c r="D42" s="2781">
        <f t="shared" si="6"/>
        <v>50</v>
      </c>
      <c r="E42" s="2782" t="e">
        <f t="shared" si="7"/>
        <v>#REF!</v>
      </c>
      <c r="F42" s="2776" t="e">
        <f t="shared" si="8"/>
        <v>#REF!</v>
      </c>
      <c r="G42" s="2783">
        <f>('[7]LÁT A'!N17+'[7]LÁT D'!N17+'[7]LÁT C'!N17+'[7]LÁT B'!N17)*0.4+'[7]MỦ DÂY'!AH17*0.5</f>
        <v>0</v>
      </c>
      <c r="H42" s="2782" t="e">
        <f>G42*IF(F42="A",#REF!,IF(F42="B",#REF!,IF(F42="C",#REF!,#REF!)))</f>
        <v>#REF!</v>
      </c>
      <c r="I42" s="2784" t="e">
        <f t="shared" si="9"/>
        <v>#REF!</v>
      </c>
      <c r="J42" s="2785">
        <v>30</v>
      </c>
      <c r="K42" s="2785">
        <v>30</v>
      </c>
      <c r="L42" s="2785" t="s">
        <v>529</v>
      </c>
      <c r="M42" s="3585" t="s">
        <v>142</v>
      </c>
      <c r="N42" s="3585"/>
      <c r="O42" s="3585"/>
      <c r="P42" s="3584" t="s">
        <v>142</v>
      </c>
      <c r="Q42" s="2746" t="s">
        <v>1190</v>
      </c>
      <c r="R42" s="3585" t="s">
        <v>142</v>
      </c>
      <c r="S42" s="3585" t="s">
        <v>142</v>
      </c>
      <c r="T42" s="3584" t="s">
        <v>142</v>
      </c>
      <c r="U42" s="3585" t="s">
        <v>142</v>
      </c>
      <c r="V42" s="3585" t="s">
        <v>142</v>
      </c>
      <c r="W42" s="3585" t="s">
        <v>142</v>
      </c>
      <c r="X42" s="2747" t="s">
        <v>1190</v>
      </c>
      <c r="Y42" s="3585" t="s">
        <v>142</v>
      </c>
      <c r="Z42" s="3585" t="s">
        <v>142</v>
      </c>
      <c r="AA42" s="3582" t="s">
        <v>142</v>
      </c>
      <c r="AB42" s="3584" t="s">
        <v>142</v>
      </c>
      <c r="AC42" s="3585" t="s">
        <v>142</v>
      </c>
      <c r="AD42" s="3585" t="s">
        <v>142</v>
      </c>
      <c r="AE42" s="2746" t="s">
        <v>1190</v>
      </c>
      <c r="AF42" s="3584" t="s">
        <v>142</v>
      </c>
      <c r="AG42" s="3585" t="s">
        <v>142</v>
      </c>
      <c r="AH42" s="3584" t="s">
        <v>142</v>
      </c>
      <c r="AI42" s="3585" t="s">
        <v>142</v>
      </c>
      <c r="AJ42" s="3584" t="s">
        <v>142</v>
      </c>
      <c r="AK42" s="3582" t="s">
        <v>142</v>
      </c>
      <c r="AL42" s="2745" t="s">
        <v>1190</v>
      </c>
      <c r="AM42" s="3585"/>
      <c r="AN42" s="3584" t="s">
        <v>142</v>
      </c>
      <c r="AO42" s="3584" t="s">
        <v>142</v>
      </c>
      <c r="AP42" s="3585" t="s">
        <v>142</v>
      </c>
      <c r="AQ42" s="2701" t="s">
        <v>142</v>
      </c>
      <c r="AR42" s="2787">
        <f t="shared" si="4"/>
        <v>24</v>
      </c>
      <c r="AS42" s="2788">
        <f t="shared" si="1"/>
        <v>4</v>
      </c>
      <c r="AT42" s="2789">
        <f t="shared" si="2"/>
        <v>0</v>
      </c>
      <c r="AU42" s="2790">
        <f t="shared" si="3"/>
        <v>0</v>
      </c>
      <c r="AV42" s="2788">
        <f t="shared" si="5"/>
        <v>28</v>
      </c>
      <c r="AW42" s="2781"/>
      <c r="AX42" s="2792">
        <f t="shared" si="10"/>
        <v>10</v>
      </c>
      <c r="AY42" s="2788"/>
    </row>
    <row r="43" spans="1:63" ht="21.75" customHeight="1">
      <c r="A43" s="2779" t="e">
        <f>#REF!*#REF!+#REF!*#REF!</f>
        <v>#REF!</v>
      </c>
      <c r="B43" s="2780" t="e">
        <f>IF(#REF!&gt;15,40,IF(#REF!&gt;12,35,IF(#REF!&gt;9,30,25)))</f>
        <v>#REF!</v>
      </c>
      <c r="C43" s="2781" t="s">
        <v>92</v>
      </c>
      <c r="D43" s="2781">
        <f t="shared" si="6"/>
        <v>50</v>
      </c>
      <c r="E43" s="2782" t="e">
        <f t="shared" si="7"/>
        <v>#REF!</v>
      </c>
      <c r="F43" s="2776" t="e">
        <f t="shared" si="8"/>
        <v>#REF!</v>
      </c>
      <c r="G43" s="2783">
        <f>('[7]LÁT A'!N18+'[7]LÁT D'!N18+'[7]LÁT C'!N18+'[7]LÁT B'!N18)*0.4+'[7]MỦ DÂY'!AH18*0.5</f>
        <v>16</v>
      </c>
      <c r="H43" s="2782" t="e">
        <f>G43*IF(F43="A",#REF!,IF(F43="B",#REF!,IF(F43="C",#REF!,#REF!)))</f>
        <v>#REF!</v>
      </c>
      <c r="I43" s="2784" t="e">
        <f t="shared" si="9"/>
        <v>#REF!</v>
      </c>
      <c r="J43" s="2785">
        <v>31</v>
      </c>
      <c r="K43" s="2785">
        <v>31</v>
      </c>
      <c r="L43" s="2785" t="s">
        <v>653</v>
      </c>
      <c r="M43" s="3585"/>
      <c r="N43" s="3585"/>
      <c r="O43" s="3585"/>
      <c r="P43" s="3585" t="s">
        <v>142</v>
      </c>
      <c r="Q43" s="2746" t="s">
        <v>1190</v>
      </c>
      <c r="R43" s="3585" t="s">
        <v>142</v>
      </c>
      <c r="S43" s="3585" t="s">
        <v>142</v>
      </c>
      <c r="T43" s="3585" t="s">
        <v>142</v>
      </c>
      <c r="U43" s="3585" t="s">
        <v>142</v>
      </c>
      <c r="V43" s="3585" t="s">
        <v>142</v>
      </c>
      <c r="W43" s="3585" t="s">
        <v>142</v>
      </c>
      <c r="X43" s="2746" t="s">
        <v>1190</v>
      </c>
      <c r="Y43" s="3585" t="s">
        <v>142</v>
      </c>
      <c r="Z43" s="3585" t="s">
        <v>142</v>
      </c>
      <c r="AA43" s="3582" t="s">
        <v>142</v>
      </c>
      <c r="AB43" s="3585" t="s">
        <v>142</v>
      </c>
      <c r="AC43" s="3585" t="s">
        <v>142</v>
      </c>
      <c r="AD43" s="3585"/>
      <c r="AE43" s="2746" t="s">
        <v>1190</v>
      </c>
      <c r="AF43" s="3585" t="s">
        <v>142</v>
      </c>
      <c r="AG43" s="3585" t="s">
        <v>142</v>
      </c>
      <c r="AH43" s="3585" t="s">
        <v>142</v>
      </c>
      <c r="AI43" s="3585" t="s">
        <v>142</v>
      </c>
      <c r="AJ43" s="3585" t="s">
        <v>142</v>
      </c>
      <c r="AK43" s="3582"/>
      <c r="AL43" s="2745" t="s">
        <v>1190</v>
      </c>
      <c r="AM43" s="3585"/>
      <c r="AN43" s="3585" t="s">
        <v>142</v>
      </c>
      <c r="AO43" s="3585" t="s">
        <v>142</v>
      </c>
      <c r="AP43" s="3585" t="s">
        <v>142</v>
      </c>
      <c r="AQ43" s="2701" t="s">
        <v>142</v>
      </c>
      <c r="AR43" s="2787">
        <f t="shared" si="4"/>
        <v>21</v>
      </c>
      <c r="AS43" s="2788">
        <f t="shared" si="1"/>
        <v>4</v>
      </c>
      <c r="AT43" s="2789">
        <f t="shared" si="2"/>
        <v>0</v>
      </c>
      <c r="AU43" s="2790">
        <f t="shared" si="3"/>
        <v>0</v>
      </c>
      <c r="AV43" s="2788">
        <f t="shared" si="5"/>
        <v>25</v>
      </c>
      <c r="AW43" s="2781"/>
      <c r="AX43" s="2792">
        <f t="shared" si="10"/>
        <v>10</v>
      </c>
      <c r="AY43" s="2788"/>
    </row>
    <row r="44" spans="1:63" ht="21.75" customHeight="1">
      <c r="A44" s="2779" t="e">
        <f>#REF!*#REF!+#REF!*#REF!</f>
        <v>#REF!</v>
      </c>
      <c r="B44" s="2780" t="e">
        <f>IF(#REF!&gt;15,40,IF(#REF!&gt;12,35,IF(#REF!&gt;9,30,25)))</f>
        <v>#REF!</v>
      </c>
      <c r="C44" s="2781" t="s">
        <v>92</v>
      </c>
      <c r="D44" s="2781">
        <f t="shared" si="6"/>
        <v>50</v>
      </c>
      <c r="E44" s="2782" t="e">
        <f t="shared" si="7"/>
        <v>#REF!</v>
      </c>
      <c r="F44" s="2776" t="e">
        <f t="shared" si="8"/>
        <v>#REF!</v>
      </c>
      <c r="G44" s="2783">
        <f>('[7]LÁT A'!N23+'[7]LÁT D'!N23+'[7]LÁT C'!N23+'[7]LÁT B'!N23)*0.4+'[7]MỦ DÂY'!AH23*0.5</f>
        <v>16</v>
      </c>
      <c r="H44" s="2782" t="e">
        <f>G44*IF(F44="A",#REF!,IF(F44="B",#REF!,IF(F44="C",#REF!,#REF!)))</f>
        <v>#REF!</v>
      </c>
      <c r="I44" s="2784" t="e">
        <f t="shared" si="9"/>
        <v>#REF!</v>
      </c>
      <c r="J44" s="2785">
        <v>32</v>
      </c>
      <c r="K44" s="2785">
        <v>32</v>
      </c>
      <c r="L44" s="2785" t="s">
        <v>986</v>
      </c>
      <c r="M44" s="3585"/>
      <c r="N44" s="3585"/>
      <c r="O44" s="3585"/>
      <c r="P44" s="3585" t="s">
        <v>142</v>
      </c>
      <c r="Q44" s="2746" t="s">
        <v>1190</v>
      </c>
      <c r="R44" s="3585" t="s">
        <v>142</v>
      </c>
      <c r="S44" s="3585" t="s">
        <v>142</v>
      </c>
      <c r="T44" s="3585" t="s">
        <v>142</v>
      </c>
      <c r="U44" s="3585" t="s">
        <v>142</v>
      </c>
      <c r="V44" s="3585" t="s">
        <v>142</v>
      </c>
      <c r="W44" s="3585" t="s">
        <v>142</v>
      </c>
      <c r="X44" s="2746" t="s">
        <v>1190</v>
      </c>
      <c r="Y44" s="3585" t="s">
        <v>142</v>
      </c>
      <c r="Z44" s="3585" t="s">
        <v>142</v>
      </c>
      <c r="AA44" s="3582" t="s">
        <v>142</v>
      </c>
      <c r="AB44" s="3585" t="s">
        <v>142</v>
      </c>
      <c r="AC44" s="3585" t="s">
        <v>142</v>
      </c>
      <c r="AD44" s="3585"/>
      <c r="AE44" s="2746" t="s">
        <v>1190</v>
      </c>
      <c r="AF44" s="3585" t="s">
        <v>142</v>
      </c>
      <c r="AG44" s="3585" t="s">
        <v>142</v>
      </c>
      <c r="AH44" s="3585" t="s">
        <v>142</v>
      </c>
      <c r="AI44" s="3585" t="s">
        <v>142</v>
      </c>
      <c r="AJ44" s="3585" t="s">
        <v>142</v>
      </c>
      <c r="AK44" s="3582"/>
      <c r="AL44" s="2745" t="s">
        <v>1190</v>
      </c>
      <c r="AM44" s="3585"/>
      <c r="AN44" s="3585" t="s">
        <v>142</v>
      </c>
      <c r="AO44" s="3585" t="s">
        <v>142</v>
      </c>
      <c r="AP44" s="3585" t="s">
        <v>142</v>
      </c>
      <c r="AQ44" s="2701" t="s">
        <v>142</v>
      </c>
      <c r="AR44" s="2787">
        <f t="shared" si="4"/>
        <v>21</v>
      </c>
      <c r="AS44" s="2788">
        <f t="shared" si="1"/>
        <v>4</v>
      </c>
      <c r="AT44" s="2789">
        <f t="shared" si="2"/>
        <v>0</v>
      </c>
      <c r="AU44" s="2790">
        <f t="shared" si="3"/>
        <v>0</v>
      </c>
      <c r="AV44" s="2788">
        <f t="shared" si="5"/>
        <v>25</v>
      </c>
      <c r="AW44" s="2791"/>
      <c r="AX44" s="2792">
        <f t="shared" si="10"/>
        <v>10</v>
      </c>
      <c r="AY44" s="2788"/>
    </row>
    <row r="45" spans="1:63" ht="21.75" customHeight="1">
      <c r="A45" s="2779" t="e">
        <f>#REF!*#REF!+#REF!*#REF!</f>
        <v>#REF!</v>
      </c>
      <c r="B45" s="2780" t="e">
        <f>IF(#REF!&gt;15,40,IF(#REF!&gt;12,35,IF(#REF!&gt;9,30,25)))</f>
        <v>#REF!</v>
      </c>
      <c r="C45" s="2781" t="s">
        <v>92</v>
      </c>
      <c r="D45" s="2781">
        <f t="shared" si="6"/>
        <v>50</v>
      </c>
      <c r="E45" s="2782" t="e">
        <f t="shared" si="7"/>
        <v>#REF!</v>
      </c>
      <c r="F45" s="2776" t="e">
        <f t="shared" si="8"/>
        <v>#REF!</v>
      </c>
      <c r="G45" s="2783">
        <f>('[7]LÁT A'!N20+'[7]LÁT D'!N20+'[7]LÁT C'!N20+'[7]LÁT B'!N20)*0.4+'[7]MỦ DÂY'!AH20*0.5</f>
        <v>12.8</v>
      </c>
      <c r="H45" s="2782" t="e">
        <f>G45*IF(F45="A",#REF!,IF(F45="B",#REF!,IF(F45="C",#REF!,#REF!)))</f>
        <v>#REF!</v>
      </c>
      <c r="I45" s="2784" t="e">
        <f t="shared" si="9"/>
        <v>#REF!</v>
      </c>
      <c r="J45" s="2785">
        <v>33</v>
      </c>
      <c r="K45" s="2785">
        <v>33</v>
      </c>
      <c r="L45" s="2785" t="s">
        <v>1188</v>
      </c>
      <c r="M45" s="3585"/>
      <c r="N45" s="3585"/>
      <c r="O45" s="3585"/>
      <c r="P45" s="3585" t="s">
        <v>142</v>
      </c>
      <c r="Q45" s="2746" t="s">
        <v>1190</v>
      </c>
      <c r="R45" s="3585"/>
      <c r="S45" s="3585" t="s">
        <v>142</v>
      </c>
      <c r="T45" s="3585" t="s">
        <v>142</v>
      </c>
      <c r="U45" s="3585" t="s">
        <v>142</v>
      </c>
      <c r="V45" s="3585" t="s">
        <v>142</v>
      </c>
      <c r="W45" s="3585" t="s">
        <v>142</v>
      </c>
      <c r="X45" s="2746"/>
      <c r="Y45" s="3585" t="s">
        <v>142</v>
      </c>
      <c r="Z45" s="3585" t="s">
        <v>142</v>
      </c>
      <c r="AA45" s="3585" t="s">
        <v>142</v>
      </c>
      <c r="AB45" s="3585" t="s">
        <v>142</v>
      </c>
      <c r="AC45" s="3585"/>
      <c r="AD45" s="3585"/>
      <c r="AE45" s="2746" t="s">
        <v>1190</v>
      </c>
      <c r="AF45" s="3585"/>
      <c r="AG45" s="3585" t="s">
        <v>142</v>
      </c>
      <c r="AH45" s="3585" t="s">
        <v>142</v>
      </c>
      <c r="AI45" s="3585" t="s">
        <v>142</v>
      </c>
      <c r="AJ45" s="3585" t="s">
        <v>142</v>
      </c>
      <c r="AK45" s="3582"/>
      <c r="AL45" s="2745" t="s">
        <v>1190</v>
      </c>
      <c r="AM45" s="3585" t="s">
        <v>142</v>
      </c>
      <c r="AN45" s="3585" t="s">
        <v>142</v>
      </c>
      <c r="AO45" s="3585" t="s">
        <v>142</v>
      </c>
      <c r="AP45" s="3585" t="s">
        <v>142</v>
      </c>
      <c r="AQ45" s="2701"/>
      <c r="AR45" s="2787">
        <f t="shared" si="4"/>
        <v>18</v>
      </c>
      <c r="AS45" s="2788">
        <f t="shared" si="1"/>
        <v>3</v>
      </c>
      <c r="AT45" s="2789">
        <f t="shared" si="2"/>
        <v>0</v>
      </c>
      <c r="AU45" s="2790">
        <f t="shared" si="3"/>
        <v>0</v>
      </c>
      <c r="AV45" s="2788">
        <f t="shared" si="5"/>
        <v>21</v>
      </c>
      <c r="AW45" s="2781"/>
      <c r="AX45" s="2792" t="b">
        <f t="shared" si="10"/>
        <v>0</v>
      </c>
      <c r="AY45" s="2788"/>
    </row>
    <row r="46" spans="1:63" ht="21.75" customHeight="1">
      <c r="A46" s="2779" t="e">
        <f>#REF!*#REF!+#REF!*#REF!</f>
        <v>#REF!</v>
      </c>
      <c r="B46" s="2780" t="e">
        <f>IF(#REF!&gt;15,40,IF(#REF!&gt;12,35,IF(#REF!&gt;9,30,25)))</f>
        <v>#REF!</v>
      </c>
      <c r="C46" s="2781" t="s">
        <v>92</v>
      </c>
      <c r="D46" s="2781">
        <f t="shared" si="6"/>
        <v>50</v>
      </c>
      <c r="E46" s="2782" t="e">
        <f t="shared" si="7"/>
        <v>#REF!</v>
      </c>
      <c r="F46" s="2776" t="e">
        <f t="shared" si="8"/>
        <v>#REF!</v>
      </c>
      <c r="G46" s="2783">
        <f>('[7]LÁT A'!N21+'[7]LÁT D'!N21+'[7]LÁT C'!N21+'[7]LÁT B'!N21)*0.4+'[7]MỦ DÂY'!AH21*0.5</f>
        <v>44.800000000000004</v>
      </c>
      <c r="H46" s="2782" t="e">
        <f>G46*IF(F46="A",#REF!,IF(F46="B",#REF!,IF(F46="C",#REF!,#REF!)))</f>
        <v>#REF!</v>
      </c>
      <c r="I46" s="2784" t="e">
        <f t="shared" si="9"/>
        <v>#REF!</v>
      </c>
      <c r="J46" s="2785">
        <v>34</v>
      </c>
      <c r="K46" s="2785">
        <v>34</v>
      </c>
      <c r="L46" s="2785" t="s">
        <v>1189</v>
      </c>
      <c r="M46" s="3585" t="s">
        <v>142</v>
      </c>
      <c r="N46" s="3585"/>
      <c r="O46" s="3585"/>
      <c r="P46" s="3585" t="s">
        <v>142</v>
      </c>
      <c r="Q46" s="2746" t="s">
        <v>1190</v>
      </c>
      <c r="R46" s="3585" t="s">
        <v>142</v>
      </c>
      <c r="S46" s="3585" t="s">
        <v>142</v>
      </c>
      <c r="T46" s="3585" t="s">
        <v>142</v>
      </c>
      <c r="U46" s="3585" t="s">
        <v>142</v>
      </c>
      <c r="V46" s="3585" t="s">
        <v>142</v>
      </c>
      <c r="W46" s="3585" t="s">
        <v>142</v>
      </c>
      <c r="X46" s="2746" t="s">
        <v>1190</v>
      </c>
      <c r="Y46" s="3585" t="s">
        <v>142</v>
      </c>
      <c r="Z46" s="3585" t="s">
        <v>142</v>
      </c>
      <c r="AA46" s="3582" t="s">
        <v>142</v>
      </c>
      <c r="AB46" s="3585" t="s">
        <v>142</v>
      </c>
      <c r="AC46" s="3585"/>
      <c r="AD46" s="3585"/>
      <c r="AE46" s="2746" t="s">
        <v>1190</v>
      </c>
      <c r="AF46" s="3585" t="s">
        <v>142</v>
      </c>
      <c r="AG46" s="3585" t="s">
        <v>142</v>
      </c>
      <c r="AH46" s="3584" t="s">
        <v>142</v>
      </c>
      <c r="AI46" s="3585" t="s">
        <v>142</v>
      </c>
      <c r="AJ46" s="3585" t="s">
        <v>142</v>
      </c>
      <c r="AK46" s="3582"/>
      <c r="AL46" s="2745" t="s">
        <v>1190</v>
      </c>
      <c r="AM46" s="3585" t="s">
        <v>142</v>
      </c>
      <c r="AN46" s="3585" t="s">
        <v>142</v>
      </c>
      <c r="AO46" s="3584" t="s">
        <v>142</v>
      </c>
      <c r="AP46" s="3585" t="s">
        <v>142</v>
      </c>
      <c r="AQ46" s="2701" t="s">
        <v>142</v>
      </c>
      <c r="AR46" s="2787">
        <f t="shared" si="4"/>
        <v>22</v>
      </c>
      <c r="AS46" s="2788">
        <f t="shared" si="1"/>
        <v>4</v>
      </c>
      <c r="AT46" s="2789">
        <f t="shared" si="2"/>
        <v>0</v>
      </c>
      <c r="AU46" s="2790">
        <f t="shared" si="3"/>
        <v>0</v>
      </c>
      <c r="AV46" s="2788">
        <f t="shared" si="5"/>
        <v>26</v>
      </c>
      <c r="AW46" s="2781"/>
      <c r="AX46" s="2792">
        <f t="shared" si="10"/>
        <v>10</v>
      </c>
      <c r="AY46" s="2788"/>
    </row>
    <row r="47" spans="1:63" ht="21.75" customHeight="1">
      <c r="A47" s="2779" t="e">
        <f>#REF!*#REF!+#REF!*#REF!</f>
        <v>#REF!</v>
      </c>
      <c r="B47" s="2780" t="e">
        <f>IF(#REF!&gt;15,40,IF(#REF!&gt;12,35,IF(#REF!&gt;9,30,25)))</f>
        <v>#REF!</v>
      </c>
      <c r="C47" s="2781" t="s">
        <v>92</v>
      </c>
      <c r="D47" s="2781">
        <f t="shared" si="6"/>
        <v>50</v>
      </c>
      <c r="E47" s="2782" t="e">
        <f t="shared" si="7"/>
        <v>#REF!</v>
      </c>
      <c r="F47" s="2776" t="e">
        <f t="shared" si="8"/>
        <v>#REF!</v>
      </c>
      <c r="G47" s="2783">
        <f>('[7]LÁT A'!N22+'[7]LÁT D'!N22+'[7]LÁT C'!N22+'[7]LÁT B'!N22)*0.4+'[7]MỦ DÂY'!AH22*0.5</f>
        <v>0</v>
      </c>
      <c r="H47" s="2782" t="e">
        <f>G47*IF(F47="A",#REF!,IF(F47="B",#REF!,IF(F47="C",#REF!,#REF!)))</f>
        <v>#REF!</v>
      </c>
      <c r="I47" s="2784" t="e">
        <f t="shared" si="9"/>
        <v>#REF!</v>
      </c>
      <c r="J47" s="2785">
        <v>35</v>
      </c>
      <c r="K47" s="2785">
        <v>35</v>
      </c>
      <c r="L47" s="2785" t="s">
        <v>740</v>
      </c>
      <c r="M47" s="3585" t="s">
        <v>142</v>
      </c>
      <c r="N47" s="3585"/>
      <c r="O47" s="3585"/>
      <c r="P47" s="3585" t="s">
        <v>142</v>
      </c>
      <c r="Q47" s="2746" t="s">
        <v>1190</v>
      </c>
      <c r="R47" s="3585" t="s">
        <v>142</v>
      </c>
      <c r="S47" s="3585" t="s">
        <v>142</v>
      </c>
      <c r="T47" s="3585" t="s">
        <v>142</v>
      </c>
      <c r="U47" s="3585" t="s">
        <v>142</v>
      </c>
      <c r="V47" s="3585" t="s">
        <v>142</v>
      </c>
      <c r="W47" s="3585" t="s">
        <v>142</v>
      </c>
      <c r="X47" s="2746" t="s">
        <v>1190</v>
      </c>
      <c r="Y47" s="3585" t="s">
        <v>142</v>
      </c>
      <c r="Z47" s="3585" t="s">
        <v>142</v>
      </c>
      <c r="AA47" s="3582" t="s">
        <v>142</v>
      </c>
      <c r="AB47" s="3585" t="s">
        <v>142</v>
      </c>
      <c r="AC47" s="3585"/>
      <c r="AD47" s="3585"/>
      <c r="AE47" s="2746" t="s">
        <v>1190</v>
      </c>
      <c r="AF47" s="3585" t="s">
        <v>142</v>
      </c>
      <c r="AG47" s="3585" t="s">
        <v>142</v>
      </c>
      <c r="AH47" s="3585" t="s">
        <v>142</v>
      </c>
      <c r="AI47" s="3585" t="s">
        <v>142</v>
      </c>
      <c r="AJ47" s="3585"/>
      <c r="AK47" s="3582" t="s">
        <v>142</v>
      </c>
      <c r="AL47" s="2745" t="s">
        <v>1190</v>
      </c>
      <c r="AM47" s="3585"/>
      <c r="AN47" s="3585" t="s">
        <v>142</v>
      </c>
      <c r="AO47" s="3585" t="s">
        <v>142</v>
      </c>
      <c r="AP47" s="3585" t="s">
        <v>142</v>
      </c>
      <c r="AQ47" s="2701" t="s">
        <v>142</v>
      </c>
      <c r="AR47" s="2787">
        <f t="shared" si="4"/>
        <v>21</v>
      </c>
      <c r="AS47" s="2788">
        <f t="shared" si="1"/>
        <v>4</v>
      </c>
      <c r="AT47" s="2789">
        <f t="shared" si="2"/>
        <v>0</v>
      </c>
      <c r="AU47" s="2790">
        <f t="shared" si="3"/>
        <v>0</v>
      </c>
      <c r="AV47" s="2788">
        <f t="shared" si="5"/>
        <v>25</v>
      </c>
      <c r="AW47" s="2791"/>
      <c r="AX47" s="2792">
        <f t="shared" si="10"/>
        <v>10</v>
      </c>
      <c r="AY47" s="2788"/>
    </row>
    <row r="48" spans="1:63" ht="21.75" customHeight="1">
      <c r="A48" s="2779" t="e">
        <f>#REF!*#REF!+#REF!*#REF!</f>
        <v>#REF!</v>
      </c>
      <c r="B48" s="2780" t="e">
        <f>IF(#REF!&gt;15,40,IF(#REF!&gt;12,35,IF(#REF!&gt;9,30,25)))</f>
        <v>#REF!</v>
      </c>
      <c r="C48" s="2781" t="s">
        <v>92</v>
      </c>
      <c r="D48" s="2781">
        <f t="shared" si="6"/>
        <v>50</v>
      </c>
      <c r="E48" s="2782" t="e">
        <f t="shared" si="7"/>
        <v>#REF!</v>
      </c>
      <c r="F48" s="2776" t="e">
        <f t="shared" si="8"/>
        <v>#REF!</v>
      </c>
      <c r="G48" s="2783">
        <f>('[7]LÁT A'!N23+'[7]LÁT D'!N23+'[7]LÁT C'!N23+'[7]LÁT B'!N23)*0.4+'[7]MỦ DÂY'!AH23*0.5</f>
        <v>16</v>
      </c>
      <c r="H48" s="2782" t="e">
        <f>G48*IF(F48="A",#REF!,IF(F48="B",#REF!,IF(F48="C",#REF!,#REF!)))</f>
        <v>#REF!</v>
      </c>
      <c r="I48" s="2784" t="e">
        <f t="shared" si="9"/>
        <v>#REF!</v>
      </c>
      <c r="J48" s="2785">
        <v>36</v>
      </c>
      <c r="K48" s="2785">
        <v>36</v>
      </c>
      <c r="L48" s="2785" t="s">
        <v>950</v>
      </c>
      <c r="M48" s="3585" t="s">
        <v>142</v>
      </c>
      <c r="N48" s="3585" t="s">
        <v>142</v>
      </c>
      <c r="O48" s="3585" t="s">
        <v>142</v>
      </c>
      <c r="P48" s="3585" t="s">
        <v>142</v>
      </c>
      <c r="Q48" s="2746" t="s">
        <v>1190</v>
      </c>
      <c r="R48" s="3585" t="s">
        <v>142</v>
      </c>
      <c r="S48" s="3585" t="s">
        <v>142</v>
      </c>
      <c r="T48" s="3585" t="s">
        <v>142</v>
      </c>
      <c r="U48" s="3585" t="s">
        <v>142</v>
      </c>
      <c r="V48" s="3585" t="s">
        <v>142</v>
      </c>
      <c r="W48" s="3585" t="s">
        <v>142</v>
      </c>
      <c r="X48" s="2746" t="s">
        <v>1190</v>
      </c>
      <c r="Y48" s="3585" t="s">
        <v>142</v>
      </c>
      <c r="Z48" s="3585" t="s">
        <v>142</v>
      </c>
      <c r="AA48" s="3582" t="s">
        <v>142</v>
      </c>
      <c r="AB48" s="3585" t="s">
        <v>142</v>
      </c>
      <c r="AC48" s="3585" t="s">
        <v>142</v>
      </c>
      <c r="AD48" s="3585" t="s">
        <v>142</v>
      </c>
      <c r="AE48" s="2746" t="s">
        <v>1190</v>
      </c>
      <c r="AF48" s="3585" t="s">
        <v>142</v>
      </c>
      <c r="AG48" s="3585" t="s">
        <v>142</v>
      </c>
      <c r="AH48" s="3582" t="s">
        <v>142</v>
      </c>
      <c r="AI48" s="3585" t="s">
        <v>142</v>
      </c>
      <c r="AJ48" s="3585" t="s">
        <v>142</v>
      </c>
      <c r="AK48" s="3582" t="s">
        <v>142</v>
      </c>
      <c r="AL48" s="2745" t="s">
        <v>1190</v>
      </c>
      <c r="AM48" s="3585" t="s">
        <v>142</v>
      </c>
      <c r="AN48" s="3585" t="s">
        <v>142</v>
      </c>
      <c r="AO48" s="3582" t="s">
        <v>142</v>
      </c>
      <c r="AP48" s="3585" t="s">
        <v>142</v>
      </c>
      <c r="AQ48" s="2701" t="s">
        <v>142</v>
      </c>
      <c r="AR48" s="2787">
        <f t="shared" si="4"/>
        <v>27</v>
      </c>
      <c r="AS48" s="2788">
        <f t="shared" si="1"/>
        <v>4</v>
      </c>
      <c r="AT48" s="2789">
        <f t="shared" si="2"/>
        <v>0</v>
      </c>
      <c r="AU48" s="2790">
        <f t="shared" si="3"/>
        <v>0</v>
      </c>
      <c r="AV48" s="2788">
        <f t="shared" si="5"/>
        <v>31</v>
      </c>
      <c r="AW48" s="2781"/>
      <c r="AX48" s="2792">
        <f t="shared" si="10"/>
        <v>20</v>
      </c>
      <c r="AY48" s="2788"/>
    </row>
    <row r="49" spans="1:51" ht="28.5" customHeight="1">
      <c r="A49" s="2779" t="e">
        <f>#REF!*#REF!+#REF!*#REF!</f>
        <v>#REF!</v>
      </c>
      <c r="B49" s="2780" t="e">
        <f>IF(#REF!&gt;15,40,IF(#REF!&gt;12,35,IF(#REF!&gt;9,30,25)))</f>
        <v>#REF!</v>
      </c>
      <c r="C49" s="2781"/>
      <c r="D49" s="2781"/>
      <c r="E49" s="2782"/>
      <c r="F49" s="2776"/>
      <c r="G49" s="2783"/>
      <c r="H49" s="2782"/>
      <c r="I49" s="2784"/>
      <c r="J49" s="2782" t="s">
        <v>92</v>
      </c>
      <c r="K49" s="3859" t="s">
        <v>322</v>
      </c>
      <c r="L49" s="3860"/>
      <c r="M49" s="2703">
        <f t="shared" ref="M49:AQ49" si="11">COUNTIF(M50:M64,"X")+COUNTIF(M50:M64,"CN")</f>
        <v>15</v>
      </c>
      <c r="N49" s="2703">
        <f t="shared" si="11"/>
        <v>15</v>
      </c>
      <c r="O49" s="2703">
        <f t="shared" si="11"/>
        <v>15</v>
      </c>
      <c r="P49" s="2703">
        <f t="shared" si="11"/>
        <v>15</v>
      </c>
      <c r="Q49" s="2761">
        <f t="shared" si="11"/>
        <v>15</v>
      </c>
      <c r="R49" s="2703">
        <f t="shared" si="11"/>
        <v>15</v>
      </c>
      <c r="S49" s="2703">
        <f t="shared" si="11"/>
        <v>15</v>
      </c>
      <c r="T49" s="2703">
        <f t="shared" si="11"/>
        <v>15</v>
      </c>
      <c r="U49" s="2703">
        <f t="shared" si="11"/>
        <v>13</v>
      </c>
      <c r="V49" s="2703">
        <f t="shared" si="11"/>
        <v>15</v>
      </c>
      <c r="W49" s="2703">
        <f t="shared" si="11"/>
        <v>15</v>
      </c>
      <c r="X49" s="2761">
        <f t="shared" si="11"/>
        <v>15</v>
      </c>
      <c r="Y49" s="2703">
        <f t="shared" si="11"/>
        <v>15</v>
      </c>
      <c r="Z49" s="2703">
        <f t="shared" si="11"/>
        <v>12</v>
      </c>
      <c r="AA49" s="2703">
        <f t="shared" si="11"/>
        <v>13</v>
      </c>
      <c r="AB49" s="2703">
        <f t="shared" si="11"/>
        <v>15</v>
      </c>
      <c r="AC49" s="2703">
        <f t="shared" si="11"/>
        <v>14</v>
      </c>
      <c r="AD49" s="2703">
        <f t="shared" si="11"/>
        <v>15</v>
      </c>
      <c r="AE49" s="2761">
        <f t="shared" si="11"/>
        <v>14</v>
      </c>
      <c r="AF49" s="3417">
        <f t="shared" si="11"/>
        <v>11</v>
      </c>
      <c r="AG49" s="2703">
        <f t="shared" si="11"/>
        <v>12</v>
      </c>
      <c r="AH49" s="2703">
        <f t="shared" si="11"/>
        <v>15</v>
      </c>
      <c r="AI49" s="2703">
        <f t="shared" si="11"/>
        <v>15</v>
      </c>
      <c r="AJ49" s="2703">
        <f t="shared" si="11"/>
        <v>15</v>
      </c>
      <c r="AK49" s="2703">
        <f t="shared" si="11"/>
        <v>15</v>
      </c>
      <c r="AL49" s="2761">
        <f t="shared" si="11"/>
        <v>15</v>
      </c>
      <c r="AM49" s="2703">
        <f t="shared" si="11"/>
        <v>15</v>
      </c>
      <c r="AN49" s="2703">
        <f t="shared" si="11"/>
        <v>15</v>
      </c>
      <c r="AO49" s="2703">
        <f t="shared" si="11"/>
        <v>15</v>
      </c>
      <c r="AP49" s="2703">
        <f t="shared" si="11"/>
        <v>15</v>
      </c>
      <c r="AQ49" s="2703">
        <f t="shared" si="11"/>
        <v>15</v>
      </c>
      <c r="AR49" s="2794">
        <f>SUM(AR50:AR64)</f>
        <v>390</v>
      </c>
      <c r="AS49" s="2794">
        <f>SUM(AS50:AS64)</f>
        <v>59</v>
      </c>
      <c r="AT49" s="2794">
        <f>SUM(AT50:AT64)</f>
        <v>0</v>
      </c>
      <c r="AU49" s="2794">
        <f>SUM(AU50:AU64)</f>
        <v>0</v>
      </c>
      <c r="AV49" s="2794">
        <f>SUM(AV50:AV64)</f>
        <v>449</v>
      </c>
      <c r="AW49" s="2795"/>
      <c r="AX49" s="2795">
        <f t="shared" ref="AX49" si="12">SUM(AX50:AX64)</f>
        <v>220</v>
      </c>
      <c r="AY49" s="2795"/>
    </row>
    <row r="50" spans="1:51" ht="28.5" customHeight="1">
      <c r="A50" s="2779" t="e">
        <f>#REF!*#REF!+#REF!*#REF!</f>
        <v>#REF!</v>
      </c>
      <c r="B50" s="2780" t="e">
        <f>IF(#REF!&gt;15,40,IF(#REF!&gt;12,35,IF(#REF!&gt;9,30,25)))</f>
        <v>#REF!</v>
      </c>
      <c r="C50" s="2781" t="s">
        <v>92</v>
      </c>
      <c r="D50" s="2781">
        <f t="shared" si="6"/>
        <v>50</v>
      </c>
      <c r="E50" s="2782" t="e">
        <f t="shared" si="7"/>
        <v>#REF!</v>
      </c>
      <c r="F50" s="2776" t="e">
        <f t="shared" si="8"/>
        <v>#REF!</v>
      </c>
      <c r="G50" s="2783">
        <f>('[7]LÁT A'!N33+'[7]LÁT D'!N33+'[7]LÁT C'!N33+'[7]LÁT B'!N33)*0.4+'[7]MỦ DÂY'!AH33*0.5</f>
        <v>19.200000000000003</v>
      </c>
      <c r="H50" s="2782" t="e">
        <f>G50*IF(F50="A",#REF!,IF(F50="B",#REF!,IF(F50="C",#REF!,#REF!)))</f>
        <v>#REF!</v>
      </c>
      <c r="I50" s="2784" t="e">
        <f t="shared" si="9"/>
        <v>#REF!</v>
      </c>
      <c r="J50" s="2785">
        <v>37</v>
      </c>
      <c r="K50" s="2785">
        <v>1</v>
      </c>
      <c r="L50" s="2796" t="s">
        <v>987</v>
      </c>
      <c r="M50" s="3587" t="s">
        <v>142</v>
      </c>
      <c r="N50" s="3419" t="s">
        <v>142</v>
      </c>
      <c r="O50" s="3419" t="s">
        <v>142</v>
      </c>
      <c r="P50" s="3419" t="s">
        <v>142</v>
      </c>
      <c r="Q50" s="3418" t="s">
        <v>1190</v>
      </c>
      <c r="R50" s="3419" t="s">
        <v>142</v>
      </c>
      <c r="S50" s="3419" t="s">
        <v>142</v>
      </c>
      <c r="T50" s="3419" t="s">
        <v>142</v>
      </c>
      <c r="U50" s="3419" t="s">
        <v>142</v>
      </c>
      <c r="V50" s="3419" t="s">
        <v>142</v>
      </c>
      <c r="W50" s="3419" t="s">
        <v>142</v>
      </c>
      <c r="X50" s="3418" t="s">
        <v>1190</v>
      </c>
      <c r="Y50" s="3419" t="s">
        <v>142</v>
      </c>
      <c r="Z50" s="3419"/>
      <c r="AA50" s="3419" t="s">
        <v>142</v>
      </c>
      <c r="AB50" s="3419" t="s">
        <v>142</v>
      </c>
      <c r="AC50" s="3419" t="s">
        <v>142</v>
      </c>
      <c r="AD50" s="3419" t="s">
        <v>142</v>
      </c>
      <c r="AE50" s="3418" t="s">
        <v>1190</v>
      </c>
      <c r="AF50" s="3419" t="s">
        <v>142</v>
      </c>
      <c r="AG50" s="3419" t="s">
        <v>142</v>
      </c>
      <c r="AH50" s="3419" t="s">
        <v>142</v>
      </c>
      <c r="AI50" s="3419" t="s">
        <v>142</v>
      </c>
      <c r="AJ50" s="3419" t="s">
        <v>142</v>
      </c>
      <c r="AK50" s="3419" t="s">
        <v>142</v>
      </c>
      <c r="AL50" s="3418" t="s">
        <v>1190</v>
      </c>
      <c r="AM50" s="3419" t="s">
        <v>142</v>
      </c>
      <c r="AN50" s="3419" t="s">
        <v>142</v>
      </c>
      <c r="AO50" s="3419" t="s">
        <v>142</v>
      </c>
      <c r="AP50" s="3419" t="s">
        <v>142</v>
      </c>
      <c r="AQ50" s="3588" t="s">
        <v>142</v>
      </c>
      <c r="AR50" s="2787">
        <f>COUNTIF(M50:AQ50,"X")</f>
        <v>26</v>
      </c>
      <c r="AS50" s="2788">
        <f>+COUNTIF(M50:AQ50,"CN")</f>
        <v>4</v>
      </c>
      <c r="AT50" s="2797">
        <f>COUNTIF(M50:AQ50,"X1")</f>
        <v>0</v>
      </c>
      <c r="AU50" s="2788">
        <f>+COUNTIF(M50:AQ50,"CN1")</f>
        <v>0</v>
      </c>
      <c r="AV50" s="2798">
        <f>+SUM(AR50:AU50)</f>
        <v>30</v>
      </c>
      <c r="AW50" s="2781"/>
      <c r="AX50" s="2792">
        <f t="shared" ref="AX50:AX64" si="13">IF(AV50=31,20,IF(AV50&gt;=25,10))</f>
        <v>10</v>
      </c>
      <c r="AY50" s="2798"/>
    </row>
    <row r="51" spans="1:51" ht="28.5" customHeight="1">
      <c r="A51" s="2779" t="e">
        <f>#REF!*#REF!+#REF!*#REF!</f>
        <v>#REF!</v>
      </c>
      <c r="B51" s="2780" t="e">
        <f>IF(#REF!&gt;15,40,IF(#REF!&gt;12,35,IF(#REF!&gt;9,30,25)))</f>
        <v>#REF!</v>
      </c>
      <c r="C51" s="2781" t="s">
        <v>92</v>
      </c>
      <c r="D51" s="2781">
        <f t="shared" si="6"/>
        <v>50</v>
      </c>
      <c r="E51" s="2782" t="e">
        <f t="shared" si="7"/>
        <v>#REF!</v>
      </c>
      <c r="F51" s="2776" t="e">
        <f t="shared" si="8"/>
        <v>#REF!</v>
      </c>
      <c r="G51" s="2783">
        <f>('[7]LÁT A'!N34+'[7]LÁT D'!N34+'[7]LÁT C'!N34+'[7]LÁT B'!N34)*0.4+'[7]MỦ DÂY'!AH34*0.5</f>
        <v>22.400000000000002</v>
      </c>
      <c r="H51" s="2782" t="e">
        <f>G51*IF(F51="A",#REF!,IF(F51="B",#REF!,IF(F51="C",#REF!,#REF!)))</f>
        <v>#REF!</v>
      </c>
      <c r="I51" s="2784" t="e">
        <f t="shared" si="9"/>
        <v>#REF!</v>
      </c>
      <c r="J51" s="2785">
        <v>38</v>
      </c>
      <c r="K51" s="2785">
        <v>2</v>
      </c>
      <c r="L51" s="2796" t="s">
        <v>988</v>
      </c>
      <c r="M51" s="3419" t="s">
        <v>142</v>
      </c>
      <c r="N51" s="3419" t="s">
        <v>142</v>
      </c>
      <c r="O51" s="3419" t="s">
        <v>142</v>
      </c>
      <c r="P51" s="3419" t="s">
        <v>142</v>
      </c>
      <c r="Q51" s="3589" t="s">
        <v>1190</v>
      </c>
      <c r="R51" s="3419" t="s">
        <v>142</v>
      </c>
      <c r="S51" s="3419" t="s">
        <v>142</v>
      </c>
      <c r="T51" s="3419" t="s">
        <v>142</v>
      </c>
      <c r="U51" s="3419" t="s">
        <v>142</v>
      </c>
      <c r="V51" s="3419" t="s">
        <v>142</v>
      </c>
      <c r="W51" s="3419" t="s">
        <v>142</v>
      </c>
      <c r="X51" s="3418" t="s">
        <v>1190</v>
      </c>
      <c r="Y51" s="3419" t="s">
        <v>142</v>
      </c>
      <c r="Z51" s="3419" t="s">
        <v>142</v>
      </c>
      <c r="AA51" s="3419" t="s">
        <v>142</v>
      </c>
      <c r="AB51" s="3419" t="s">
        <v>142</v>
      </c>
      <c r="AC51" s="3419" t="s">
        <v>142</v>
      </c>
      <c r="AD51" s="3419" t="s">
        <v>142</v>
      </c>
      <c r="AE51" s="3418" t="s">
        <v>1190</v>
      </c>
      <c r="AF51" s="3419" t="s">
        <v>142</v>
      </c>
      <c r="AG51" s="3419" t="s">
        <v>142</v>
      </c>
      <c r="AH51" s="3419" t="s">
        <v>142</v>
      </c>
      <c r="AI51" s="3419" t="s">
        <v>142</v>
      </c>
      <c r="AJ51" s="3419" t="s">
        <v>142</v>
      </c>
      <c r="AK51" s="3419" t="s">
        <v>142</v>
      </c>
      <c r="AL51" s="3418" t="s">
        <v>1190</v>
      </c>
      <c r="AM51" s="3419" t="s">
        <v>142</v>
      </c>
      <c r="AN51" s="3419" t="s">
        <v>142</v>
      </c>
      <c r="AO51" s="3419" t="s">
        <v>142</v>
      </c>
      <c r="AP51" s="3419" t="s">
        <v>142</v>
      </c>
      <c r="AQ51" s="3588" t="s">
        <v>142</v>
      </c>
      <c r="AR51" s="2787">
        <f t="shared" ref="AR51:AR64" si="14">COUNTIF(M51:AQ51,"X")</f>
        <v>27</v>
      </c>
      <c r="AS51" s="2788">
        <f t="shared" ref="AS51:AS64" si="15">+COUNTIF(M51:AQ51,"CN")</f>
        <v>4</v>
      </c>
      <c r="AT51" s="2797">
        <f t="shared" ref="AT51:AT64" si="16">COUNTIF(M51:AQ51,"X1")</f>
        <v>0</v>
      </c>
      <c r="AU51" s="2788">
        <f t="shared" ref="AU51:AU64" si="17">+COUNTIF(M51:AQ51,"CN1")</f>
        <v>0</v>
      </c>
      <c r="AV51" s="2798">
        <f t="shared" ref="AV51:AV64" si="18">+SUM(AR51:AU51)</f>
        <v>31</v>
      </c>
      <c r="AW51" s="2781"/>
      <c r="AX51" s="2792">
        <f t="shared" si="13"/>
        <v>20</v>
      </c>
      <c r="AY51" s="2798"/>
    </row>
    <row r="52" spans="1:51" ht="28.5" customHeight="1">
      <c r="A52" s="2779" t="e">
        <f>#REF!*#REF!+#REF!*#REF!</f>
        <v>#REF!</v>
      </c>
      <c r="B52" s="2780" t="e">
        <f>IF(#REF!&gt;15,40,IF(#REF!&gt;12,35,IF(#REF!&gt;9,30,25)))</f>
        <v>#REF!</v>
      </c>
      <c r="C52" s="2781" t="s">
        <v>92</v>
      </c>
      <c r="D52" s="2781">
        <f t="shared" si="6"/>
        <v>50</v>
      </c>
      <c r="E52" s="2782" t="e">
        <f t="shared" si="7"/>
        <v>#REF!</v>
      </c>
      <c r="F52" s="2776" t="e">
        <f t="shared" si="8"/>
        <v>#REF!</v>
      </c>
      <c r="G52" s="2783">
        <f>('[7]LÁT A'!N35+'[7]LÁT D'!N35+'[7]LÁT C'!N35+'[7]LÁT B'!N35)*0.4+'[7]MỦ DÂY'!AH35*0.5</f>
        <v>17.600000000000001</v>
      </c>
      <c r="H52" s="2782" t="e">
        <f>G52*IF(F52="A",#REF!,IF(F52="B",#REF!,IF(F52="C",#REF!,#REF!)))</f>
        <v>#REF!</v>
      </c>
      <c r="I52" s="2784" t="e">
        <f t="shared" si="9"/>
        <v>#REF!</v>
      </c>
      <c r="J52" s="2785">
        <v>39</v>
      </c>
      <c r="K52" s="2785">
        <v>3</v>
      </c>
      <c r="L52" s="2796" t="s">
        <v>964</v>
      </c>
      <c r="M52" s="3419" t="s">
        <v>142</v>
      </c>
      <c r="N52" s="3419" t="s">
        <v>142</v>
      </c>
      <c r="O52" s="3419" t="s">
        <v>142</v>
      </c>
      <c r="P52" s="3419" t="s">
        <v>142</v>
      </c>
      <c r="Q52" s="3418" t="s">
        <v>1190</v>
      </c>
      <c r="R52" s="3419" t="s">
        <v>142</v>
      </c>
      <c r="S52" s="3419" t="s">
        <v>142</v>
      </c>
      <c r="T52" s="3419" t="s">
        <v>142</v>
      </c>
      <c r="U52" s="3419" t="s">
        <v>142</v>
      </c>
      <c r="V52" s="3419" t="s">
        <v>142</v>
      </c>
      <c r="W52" s="3419" t="s">
        <v>142</v>
      </c>
      <c r="X52" s="3418" t="s">
        <v>1190</v>
      </c>
      <c r="Y52" s="3419" t="s">
        <v>142</v>
      </c>
      <c r="Z52" s="3419" t="s">
        <v>142</v>
      </c>
      <c r="AA52" s="3419" t="s">
        <v>142</v>
      </c>
      <c r="AB52" s="3419" t="s">
        <v>142</v>
      </c>
      <c r="AC52" s="3419" t="s">
        <v>142</v>
      </c>
      <c r="AD52" s="3419" t="s">
        <v>142</v>
      </c>
      <c r="AE52" s="3418" t="s">
        <v>1190</v>
      </c>
      <c r="AF52" s="3419" t="s">
        <v>142</v>
      </c>
      <c r="AG52" s="3419" t="s">
        <v>142</v>
      </c>
      <c r="AH52" s="3419" t="s">
        <v>142</v>
      </c>
      <c r="AI52" s="3419" t="s">
        <v>142</v>
      </c>
      <c r="AJ52" s="3419" t="s">
        <v>142</v>
      </c>
      <c r="AK52" s="3419" t="s">
        <v>142</v>
      </c>
      <c r="AL52" s="3418" t="s">
        <v>1190</v>
      </c>
      <c r="AM52" s="3419" t="s">
        <v>142</v>
      </c>
      <c r="AN52" s="3419" t="s">
        <v>142</v>
      </c>
      <c r="AO52" s="3419" t="s">
        <v>142</v>
      </c>
      <c r="AP52" s="3419" t="s">
        <v>142</v>
      </c>
      <c r="AQ52" s="3588" t="s">
        <v>142</v>
      </c>
      <c r="AR52" s="2787">
        <f>COUNTIF(M52:AQ52,"X")</f>
        <v>27</v>
      </c>
      <c r="AS52" s="2788">
        <f>+COUNTIF(M52:AQ52,"CN")</f>
        <v>4</v>
      </c>
      <c r="AT52" s="2797">
        <f>COUNTIF(M52:AQ52,"X1")</f>
        <v>0</v>
      </c>
      <c r="AU52" s="2788">
        <f>+COUNTIF(M52:AQ52,"CN1")</f>
        <v>0</v>
      </c>
      <c r="AV52" s="2798">
        <f t="shared" si="18"/>
        <v>31</v>
      </c>
      <c r="AW52" s="2781"/>
      <c r="AX52" s="2792">
        <f t="shared" si="13"/>
        <v>20</v>
      </c>
      <c r="AY52" s="2798"/>
    </row>
    <row r="53" spans="1:51" ht="28.5" customHeight="1">
      <c r="A53" s="2779" t="e">
        <f>#REF!*#REF!+#REF!*#REF!</f>
        <v>#REF!</v>
      </c>
      <c r="B53" s="2780" t="e">
        <f>IF(#REF!&gt;15,40,IF(#REF!&gt;12,35,IF(#REF!&gt;9,30,25)))</f>
        <v>#REF!</v>
      </c>
      <c r="C53" s="2781" t="s">
        <v>92</v>
      </c>
      <c r="D53" s="2781">
        <f t="shared" si="6"/>
        <v>50</v>
      </c>
      <c r="E53" s="2782" t="e">
        <f t="shared" si="7"/>
        <v>#REF!</v>
      </c>
      <c r="F53" s="2776" t="e">
        <f t="shared" si="8"/>
        <v>#REF!</v>
      </c>
      <c r="G53" s="2783">
        <f>('[7]LÁT A'!N36+'[7]LÁT D'!N36+'[7]LÁT C'!N36+'[7]LÁT B'!N36)*0.4+'[7]MỦ DÂY'!AH36*0.5</f>
        <v>16</v>
      </c>
      <c r="H53" s="2782" t="e">
        <f>G53*IF(F53="A",#REF!,IF(F53="B",#REF!,IF(F53="C",#REF!,#REF!)))</f>
        <v>#REF!</v>
      </c>
      <c r="I53" s="2784" t="e">
        <f t="shared" si="9"/>
        <v>#REF!</v>
      </c>
      <c r="J53" s="2785">
        <v>40</v>
      </c>
      <c r="K53" s="2785">
        <v>4</v>
      </c>
      <c r="L53" s="2796" t="s">
        <v>965</v>
      </c>
      <c r="M53" s="3419" t="s">
        <v>142</v>
      </c>
      <c r="N53" s="3419" t="s">
        <v>142</v>
      </c>
      <c r="O53" s="3419" t="s">
        <v>142</v>
      </c>
      <c r="P53" s="3419" t="s">
        <v>142</v>
      </c>
      <c r="Q53" s="3418" t="s">
        <v>1190</v>
      </c>
      <c r="R53" s="3419" t="s">
        <v>142</v>
      </c>
      <c r="S53" s="3419" t="s">
        <v>142</v>
      </c>
      <c r="T53" s="3419" t="s">
        <v>142</v>
      </c>
      <c r="U53" s="3419" t="s">
        <v>142</v>
      </c>
      <c r="V53" s="3419" t="s">
        <v>142</v>
      </c>
      <c r="W53" s="3419" t="s">
        <v>142</v>
      </c>
      <c r="X53" s="3418" t="s">
        <v>1190</v>
      </c>
      <c r="Y53" s="3419" t="s">
        <v>142</v>
      </c>
      <c r="Z53" s="3419" t="s">
        <v>142</v>
      </c>
      <c r="AA53" s="3419" t="s">
        <v>142</v>
      </c>
      <c r="AB53" s="3419" t="s">
        <v>142</v>
      </c>
      <c r="AC53" s="3419" t="s">
        <v>142</v>
      </c>
      <c r="AD53" s="3419" t="s">
        <v>142</v>
      </c>
      <c r="AE53" s="3418" t="s">
        <v>1190</v>
      </c>
      <c r="AF53" s="3419" t="s">
        <v>142</v>
      </c>
      <c r="AG53" s="3419" t="s">
        <v>142</v>
      </c>
      <c r="AH53" s="3419" t="s">
        <v>142</v>
      </c>
      <c r="AI53" s="3419" t="s">
        <v>142</v>
      </c>
      <c r="AJ53" s="3419" t="s">
        <v>142</v>
      </c>
      <c r="AK53" s="3419" t="s">
        <v>142</v>
      </c>
      <c r="AL53" s="3418" t="s">
        <v>1190</v>
      </c>
      <c r="AM53" s="3419" t="s">
        <v>142</v>
      </c>
      <c r="AN53" s="3419" t="s">
        <v>142</v>
      </c>
      <c r="AO53" s="3419" t="s">
        <v>142</v>
      </c>
      <c r="AP53" s="3419" t="s">
        <v>142</v>
      </c>
      <c r="AQ53" s="3588" t="s">
        <v>142</v>
      </c>
      <c r="AR53" s="2787">
        <f t="shared" si="14"/>
        <v>27</v>
      </c>
      <c r="AS53" s="2788">
        <f t="shared" si="15"/>
        <v>4</v>
      </c>
      <c r="AT53" s="2797">
        <f t="shared" si="16"/>
        <v>0</v>
      </c>
      <c r="AU53" s="2788">
        <f t="shared" si="17"/>
        <v>0</v>
      </c>
      <c r="AV53" s="2798">
        <f t="shared" si="18"/>
        <v>31</v>
      </c>
      <c r="AW53" s="2781"/>
      <c r="AX53" s="2792">
        <f t="shared" si="13"/>
        <v>20</v>
      </c>
      <c r="AY53" s="2798"/>
    </row>
    <row r="54" spans="1:51" ht="28.5" customHeight="1">
      <c r="A54" s="2779" t="e">
        <f>#REF!*#REF!+#REF!*#REF!</f>
        <v>#REF!</v>
      </c>
      <c r="B54" s="2780" t="e">
        <f>IF(#REF!&gt;15,40,IF(#REF!&gt;12,35,IF(#REF!&gt;9,30,25)))</f>
        <v>#REF!</v>
      </c>
      <c r="C54" s="2781" t="s">
        <v>92</v>
      </c>
      <c r="D54" s="2781">
        <f t="shared" si="6"/>
        <v>50</v>
      </c>
      <c r="E54" s="2782" t="e">
        <f t="shared" si="7"/>
        <v>#REF!</v>
      </c>
      <c r="F54" s="2776" t="e">
        <f t="shared" si="8"/>
        <v>#REF!</v>
      </c>
      <c r="G54" s="2783">
        <f>('[7]LÁT A'!N37+'[7]LÁT D'!N37+'[7]LÁT C'!N37+'[7]LÁT B'!N37)*0.4+'[7]MỦ DÂY'!AH37*0.5</f>
        <v>17.600000000000001</v>
      </c>
      <c r="H54" s="2782" t="e">
        <f>G54*IF(F54="A",#REF!,IF(F54="B",#REF!,IF(F54="C",#REF!,#REF!)))</f>
        <v>#REF!</v>
      </c>
      <c r="I54" s="2784" t="e">
        <f t="shared" si="9"/>
        <v>#REF!</v>
      </c>
      <c r="J54" s="2785">
        <v>41</v>
      </c>
      <c r="K54" s="2785">
        <v>5</v>
      </c>
      <c r="L54" s="2796" t="s">
        <v>952</v>
      </c>
      <c r="M54" s="3419" t="s">
        <v>142</v>
      </c>
      <c r="N54" s="3419" t="s">
        <v>142</v>
      </c>
      <c r="O54" s="3419" t="s">
        <v>142</v>
      </c>
      <c r="P54" s="3419" t="s">
        <v>142</v>
      </c>
      <c r="Q54" s="3418" t="s">
        <v>1190</v>
      </c>
      <c r="R54" s="3419" t="s">
        <v>142</v>
      </c>
      <c r="S54" s="3419" t="s">
        <v>142</v>
      </c>
      <c r="T54" s="3419" t="s">
        <v>142</v>
      </c>
      <c r="U54" s="3419" t="s">
        <v>142</v>
      </c>
      <c r="V54" s="3419" t="s">
        <v>142</v>
      </c>
      <c r="W54" s="3419" t="s">
        <v>142</v>
      </c>
      <c r="X54" s="3418" t="s">
        <v>1190</v>
      </c>
      <c r="Y54" s="3419" t="s">
        <v>142</v>
      </c>
      <c r="Z54" s="3419" t="s">
        <v>142</v>
      </c>
      <c r="AA54" s="3419" t="s">
        <v>142</v>
      </c>
      <c r="AB54" s="3419" t="s">
        <v>142</v>
      </c>
      <c r="AC54" s="3419" t="s">
        <v>142</v>
      </c>
      <c r="AD54" s="3419" t="s">
        <v>142</v>
      </c>
      <c r="AE54" s="3418" t="s">
        <v>1190</v>
      </c>
      <c r="AF54" s="3419" t="s">
        <v>142</v>
      </c>
      <c r="AG54" s="3419" t="s">
        <v>142</v>
      </c>
      <c r="AH54" s="3419" t="s">
        <v>142</v>
      </c>
      <c r="AI54" s="3419" t="s">
        <v>142</v>
      </c>
      <c r="AJ54" s="3419" t="s">
        <v>142</v>
      </c>
      <c r="AK54" s="3419" t="s">
        <v>142</v>
      </c>
      <c r="AL54" s="3418" t="s">
        <v>1190</v>
      </c>
      <c r="AM54" s="3419" t="s">
        <v>142</v>
      </c>
      <c r="AN54" s="3419" t="s">
        <v>142</v>
      </c>
      <c r="AO54" s="3419" t="s">
        <v>142</v>
      </c>
      <c r="AP54" s="3419" t="s">
        <v>142</v>
      </c>
      <c r="AQ54" s="3588" t="s">
        <v>142</v>
      </c>
      <c r="AR54" s="2787">
        <f t="shared" si="14"/>
        <v>27</v>
      </c>
      <c r="AS54" s="2788">
        <f t="shared" si="15"/>
        <v>4</v>
      </c>
      <c r="AT54" s="2797">
        <f t="shared" si="16"/>
        <v>0</v>
      </c>
      <c r="AU54" s="2788">
        <f t="shared" si="17"/>
        <v>0</v>
      </c>
      <c r="AV54" s="2798">
        <f t="shared" si="18"/>
        <v>31</v>
      </c>
      <c r="AW54" s="2781"/>
      <c r="AX54" s="2792">
        <f t="shared" si="13"/>
        <v>20</v>
      </c>
      <c r="AY54" s="2798"/>
    </row>
    <row r="55" spans="1:51" ht="28.5" customHeight="1">
      <c r="A55" s="2779" t="e">
        <f>#REF!*#REF!+#REF!*#REF!</f>
        <v>#REF!</v>
      </c>
      <c r="B55" s="2780" t="e">
        <f>IF(#REF!&gt;15,40,IF(#REF!&gt;12,35,IF(#REF!&gt;9,30,25)))</f>
        <v>#REF!</v>
      </c>
      <c r="C55" s="2781" t="s">
        <v>92</v>
      </c>
      <c r="D55" s="2781">
        <f t="shared" si="6"/>
        <v>50</v>
      </c>
      <c r="E55" s="2782" t="e">
        <f t="shared" si="7"/>
        <v>#REF!</v>
      </c>
      <c r="F55" s="2776" t="e">
        <f t="shared" si="8"/>
        <v>#REF!</v>
      </c>
      <c r="G55" s="2783">
        <f>('[7]LÁT A'!N38+'[7]LÁT D'!N38+'[7]LÁT C'!N38+'[7]LÁT B'!N38)*0.4+'[7]MỦ DÂY'!AH38*0.5</f>
        <v>0</v>
      </c>
      <c r="H55" s="2782" t="e">
        <f>G55*IF(F55="A",#REF!,IF(F55="B",#REF!,IF(F55="C",#REF!,#REF!)))</f>
        <v>#REF!</v>
      </c>
      <c r="I55" s="2784" t="e">
        <f t="shared" si="9"/>
        <v>#REF!</v>
      </c>
      <c r="J55" s="2785">
        <v>42</v>
      </c>
      <c r="K55" s="2785">
        <v>6</v>
      </c>
      <c r="L55" s="2796" t="s">
        <v>953</v>
      </c>
      <c r="M55" s="3419" t="s">
        <v>142</v>
      </c>
      <c r="N55" s="3419" t="s">
        <v>142</v>
      </c>
      <c r="O55" s="3419" t="s">
        <v>142</v>
      </c>
      <c r="P55" s="3419" t="s">
        <v>142</v>
      </c>
      <c r="Q55" s="3418" t="s">
        <v>1190</v>
      </c>
      <c r="R55" s="3419" t="s">
        <v>142</v>
      </c>
      <c r="S55" s="3419" t="s">
        <v>142</v>
      </c>
      <c r="T55" s="3419" t="s">
        <v>142</v>
      </c>
      <c r="U55" s="3419" t="s">
        <v>142</v>
      </c>
      <c r="V55" s="3419" t="s">
        <v>142</v>
      </c>
      <c r="W55" s="3419" t="s">
        <v>142</v>
      </c>
      <c r="X55" s="3418" t="s">
        <v>1190</v>
      </c>
      <c r="Y55" s="3419" t="s">
        <v>142</v>
      </c>
      <c r="Z55" s="3419" t="s">
        <v>142</v>
      </c>
      <c r="AA55" s="3419" t="s">
        <v>142</v>
      </c>
      <c r="AB55" s="3419" t="s">
        <v>142</v>
      </c>
      <c r="AC55" s="3419" t="s">
        <v>142</v>
      </c>
      <c r="AD55" s="3419" t="s">
        <v>142</v>
      </c>
      <c r="AE55" s="3418" t="s">
        <v>1190</v>
      </c>
      <c r="AF55" s="3419" t="s">
        <v>142</v>
      </c>
      <c r="AG55" s="3419" t="s">
        <v>142</v>
      </c>
      <c r="AH55" s="3419" t="s">
        <v>142</v>
      </c>
      <c r="AI55" s="3419" t="s">
        <v>142</v>
      </c>
      <c r="AJ55" s="3419" t="s">
        <v>142</v>
      </c>
      <c r="AK55" s="3419" t="s">
        <v>142</v>
      </c>
      <c r="AL55" s="3418" t="s">
        <v>1190</v>
      </c>
      <c r="AM55" s="3419" t="s">
        <v>142</v>
      </c>
      <c r="AN55" s="3419" t="s">
        <v>142</v>
      </c>
      <c r="AO55" s="3419" t="s">
        <v>142</v>
      </c>
      <c r="AP55" s="3419" t="s">
        <v>142</v>
      </c>
      <c r="AQ55" s="3588" t="s">
        <v>142</v>
      </c>
      <c r="AR55" s="2787">
        <f>COUNTIF(M55:AQ55,"X")</f>
        <v>27</v>
      </c>
      <c r="AS55" s="2788">
        <f>+COUNTIF(M55:AQ55,"CN")</f>
        <v>4</v>
      </c>
      <c r="AT55" s="2797">
        <f>COUNTIF(M55:AQ55,"X1")</f>
        <v>0</v>
      </c>
      <c r="AU55" s="2788">
        <f>+COUNTIF(M55:AQ55,"CN1")</f>
        <v>0</v>
      </c>
      <c r="AV55" s="2798">
        <f t="shared" si="18"/>
        <v>31</v>
      </c>
      <c r="AW55" s="2781"/>
      <c r="AX55" s="2792">
        <f t="shared" si="13"/>
        <v>20</v>
      </c>
      <c r="AY55" s="2798"/>
    </row>
    <row r="56" spans="1:51" ht="28.5" customHeight="1">
      <c r="A56" s="2779"/>
      <c r="B56" s="2780"/>
      <c r="C56" s="2781"/>
      <c r="D56" s="2781"/>
      <c r="E56" s="2782"/>
      <c r="F56" s="2776"/>
      <c r="G56" s="2783"/>
      <c r="H56" s="2782"/>
      <c r="I56" s="2784"/>
      <c r="J56" s="2785">
        <v>43</v>
      </c>
      <c r="K56" s="2785">
        <v>7</v>
      </c>
      <c r="L56" s="2796" t="s">
        <v>954</v>
      </c>
      <c r="M56" s="3419" t="s">
        <v>142</v>
      </c>
      <c r="N56" s="3419" t="s">
        <v>142</v>
      </c>
      <c r="O56" s="3419" t="s">
        <v>142</v>
      </c>
      <c r="P56" s="3419" t="s">
        <v>142</v>
      </c>
      <c r="Q56" s="3418" t="s">
        <v>1190</v>
      </c>
      <c r="R56" s="3419" t="s">
        <v>142</v>
      </c>
      <c r="S56" s="3419" t="s">
        <v>142</v>
      </c>
      <c r="T56" s="3419" t="s">
        <v>142</v>
      </c>
      <c r="U56" s="3419"/>
      <c r="V56" s="3419" t="s">
        <v>142</v>
      </c>
      <c r="W56" s="3419" t="s">
        <v>142</v>
      </c>
      <c r="X56" s="3418" t="s">
        <v>1190</v>
      </c>
      <c r="Y56" s="3419" t="s">
        <v>142</v>
      </c>
      <c r="Z56" s="3419" t="s">
        <v>142</v>
      </c>
      <c r="AA56" s="3419" t="s">
        <v>142</v>
      </c>
      <c r="AB56" s="3419" t="s">
        <v>142</v>
      </c>
      <c r="AC56" s="3419"/>
      <c r="AD56" s="3419" t="s">
        <v>142</v>
      </c>
      <c r="AE56" s="3418"/>
      <c r="AF56" s="3419"/>
      <c r="AG56" s="3419" t="s">
        <v>142</v>
      </c>
      <c r="AH56" s="3419" t="s">
        <v>142</v>
      </c>
      <c r="AI56" s="3419" t="s">
        <v>142</v>
      </c>
      <c r="AJ56" s="3419" t="s">
        <v>142</v>
      </c>
      <c r="AK56" s="3419" t="s">
        <v>142</v>
      </c>
      <c r="AL56" s="3418" t="s">
        <v>1190</v>
      </c>
      <c r="AM56" s="3419" t="s">
        <v>142</v>
      </c>
      <c r="AN56" s="3419" t="s">
        <v>142</v>
      </c>
      <c r="AO56" s="3419" t="s">
        <v>142</v>
      </c>
      <c r="AP56" s="3419" t="s">
        <v>142</v>
      </c>
      <c r="AQ56" s="3588" t="s">
        <v>142</v>
      </c>
      <c r="AR56" s="2787">
        <f t="shared" si="14"/>
        <v>24</v>
      </c>
      <c r="AS56" s="2788">
        <f t="shared" si="15"/>
        <v>3</v>
      </c>
      <c r="AT56" s="2797">
        <f t="shared" si="16"/>
        <v>0</v>
      </c>
      <c r="AU56" s="2788">
        <f t="shared" si="17"/>
        <v>0</v>
      </c>
      <c r="AV56" s="2798">
        <f t="shared" si="18"/>
        <v>27</v>
      </c>
      <c r="AW56" s="2781"/>
      <c r="AX56" s="2792"/>
      <c r="AY56" s="2798"/>
    </row>
    <row r="57" spans="1:51" ht="28.5" customHeight="1">
      <c r="A57" s="2779"/>
      <c r="B57" s="2780"/>
      <c r="C57" s="2781"/>
      <c r="D57" s="2781"/>
      <c r="E57" s="2782"/>
      <c r="F57" s="2776"/>
      <c r="G57" s="2783"/>
      <c r="H57" s="2782"/>
      <c r="I57" s="2784"/>
      <c r="J57" s="2785">
        <v>44</v>
      </c>
      <c r="K57" s="2785">
        <v>8</v>
      </c>
      <c r="L57" s="2796" t="s">
        <v>966</v>
      </c>
      <c r="M57" s="3419" t="s">
        <v>142</v>
      </c>
      <c r="N57" s="3419" t="s">
        <v>142</v>
      </c>
      <c r="O57" s="3419" t="s">
        <v>142</v>
      </c>
      <c r="P57" s="3419" t="s">
        <v>142</v>
      </c>
      <c r="Q57" s="3418" t="s">
        <v>1190</v>
      </c>
      <c r="R57" s="3419" t="s">
        <v>142</v>
      </c>
      <c r="S57" s="3419" t="s">
        <v>142</v>
      </c>
      <c r="T57" s="3419" t="s">
        <v>142</v>
      </c>
      <c r="U57" s="3419"/>
      <c r="V57" s="3419" t="s">
        <v>142</v>
      </c>
      <c r="W57" s="3419" t="s">
        <v>142</v>
      </c>
      <c r="X57" s="3418" t="s">
        <v>1190</v>
      </c>
      <c r="Y57" s="3419" t="s">
        <v>142</v>
      </c>
      <c r="Z57" s="3419" t="s">
        <v>142</v>
      </c>
      <c r="AA57" s="3419" t="s">
        <v>142</v>
      </c>
      <c r="AB57" s="3419" t="s">
        <v>142</v>
      </c>
      <c r="AC57" s="3419" t="s">
        <v>142</v>
      </c>
      <c r="AD57" s="3419" t="s">
        <v>142</v>
      </c>
      <c r="AE57" s="3418" t="s">
        <v>1190</v>
      </c>
      <c r="AF57" s="3419"/>
      <c r="AG57" s="3419"/>
      <c r="AH57" s="3419" t="s">
        <v>142</v>
      </c>
      <c r="AI57" s="3419" t="s">
        <v>142</v>
      </c>
      <c r="AJ57" s="3419" t="s">
        <v>142</v>
      </c>
      <c r="AK57" s="3419" t="s">
        <v>142</v>
      </c>
      <c r="AL57" s="3418" t="s">
        <v>1190</v>
      </c>
      <c r="AM57" s="3419" t="s">
        <v>142</v>
      </c>
      <c r="AN57" s="3419" t="s">
        <v>142</v>
      </c>
      <c r="AO57" s="3419" t="s">
        <v>142</v>
      </c>
      <c r="AP57" s="3419" t="s">
        <v>142</v>
      </c>
      <c r="AQ57" s="3588" t="s">
        <v>142</v>
      </c>
      <c r="AR57" s="2787">
        <f t="shared" si="14"/>
        <v>24</v>
      </c>
      <c r="AS57" s="2788">
        <f t="shared" si="15"/>
        <v>4</v>
      </c>
      <c r="AT57" s="2797">
        <f t="shared" si="16"/>
        <v>0</v>
      </c>
      <c r="AU57" s="2788">
        <f t="shared" si="17"/>
        <v>0</v>
      </c>
      <c r="AV57" s="2798">
        <f t="shared" si="18"/>
        <v>28</v>
      </c>
      <c r="AW57" s="2781"/>
      <c r="AX57" s="2792"/>
      <c r="AY57" s="2798"/>
    </row>
    <row r="58" spans="1:51" ht="28.5" customHeight="1">
      <c r="A58" s="2779" t="e">
        <f>#REF!*#REF!+#REF!*#REF!</f>
        <v>#REF!</v>
      </c>
      <c r="B58" s="2780" t="e">
        <f>IF(#REF!&gt;15,40,IF(#REF!&gt;12,35,IF(#REF!&gt;9,30,25)))</f>
        <v>#REF!</v>
      </c>
      <c r="C58" s="2781" t="s">
        <v>92</v>
      </c>
      <c r="D58" s="2781">
        <f t="shared" si="6"/>
        <v>50</v>
      </c>
      <c r="E58" s="2782" t="e">
        <f t="shared" si="7"/>
        <v>#REF!</v>
      </c>
      <c r="F58" s="2776" t="e">
        <f t="shared" si="8"/>
        <v>#REF!</v>
      </c>
      <c r="G58" s="2783">
        <f>('[7]LÁT A'!N39+'[7]LÁT D'!N39+'[7]LÁT C'!N39+'[7]LÁT B'!N39)*0.4+'[7]MỦ DÂY'!AH39*0.5</f>
        <v>16</v>
      </c>
      <c r="H58" s="2782" t="e">
        <f>G58*IF(F58="A",#REF!,IF(F58="B",#REF!,IF(F58="C",#REF!,#REF!)))</f>
        <v>#REF!</v>
      </c>
      <c r="I58" s="2784" t="e">
        <f t="shared" si="9"/>
        <v>#REF!</v>
      </c>
      <c r="J58" s="2785">
        <v>45</v>
      </c>
      <c r="K58" s="2785">
        <v>9</v>
      </c>
      <c r="L58" s="2796" t="s">
        <v>989</v>
      </c>
      <c r="M58" s="3419" t="s">
        <v>142</v>
      </c>
      <c r="N58" s="3419" t="s">
        <v>142</v>
      </c>
      <c r="O58" s="3419" t="s">
        <v>142</v>
      </c>
      <c r="P58" s="3419" t="s">
        <v>142</v>
      </c>
      <c r="Q58" s="3418" t="s">
        <v>1190</v>
      </c>
      <c r="R58" s="3419" t="s">
        <v>142</v>
      </c>
      <c r="S58" s="3419" t="s">
        <v>142</v>
      </c>
      <c r="T58" s="3419" t="s">
        <v>142</v>
      </c>
      <c r="U58" s="3419" t="s">
        <v>142</v>
      </c>
      <c r="V58" s="3419" t="s">
        <v>142</v>
      </c>
      <c r="W58" s="3419" t="s">
        <v>142</v>
      </c>
      <c r="X58" s="3418" t="s">
        <v>1190</v>
      </c>
      <c r="Y58" s="3419" t="s">
        <v>142</v>
      </c>
      <c r="Z58" s="3419" t="s">
        <v>142</v>
      </c>
      <c r="AA58" s="3419" t="s">
        <v>142</v>
      </c>
      <c r="AB58" s="3419" t="s">
        <v>142</v>
      </c>
      <c r="AC58" s="3419" t="s">
        <v>142</v>
      </c>
      <c r="AD58" s="3419" t="s">
        <v>142</v>
      </c>
      <c r="AE58" s="3418" t="s">
        <v>1190</v>
      </c>
      <c r="AF58" s="3419" t="s">
        <v>142</v>
      </c>
      <c r="AG58" s="3419" t="s">
        <v>142</v>
      </c>
      <c r="AH58" s="3419" t="s">
        <v>142</v>
      </c>
      <c r="AI58" s="3419" t="s">
        <v>142</v>
      </c>
      <c r="AJ58" s="3419" t="s">
        <v>142</v>
      </c>
      <c r="AK58" s="3419" t="s">
        <v>142</v>
      </c>
      <c r="AL58" s="3418" t="s">
        <v>1190</v>
      </c>
      <c r="AM58" s="3419" t="s">
        <v>142</v>
      </c>
      <c r="AN58" s="3419" t="s">
        <v>142</v>
      </c>
      <c r="AO58" s="3419" t="s">
        <v>142</v>
      </c>
      <c r="AP58" s="3419" t="s">
        <v>142</v>
      </c>
      <c r="AQ58" s="3588" t="s">
        <v>142</v>
      </c>
      <c r="AR58" s="2787">
        <f t="shared" si="14"/>
        <v>27</v>
      </c>
      <c r="AS58" s="2788">
        <f t="shared" si="15"/>
        <v>4</v>
      </c>
      <c r="AT58" s="2797">
        <f t="shared" si="16"/>
        <v>0</v>
      </c>
      <c r="AU58" s="2788">
        <f t="shared" si="17"/>
        <v>0</v>
      </c>
      <c r="AV58" s="2798">
        <f t="shared" si="18"/>
        <v>31</v>
      </c>
      <c r="AW58" s="2781"/>
      <c r="AX58" s="2792">
        <f t="shared" si="13"/>
        <v>20</v>
      </c>
      <c r="AY58" s="2798"/>
    </row>
    <row r="59" spans="1:51" ht="28.5" customHeight="1">
      <c r="A59" s="2779" t="e">
        <f>#REF!*#REF!+#REF!*#REF!</f>
        <v>#REF!</v>
      </c>
      <c r="B59" s="2780" t="e">
        <f>IF(#REF!&gt;15,40,IF(#REF!&gt;12,35,IF(#REF!&gt;9,30,25)))</f>
        <v>#REF!</v>
      </c>
      <c r="C59" s="2781" t="s">
        <v>92</v>
      </c>
      <c r="D59" s="2781">
        <f t="shared" si="6"/>
        <v>50</v>
      </c>
      <c r="E59" s="2782" t="e">
        <f t="shared" si="7"/>
        <v>#REF!</v>
      </c>
      <c r="F59" s="2776" t="e">
        <f t="shared" si="8"/>
        <v>#REF!</v>
      </c>
      <c r="G59" s="2783">
        <f>('[7]LÁT A'!N40+'[7]LÁT D'!N40+'[7]LÁT C'!N40+'[7]LÁT B'!N40)*0.4+'[7]MỦ DÂY'!AH40*0.5</f>
        <v>0</v>
      </c>
      <c r="H59" s="2782" t="e">
        <f>G59*IF(F59="A",#REF!,IF(F59="B",#REF!,IF(F59="C",#REF!,#REF!)))</f>
        <v>#REF!</v>
      </c>
      <c r="I59" s="2784" t="e">
        <f t="shared" si="9"/>
        <v>#REF!</v>
      </c>
      <c r="J59" s="2785">
        <v>46</v>
      </c>
      <c r="K59" s="2785">
        <v>10</v>
      </c>
      <c r="L59" s="2796" t="s">
        <v>955</v>
      </c>
      <c r="M59" s="3419" t="s">
        <v>142</v>
      </c>
      <c r="N59" s="3419" t="s">
        <v>142</v>
      </c>
      <c r="O59" s="3419" t="s">
        <v>142</v>
      </c>
      <c r="P59" s="3419" t="s">
        <v>142</v>
      </c>
      <c r="Q59" s="3418" t="s">
        <v>1190</v>
      </c>
      <c r="R59" s="3419" t="s">
        <v>142</v>
      </c>
      <c r="S59" s="3419" t="s">
        <v>142</v>
      </c>
      <c r="T59" s="3419" t="s">
        <v>142</v>
      </c>
      <c r="U59" s="3419" t="s">
        <v>142</v>
      </c>
      <c r="V59" s="3419" t="s">
        <v>142</v>
      </c>
      <c r="W59" s="3419" t="s">
        <v>142</v>
      </c>
      <c r="X59" s="3418" t="s">
        <v>1190</v>
      </c>
      <c r="Y59" s="3419" t="s">
        <v>142</v>
      </c>
      <c r="Z59" s="3419" t="s">
        <v>142</v>
      </c>
      <c r="AA59" s="3419" t="s">
        <v>142</v>
      </c>
      <c r="AB59" s="3419" t="s">
        <v>142</v>
      </c>
      <c r="AC59" s="3419" t="s">
        <v>142</v>
      </c>
      <c r="AD59" s="3419" t="s">
        <v>142</v>
      </c>
      <c r="AE59" s="3418" t="s">
        <v>1190</v>
      </c>
      <c r="AF59" s="3419" t="s">
        <v>142</v>
      </c>
      <c r="AG59" s="3419" t="s">
        <v>142</v>
      </c>
      <c r="AH59" s="3419" t="s">
        <v>142</v>
      </c>
      <c r="AI59" s="3419" t="s">
        <v>142</v>
      </c>
      <c r="AJ59" s="3419" t="s">
        <v>142</v>
      </c>
      <c r="AK59" s="3419" t="s">
        <v>142</v>
      </c>
      <c r="AL59" s="3418" t="s">
        <v>1190</v>
      </c>
      <c r="AM59" s="3419" t="s">
        <v>142</v>
      </c>
      <c r="AN59" s="3419" t="s">
        <v>142</v>
      </c>
      <c r="AO59" s="3419" t="s">
        <v>142</v>
      </c>
      <c r="AP59" s="3419" t="s">
        <v>142</v>
      </c>
      <c r="AQ59" s="3588" t="s">
        <v>142</v>
      </c>
      <c r="AR59" s="2787">
        <f t="shared" si="14"/>
        <v>27</v>
      </c>
      <c r="AS59" s="2788">
        <f t="shared" si="15"/>
        <v>4</v>
      </c>
      <c r="AT59" s="2797">
        <f t="shared" si="16"/>
        <v>0</v>
      </c>
      <c r="AU59" s="2788">
        <f t="shared" si="17"/>
        <v>0</v>
      </c>
      <c r="AV59" s="2798">
        <f t="shared" si="18"/>
        <v>31</v>
      </c>
      <c r="AW59" s="2781"/>
      <c r="AX59" s="2792">
        <f t="shared" si="13"/>
        <v>20</v>
      </c>
      <c r="AY59" s="2798"/>
    </row>
    <row r="60" spans="1:51" ht="28.5" customHeight="1">
      <c r="A60" s="2779" t="e">
        <f>#REF!*#REF!+#REF!*#REF!</f>
        <v>#REF!</v>
      </c>
      <c r="B60" s="2780" t="e">
        <f>IF(#REF!&gt;15,40,IF(#REF!&gt;12,35,IF(#REF!&gt;9,30,25)))</f>
        <v>#REF!</v>
      </c>
      <c r="C60" s="2781" t="s">
        <v>92</v>
      </c>
      <c r="D60" s="2781">
        <f t="shared" si="6"/>
        <v>50</v>
      </c>
      <c r="E60" s="2782" t="e">
        <f t="shared" si="7"/>
        <v>#REF!</v>
      </c>
      <c r="F60" s="2776" t="e">
        <f t="shared" si="8"/>
        <v>#REF!</v>
      </c>
      <c r="G60" s="2783">
        <f>('[7]LÁT A'!N41+'[7]LÁT D'!N41+'[7]LÁT C'!N41+'[7]LÁT B'!N41)*0.4+'[7]MỦ DÂY'!AH41*0.5</f>
        <v>0</v>
      </c>
      <c r="H60" s="2782" t="e">
        <f>G60*IF(F60="A",#REF!,IF(F60="B",#REF!,IF(F60="C",#REF!,#REF!)))</f>
        <v>#REF!</v>
      </c>
      <c r="I60" s="2784" t="e">
        <f t="shared" si="9"/>
        <v>#REF!</v>
      </c>
      <c r="J60" s="2785">
        <v>47</v>
      </c>
      <c r="K60" s="2785">
        <v>11</v>
      </c>
      <c r="L60" s="2796" t="s">
        <v>967</v>
      </c>
      <c r="M60" s="3419" t="s">
        <v>142</v>
      </c>
      <c r="N60" s="3419" t="s">
        <v>142</v>
      </c>
      <c r="O60" s="3419" t="s">
        <v>142</v>
      </c>
      <c r="P60" s="3419" t="s">
        <v>142</v>
      </c>
      <c r="Q60" s="3418" t="s">
        <v>1190</v>
      </c>
      <c r="R60" s="3419" t="s">
        <v>142</v>
      </c>
      <c r="S60" s="3419" t="s">
        <v>142</v>
      </c>
      <c r="T60" s="3419" t="s">
        <v>142</v>
      </c>
      <c r="U60" s="3419" t="s">
        <v>142</v>
      </c>
      <c r="V60" s="3419" t="s">
        <v>142</v>
      </c>
      <c r="W60" s="3419" t="s">
        <v>142</v>
      </c>
      <c r="X60" s="3418" t="s">
        <v>1190</v>
      </c>
      <c r="Y60" s="3419" t="s">
        <v>142</v>
      </c>
      <c r="Z60" s="3419"/>
      <c r="AA60" s="3419" t="s">
        <v>142</v>
      </c>
      <c r="AB60" s="3419" t="s">
        <v>142</v>
      </c>
      <c r="AC60" s="3419" t="s">
        <v>142</v>
      </c>
      <c r="AD60" s="3419" t="s">
        <v>142</v>
      </c>
      <c r="AE60" s="3418" t="s">
        <v>1190</v>
      </c>
      <c r="AF60" s="3419" t="s">
        <v>142</v>
      </c>
      <c r="AG60" s="3419" t="s">
        <v>142</v>
      </c>
      <c r="AH60" s="3419" t="s">
        <v>142</v>
      </c>
      <c r="AI60" s="3419" t="s">
        <v>142</v>
      </c>
      <c r="AJ60" s="3419" t="s">
        <v>142</v>
      </c>
      <c r="AK60" s="3419" t="s">
        <v>142</v>
      </c>
      <c r="AL60" s="3418" t="s">
        <v>1190</v>
      </c>
      <c r="AM60" s="3419" t="s">
        <v>142</v>
      </c>
      <c r="AN60" s="3419" t="s">
        <v>142</v>
      </c>
      <c r="AO60" s="3419" t="s">
        <v>142</v>
      </c>
      <c r="AP60" s="3419" t="s">
        <v>142</v>
      </c>
      <c r="AQ60" s="3588" t="s">
        <v>142</v>
      </c>
      <c r="AR60" s="2787">
        <f t="shared" si="14"/>
        <v>26</v>
      </c>
      <c r="AS60" s="2788">
        <f t="shared" si="15"/>
        <v>4</v>
      </c>
      <c r="AT60" s="2797">
        <f t="shared" si="16"/>
        <v>0</v>
      </c>
      <c r="AU60" s="2788">
        <f t="shared" si="17"/>
        <v>0</v>
      </c>
      <c r="AV60" s="2798">
        <f t="shared" si="18"/>
        <v>30</v>
      </c>
      <c r="AW60" s="2781"/>
      <c r="AX60" s="2792">
        <f t="shared" si="13"/>
        <v>10</v>
      </c>
      <c r="AY60" s="2798"/>
    </row>
    <row r="61" spans="1:51" ht="28.5" customHeight="1">
      <c r="A61" s="2779" t="e">
        <f>#REF!*#REF!+#REF!*#REF!</f>
        <v>#REF!</v>
      </c>
      <c r="B61" s="2780" t="e">
        <f>IF(#REF!&gt;15,40,IF(#REF!&gt;12,35,IF(#REF!&gt;9,30,25)))</f>
        <v>#REF!</v>
      </c>
      <c r="C61" s="2781" t="s">
        <v>92</v>
      </c>
      <c r="D61" s="2781">
        <f t="shared" si="6"/>
        <v>50</v>
      </c>
      <c r="E61" s="2782" t="e">
        <f t="shared" si="7"/>
        <v>#REF!</v>
      </c>
      <c r="F61" s="2776" t="e">
        <f t="shared" si="8"/>
        <v>#REF!</v>
      </c>
      <c r="G61" s="2783">
        <f>('[7]LÁT A'!N42+'[7]LÁT D'!N42+'[7]LÁT C'!N42+'[7]LÁT B'!N42)*0.4+'[7]MỦ DÂY'!AH42*0.5</f>
        <v>0</v>
      </c>
      <c r="H61" s="2782" t="e">
        <f>G61*IF(F61="A",#REF!,IF(F61="B",#REF!,IF(F61="C",#REF!,#REF!)))</f>
        <v>#REF!</v>
      </c>
      <c r="I61" s="2784" t="e">
        <f t="shared" si="9"/>
        <v>#REF!</v>
      </c>
      <c r="J61" s="2785">
        <v>48</v>
      </c>
      <c r="K61" s="2785">
        <v>12</v>
      </c>
      <c r="L61" s="2796" t="s">
        <v>990</v>
      </c>
      <c r="M61" s="3419" t="s">
        <v>142</v>
      </c>
      <c r="N61" s="3419" t="s">
        <v>142</v>
      </c>
      <c r="O61" s="3419" t="s">
        <v>142</v>
      </c>
      <c r="P61" s="3419" t="s">
        <v>142</v>
      </c>
      <c r="Q61" s="3418" t="s">
        <v>1190</v>
      </c>
      <c r="R61" s="3419" t="s">
        <v>142</v>
      </c>
      <c r="S61" s="3419" t="s">
        <v>142</v>
      </c>
      <c r="T61" s="3419" t="s">
        <v>142</v>
      </c>
      <c r="U61" s="3419" t="s">
        <v>142</v>
      </c>
      <c r="V61" s="3419" t="s">
        <v>142</v>
      </c>
      <c r="W61" s="3419" t="s">
        <v>142</v>
      </c>
      <c r="X61" s="3418" t="s">
        <v>1190</v>
      </c>
      <c r="Y61" s="3419" t="s">
        <v>142</v>
      </c>
      <c r="Z61" s="3419" t="s">
        <v>142</v>
      </c>
      <c r="AA61" s="3419" t="s">
        <v>142</v>
      </c>
      <c r="AB61" s="3419" t="s">
        <v>142</v>
      </c>
      <c r="AC61" s="3419" t="s">
        <v>142</v>
      </c>
      <c r="AD61" s="3419" t="s">
        <v>142</v>
      </c>
      <c r="AE61" s="3418" t="s">
        <v>1190</v>
      </c>
      <c r="AF61" s="3419" t="s">
        <v>142</v>
      </c>
      <c r="AG61" s="3419" t="s">
        <v>142</v>
      </c>
      <c r="AH61" s="3419" t="s">
        <v>142</v>
      </c>
      <c r="AI61" s="3419" t="s">
        <v>142</v>
      </c>
      <c r="AJ61" s="3419" t="s">
        <v>142</v>
      </c>
      <c r="AK61" s="3419" t="s">
        <v>142</v>
      </c>
      <c r="AL61" s="3418" t="s">
        <v>1190</v>
      </c>
      <c r="AM61" s="3419" t="s">
        <v>142</v>
      </c>
      <c r="AN61" s="3419" t="s">
        <v>142</v>
      </c>
      <c r="AO61" s="3419" t="s">
        <v>142</v>
      </c>
      <c r="AP61" s="3419" t="s">
        <v>142</v>
      </c>
      <c r="AQ61" s="3588" t="s">
        <v>142</v>
      </c>
      <c r="AR61" s="2787">
        <f t="shared" si="14"/>
        <v>27</v>
      </c>
      <c r="AS61" s="2788">
        <f t="shared" si="15"/>
        <v>4</v>
      </c>
      <c r="AT61" s="2797">
        <f t="shared" si="16"/>
        <v>0</v>
      </c>
      <c r="AU61" s="2788">
        <f t="shared" si="17"/>
        <v>0</v>
      </c>
      <c r="AV61" s="2798">
        <f t="shared" si="18"/>
        <v>31</v>
      </c>
      <c r="AW61" s="2781"/>
      <c r="AX61" s="2792">
        <f t="shared" si="13"/>
        <v>20</v>
      </c>
      <c r="AY61" s="2798"/>
    </row>
    <row r="62" spans="1:51" ht="28.5" customHeight="1">
      <c r="A62" s="2779" t="e">
        <f>#REF!*#REF!+#REF!*#REF!</f>
        <v>#REF!</v>
      </c>
      <c r="B62" s="2780" t="e">
        <f>IF(#REF!&gt;15,40,IF(#REF!&gt;12,35,IF(#REF!&gt;9,30,25)))</f>
        <v>#REF!</v>
      </c>
      <c r="C62" s="2781" t="s">
        <v>92</v>
      </c>
      <c r="D62" s="2781">
        <f t="shared" si="6"/>
        <v>50</v>
      </c>
      <c r="E62" s="2782" t="e">
        <f t="shared" si="7"/>
        <v>#REF!</v>
      </c>
      <c r="F62" s="2776" t="e">
        <f t="shared" si="8"/>
        <v>#REF!</v>
      </c>
      <c r="G62" s="2783">
        <f>('[7]LÁT A'!N43+'[7]LÁT D'!N43+'[7]LÁT C'!N43+'[7]LÁT B'!N43)*0.4+'[7]MỦ DÂY'!AH43*0.5</f>
        <v>22.400000000000002</v>
      </c>
      <c r="H62" s="2782" t="e">
        <f>G62*IF(F62="A",#REF!,IF(F62="B",#REF!,IF(F62="C",#REF!,#REF!)))</f>
        <v>#REF!</v>
      </c>
      <c r="I62" s="2784" t="e">
        <f t="shared" si="9"/>
        <v>#REF!</v>
      </c>
      <c r="J62" s="2785">
        <v>49</v>
      </c>
      <c r="K62" s="2785">
        <v>13</v>
      </c>
      <c r="L62" s="2796" t="s">
        <v>991</v>
      </c>
      <c r="M62" s="3419" t="s">
        <v>142</v>
      </c>
      <c r="N62" s="3419" t="s">
        <v>142</v>
      </c>
      <c r="O62" s="3419" t="s">
        <v>142</v>
      </c>
      <c r="P62" s="3419" t="s">
        <v>142</v>
      </c>
      <c r="Q62" s="3418" t="s">
        <v>1190</v>
      </c>
      <c r="R62" s="3419" t="s">
        <v>142</v>
      </c>
      <c r="S62" s="3419" t="s">
        <v>142</v>
      </c>
      <c r="T62" s="3419" t="s">
        <v>142</v>
      </c>
      <c r="U62" s="3419" t="s">
        <v>142</v>
      </c>
      <c r="V62" s="3419" t="s">
        <v>142</v>
      </c>
      <c r="W62" s="3419" t="s">
        <v>142</v>
      </c>
      <c r="X62" s="3418" t="s">
        <v>1190</v>
      </c>
      <c r="Y62" s="3419" t="s">
        <v>142</v>
      </c>
      <c r="Z62" s="3419"/>
      <c r="AA62" s="3419"/>
      <c r="AB62" s="3419" t="s">
        <v>142</v>
      </c>
      <c r="AC62" s="3419" t="s">
        <v>142</v>
      </c>
      <c r="AD62" s="3419" t="s">
        <v>142</v>
      </c>
      <c r="AE62" s="3418" t="s">
        <v>1190</v>
      </c>
      <c r="AF62" s="3419"/>
      <c r="AG62" s="3419"/>
      <c r="AH62" s="3419" t="s">
        <v>142</v>
      </c>
      <c r="AI62" s="3419" t="s">
        <v>142</v>
      </c>
      <c r="AJ62" s="3419" t="s">
        <v>142</v>
      </c>
      <c r="AK62" s="3419" t="s">
        <v>142</v>
      </c>
      <c r="AL62" s="3418" t="s">
        <v>1190</v>
      </c>
      <c r="AM62" s="3419" t="s">
        <v>142</v>
      </c>
      <c r="AN62" s="3419" t="s">
        <v>142</v>
      </c>
      <c r="AO62" s="3419" t="s">
        <v>142</v>
      </c>
      <c r="AP62" s="3419" t="s">
        <v>142</v>
      </c>
      <c r="AQ62" s="3588" t="s">
        <v>142</v>
      </c>
      <c r="AR62" s="2787">
        <f t="shared" si="14"/>
        <v>23</v>
      </c>
      <c r="AS62" s="2788">
        <f t="shared" si="15"/>
        <v>4</v>
      </c>
      <c r="AT62" s="2797">
        <f t="shared" si="16"/>
        <v>0</v>
      </c>
      <c r="AU62" s="2788">
        <f t="shared" si="17"/>
        <v>0</v>
      </c>
      <c r="AV62" s="2798">
        <f t="shared" si="18"/>
        <v>27</v>
      </c>
      <c r="AW62" s="2781"/>
      <c r="AX62" s="2792">
        <f t="shared" si="13"/>
        <v>10</v>
      </c>
      <c r="AY62" s="2798"/>
    </row>
    <row r="63" spans="1:51" ht="28.5" customHeight="1">
      <c r="A63" s="2779" t="e">
        <f>#REF!*#REF!+#REF!*#REF!</f>
        <v>#REF!</v>
      </c>
      <c r="B63" s="2780"/>
      <c r="C63" s="2781"/>
      <c r="D63" s="2781"/>
      <c r="E63" s="2782"/>
      <c r="F63" s="2776"/>
      <c r="G63" s="2783"/>
      <c r="H63" s="2782"/>
      <c r="I63" s="2784"/>
      <c r="J63" s="2785">
        <v>50</v>
      </c>
      <c r="K63" s="2785">
        <v>14</v>
      </c>
      <c r="L63" s="2796" t="s">
        <v>600</v>
      </c>
      <c r="M63" s="3419" t="s">
        <v>142</v>
      </c>
      <c r="N63" s="3419" t="s">
        <v>142</v>
      </c>
      <c r="O63" s="3419" t="s">
        <v>142</v>
      </c>
      <c r="P63" s="3419" t="s">
        <v>142</v>
      </c>
      <c r="Q63" s="3418" t="s">
        <v>1190</v>
      </c>
      <c r="R63" s="3419" t="s">
        <v>142</v>
      </c>
      <c r="S63" s="3419" t="s">
        <v>142</v>
      </c>
      <c r="T63" s="3419" t="s">
        <v>142</v>
      </c>
      <c r="U63" s="3419" t="s">
        <v>142</v>
      </c>
      <c r="V63" s="3419" t="s">
        <v>142</v>
      </c>
      <c r="W63" s="3419" t="s">
        <v>142</v>
      </c>
      <c r="X63" s="3418" t="s">
        <v>1190</v>
      </c>
      <c r="Y63" s="3419" t="s">
        <v>142</v>
      </c>
      <c r="Z63" s="3419" t="s">
        <v>142</v>
      </c>
      <c r="AA63" s="3419" t="s">
        <v>142</v>
      </c>
      <c r="AB63" s="3419" t="s">
        <v>142</v>
      </c>
      <c r="AC63" s="3419" t="s">
        <v>142</v>
      </c>
      <c r="AD63" s="3419" t="s">
        <v>142</v>
      </c>
      <c r="AE63" s="3418" t="s">
        <v>1190</v>
      </c>
      <c r="AF63" s="3419" t="s">
        <v>142</v>
      </c>
      <c r="AG63" s="3419" t="s">
        <v>142</v>
      </c>
      <c r="AH63" s="3419" t="s">
        <v>142</v>
      </c>
      <c r="AI63" s="3419" t="s">
        <v>142</v>
      </c>
      <c r="AJ63" s="3419" t="s">
        <v>142</v>
      </c>
      <c r="AK63" s="3419" t="s">
        <v>142</v>
      </c>
      <c r="AL63" s="3418" t="s">
        <v>1190</v>
      </c>
      <c r="AM63" s="3419" t="s">
        <v>142</v>
      </c>
      <c r="AN63" s="3419" t="s">
        <v>142</v>
      </c>
      <c r="AO63" s="3419" t="s">
        <v>142</v>
      </c>
      <c r="AP63" s="3419" t="s">
        <v>142</v>
      </c>
      <c r="AQ63" s="3588" t="s">
        <v>142</v>
      </c>
      <c r="AR63" s="2787">
        <f t="shared" si="14"/>
        <v>27</v>
      </c>
      <c r="AS63" s="2788">
        <f t="shared" si="15"/>
        <v>4</v>
      </c>
      <c r="AT63" s="2797">
        <f t="shared" si="16"/>
        <v>0</v>
      </c>
      <c r="AU63" s="2788">
        <f t="shared" si="17"/>
        <v>0</v>
      </c>
      <c r="AV63" s="2798">
        <f t="shared" si="18"/>
        <v>31</v>
      </c>
      <c r="AW63" s="2781"/>
      <c r="AX63" s="2792">
        <f t="shared" si="13"/>
        <v>20</v>
      </c>
      <c r="AY63" s="2798"/>
    </row>
    <row r="64" spans="1:51" ht="28.5" customHeight="1">
      <c r="A64" s="2779"/>
      <c r="B64" s="2780"/>
      <c r="C64" s="2781"/>
      <c r="D64" s="2781"/>
      <c r="E64" s="2782"/>
      <c r="F64" s="2776"/>
      <c r="G64" s="2783"/>
      <c r="H64" s="2782"/>
      <c r="I64" s="2784"/>
      <c r="J64" s="2785">
        <v>51</v>
      </c>
      <c r="K64" s="2785">
        <v>15</v>
      </c>
      <c r="L64" s="2796" t="s">
        <v>1193</v>
      </c>
      <c r="M64" s="3419" t="s">
        <v>142</v>
      </c>
      <c r="N64" s="3419" t="s">
        <v>142</v>
      </c>
      <c r="O64" s="3419" t="s">
        <v>142</v>
      </c>
      <c r="P64" s="3419" t="s">
        <v>142</v>
      </c>
      <c r="Q64" s="3418" t="s">
        <v>1190</v>
      </c>
      <c r="R64" s="3419" t="s">
        <v>142</v>
      </c>
      <c r="S64" s="3419" t="s">
        <v>142</v>
      </c>
      <c r="T64" s="3419" t="s">
        <v>142</v>
      </c>
      <c r="U64" s="3419" t="s">
        <v>142</v>
      </c>
      <c r="V64" s="3419" t="s">
        <v>142</v>
      </c>
      <c r="W64" s="3419" t="s">
        <v>142</v>
      </c>
      <c r="X64" s="3418" t="s">
        <v>1190</v>
      </c>
      <c r="Y64" s="3419" t="s">
        <v>142</v>
      </c>
      <c r="Z64" s="3419" t="s">
        <v>142</v>
      </c>
      <c r="AA64" s="3419"/>
      <c r="AB64" s="3419" t="s">
        <v>142</v>
      </c>
      <c r="AC64" s="3419" t="s">
        <v>142</v>
      </c>
      <c r="AD64" s="3419" t="s">
        <v>142</v>
      </c>
      <c r="AE64" s="3418" t="s">
        <v>1190</v>
      </c>
      <c r="AF64" s="3419"/>
      <c r="AG64" s="3419"/>
      <c r="AH64" s="3419" t="s">
        <v>142</v>
      </c>
      <c r="AI64" s="3419" t="s">
        <v>142</v>
      </c>
      <c r="AJ64" s="3419" t="s">
        <v>142</v>
      </c>
      <c r="AK64" s="3419" t="s">
        <v>142</v>
      </c>
      <c r="AL64" s="3418" t="s">
        <v>1190</v>
      </c>
      <c r="AM64" s="3419" t="s">
        <v>142</v>
      </c>
      <c r="AN64" s="3419" t="s">
        <v>142</v>
      </c>
      <c r="AO64" s="3419" t="s">
        <v>142</v>
      </c>
      <c r="AP64" s="3419" t="s">
        <v>142</v>
      </c>
      <c r="AQ64" s="3588" t="s">
        <v>142</v>
      </c>
      <c r="AR64" s="2787">
        <f t="shared" si="14"/>
        <v>24</v>
      </c>
      <c r="AS64" s="2788">
        <f t="shared" si="15"/>
        <v>4</v>
      </c>
      <c r="AT64" s="2797">
        <f t="shared" si="16"/>
        <v>0</v>
      </c>
      <c r="AU64" s="2788">
        <f t="shared" si="17"/>
        <v>0</v>
      </c>
      <c r="AV64" s="2798">
        <f t="shared" si="18"/>
        <v>28</v>
      </c>
      <c r="AW64" s="2781"/>
      <c r="AX64" s="2792">
        <f t="shared" si="13"/>
        <v>10</v>
      </c>
      <c r="AY64" s="2798"/>
    </row>
    <row r="65" spans="1:60" ht="23.25" customHeight="1">
      <c r="A65" s="2779"/>
      <c r="B65" s="2780" t="e">
        <f>IF(#REF!&gt;15,40,IF(#REF!&gt;12,35,IF(#REF!&gt;9,30,25)))</f>
        <v>#REF!</v>
      </c>
      <c r="C65" s="2781" t="s">
        <v>92</v>
      </c>
      <c r="D65" s="2781">
        <f t="shared" si="6"/>
        <v>50</v>
      </c>
      <c r="E65" s="2782" t="e">
        <f t="shared" si="7"/>
        <v>#REF!</v>
      </c>
      <c r="F65" s="2776" t="e">
        <f t="shared" si="8"/>
        <v>#REF!</v>
      </c>
      <c r="G65" s="2783">
        <f>('[7]LÁT A'!N44+'[7]LÁT D'!N44+'[7]LÁT C'!N44+'[7]LÁT B'!N44)*0.4+'[7]MỦ DÂY'!AH44*0.5</f>
        <v>24</v>
      </c>
      <c r="H65" s="2782" t="e">
        <f>G65*IF(F65="A",#REF!,IF(F65="B",#REF!,IF(F65="C",#REF!,#REF!)))</f>
        <v>#REF!</v>
      </c>
      <c r="I65" s="2784" t="e">
        <f t="shared" si="9"/>
        <v>#REF!</v>
      </c>
      <c r="J65" s="2782" t="s">
        <v>53</v>
      </c>
      <c r="K65" s="3859" t="s">
        <v>371</v>
      </c>
      <c r="L65" s="3860"/>
      <c r="M65" s="2703">
        <f t="shared" ref="M65:AQ65" si="19">COUNTIF(M66:M81,"X")+COUNTIF(M66:M81,"CN")</f>
        <v>10</v>
      </c>
      <c r="N65" s="2703">
        <f t="shared" si="19"/>
        <v>10</v>
      </c>
      <c r="O65" s="2703">
        <f t="shared" si="19"/>
        <v>14</v>
      </c>
      <c r="P65" s="2703">
        <f t="shared" si="19"/>
        <v>14</v>
      </c>
      <c r="Q65" s="2761">
        <f t="shared" si="19"/>
        <v>13</v>
      </c>
      <c r="R65" s="2703">
        <f t="shared" si="19"/>
        <v>15</v>
      </c>
      <c r="S65" s="2703">
        <f t="shared" si="19"/>
        <v>13</v>
      </c>
      <c r="T65" s="2703">
        <f t="shared" si="19"/>
        <v>11</v>
      </c>
      <c r="U65" s="2703">
        <f t="shared" si="19"/>
        <v>10</v>
      </c>
      <c r="V65" s="2703">
        <f t="shared" si="19"/>
        <v>13</v>
      </c>
      <c r="W65" s="2703">
        <f t="shared" si="19"/>
        <v>13</v>
      </c>
      <c r="X65" s="2761">
        <f t="shared" si="19"/>
        <v>14</v>
      </c>
      <c r="Y65" s="2703">
        <f t="shared" si="19"/>
        <v>14</v>
      </c>
      <c r="Z65" s="2703">
        <f t="shared" si="19"/>
        <v>13</v>
      </c>
      <c r="AA65" s="2703">
        <f t="shared" si="19"/>
        <v>14</v>
      </c>
      <c r="AB65" s="2703">
        <f t="shared" si="19"/>
        <v>5</v>
      </c>
      <c r="AC65" s="2703">
        <f t="shared" si="19"/>
        <v>7</v>
      </c>
      <c r="AD65" s="2703">
        <f t="shared" si="19"/>
        <v>13</v>
      </c>
      <c r="AE65" s="2761">
        <f t="shared" si="19"/>
        <v>3</v>
      </c>
      <c r="AF65" s="2703">
        <f t="shared" si="19"/>
        <v>7</v>
      </c>
      <c r="AG65" s="2703">
        <f t="shared" si="19"/>
        <v>14</v>
      </c>
      <c r="AH65" s="2703">
        <f t="shared" si="19"/>
        <v>11</v>
      </c>
      <c r="AI65" s="2703">
        <f t="shared" si="19"/>
        <v>11</v>
      </c>
      <c r="AJ65" s="2703">
        <f t="shared" si="19"/>
        <v>11</v>
      </c>
      <c r="AK65" s="2703">
        <f t="shared" si="19"/>
        <v>12</v>
      </c>
      <c r="AL65" s="2761">
        <f t="shared" si="19"/>
        <v>11</v>
      </c>
      <c r="AM65" s="2703">
        <f t="shared" si="19"/>
        <v>10</v>
      </c>
      <c r="AN65" s="2703">
        <f t="shared" si="19"/>
        <v>6</v>
      </c>
      <c r="AO65" s="2703">
        <f t="shared" si="19"/>
        <v>12</v>
      </c>
      <c r="AP65" s="2703">
        <f t="shared" si="19"/>
        <v>11</v>
      </c>
      <c r="AQ65" s="2703">
        <f t="shared" si="19"/>
        <v>11</v>
      </c>
      <c r="AR65" s="2799">
        <f>SUM(AR66:AR81)</f>
        <v>305</v>
      </c>
      <c r="AS65" s="2799">
        <f>SUM(AS66:AS81)</f>
        <v>41</v>
      </c>
      <c r="AT65" s="2799">
        <f>SUM(AT66:AT81)</f>
        <v>0</v>
      </c>
      <c r="AU65" s="2799">
        <f>SUM(AU66:AU81)</f>
        <v>0</v>
      </c>
      <c r="AV65" s="2799">
        <f>SUM(AV66:AV81)</f>
        <v>346</v>
      </c>
      <c r="AW65" s="2795"/>
      <c r="AX65" s="2795">
        <f>SUM(AX66:AX81)</f>
        <v>20</v>
      </c>
      <c r="AY65" s="2795"/>
      <c r="BD65" s="2768"/>
      <c r="BE65" s="2768"/>
      <c r="BF65" s="2768"/>
      <c r="BG65" s="2800"/>
      <c r="BH65" s="2801"/>
    </row>
    <row r="66" spans="1:60" ht="23.25" customHeight="1">
      <c r="A66" s="2779"/>
      <c r="B66" s="2780" t="e">
        <f>IF(#REF!&gt;15,40,IF(#REF!&gt;12,35,IF(#REF!&gt;9,30,25)))</f>
        <v>#REF!</v>
      </c>
      <c r="C66" s="2781" t="s">
        <v>92</v>
      </c>
      <c r="D66" s="2781">
        <f t="shared" si="6"/>
        <v>50</v>
      </c>
      <c r="E66" s="2782" t="e">
        <f t="shared" si="7"/>
        <v>#REF!</v>
      </c>
      <c r="F66" s="2776" t="e">
        <f t="shared" si="8"/>
        <v>#REF!</v>
      </c>
      <c r="G66" s="2783">
        <f>('[7]LÁT A'!N45+'[7]LÁT D'!N45+'[7]LÁT C'!N45+'[7]LÁT B'!N45)*0.4+'[7]MỦ DÂY'!AH45*0.5</f>
        <v>0</v>
      </c>
      <c r="H66" s="2782" t="e">
        <f>G66*IF(F66="A",#REF!,IF(F66="B",#REF!,IF(F66="C",#REF!,#REF!)))</f>
        <v>#REF!</v>
      </c>
      <c r="I66" s="2784" t="e">
        <f t="shared" si="9"/>
        <v>#REF!</v>
      </c>
      <c r="J66" s="2785">
        <v>52</v>
      </c>
      <c r="K66" s="2785">
        <v>1</v>
      </c>
      <c r="L66" s="2802" t="s">
        <v>747</v>
      </c>
      <c r="M66" s="3420"/>
      <c r="N66" s="3420"/>
      <c r="O66" s="3420" t="s">
        <v>142</v>
      </c>
      <c r="P66" s="3420" t="s">
        <v>142</v>
      </c>
      <c r="Q66" s="3305" t="s">
        <v>1190</v>
      </c>
      <c r="R66" s="3420" t="s">
        <v>142</v>
      </c>
      <c r="S66" s="3420" t="s">
        <v>142</v>
      </c>
      <c r="T66" s="3420" t="s">
        <v>142</v>
      </c>
      <c r="U66" s="3590"/>
      <c r="V66" s="3420" t="s">
        <v>142</v>
      </c>
      <c r="W66" s="3420" t="s">
        <v>142</v>
      </c>
      <c r="X66" s="3305" t="s">
        <v>1190</v>
      </c>
      <c r="Y66" s="3420" t="s">
        <v>142</v>
      </c>
      <c r="Z66" s="3420" t="s">
        <v>142</v>
      </c>
      <c r="AA66" s="3420" t="s">
        <v>142</v>
      </c>
      <c r="AB66" s="3590"/>
      <c r="AC66" s="3420"/>
      <c r="AD66" s="3420" t="s">
        <v>142</v>
      </c>
      <c r="AE66" s="3420"/>
      <c r="AF66" s="3420"/>
      <c r="AG66" s="3420"/>
      <c r="AH66" s="3420"/>
      <c r="AI66" s="3590"/>
      <c r="AJ66" s="3420"/>
      <c r="AK66" s="3420" t="s">
        <v>142</v>
      </c>
      <c r="AL66" s="3305" t="s">
        <v>1190</v>
      </c>
      <c r="AM66" s="3420" t="s">
        <v>142</v>
      </c>
      <c r="AN66" s="3420" t="s">
        <v>142</v>
      </c>
      <c r="AO66" s="3420" t="s">
        <v>142</v>
      </c>
      <c r="AP66" s="3590" t="s">
        <v>142</v>
      </c>
      <c r="AQ66" s="3590" t="s">
        <v>142</v>
      </c>
      <c r="AR66" s="2787">
        <f>COUNTIF(M66:AQ66,"X")</f>
        <v>17</v>
      </c>
      <c r="AS66" s="2788">
        <f t="shared" ref="AS66:AS81" si="20">+COUNTIF(M66:AQ66,"CN")</f>
        <v>3</v>
      </c>
      <c r="AT66" s="2787">
        <f t="shared" ref="AT66:AT81" si="21">COUNTIF(Q66:AQ66,"X1")</f>
        <v>0</v>
      </c>
      <c r="AU66" s="2788">
        <f t="shared" ref="AU66:AU81" si="22">+COUNTIF(Q66:AS66,"CN1")</f>
        <v>0</v>
      </c>
      <c r="AV66" s="2803">
        <f t="shared" ref="AV66:AV81" si="23">+SUM(AR66:AS66)</f>
        <v>20</v>
      </c>
      <c r="AW66" s="2781"/>
      <c r="AX66" s="2792" t="b">
        <f t="shared" ref="AX66:AX74" si="24">IF(AV66=31,20,IF(AV66&gt;=25,10))</f>
        <v>0</v>
      </c>
      <c r="AY66" s="2782"/>
      <c r="BG66" s="2804"/>
    </row>
    <row r="67" spans="1:60" ht="23.25" customHeight="1">
      <c r="A67" s="2779" t="e">
        <f>#REF!*#REF!+#REF!*#REF!</f>
        <v>#REF!</v>
      </c>
      <c r="B67" s="2780" t="e">
        <f>IF(#REF!&gt;15,40,IF(#REF!&gt;12,35,IF(#REF!&gt;9,30,25)))</f>
        <v>#REF!</v>
      </c>
      <c r="C67" s="2781" t="s">
        <v>92</v>
      </c>
      <c r="D67" s="2781">
        <f t="shared" si="6"/>
        <v>50</v>
      </c>
      <c r="E67" s="2782" t="e">
        <f t="shared" si="7"/>
        <v>#REF!</v>
      </c>
      <c r="F67" s="2776" t="e">
        <f t="shared" si="8"/>
        <v>#REF!</v>
      </c>
      <c r="G67" s="2783">
        <f>('[7]LÁT A'!N46+'[7]LÁT D'!N46+'[7]LÁT C'!N46+'[7]LÁT B'!N46)*0.4+'[7]MỦ DÂY'!AH46*0.5</f>
        <v>19.200000000000003</v>
      </c>
      <c r="H67" s="2782" t="e">
        <f>G67*IF(F67="A",#REF!,IF(F67="B",#REF!,IF(F67="C",#REF!,#REF!)))</f>
        <v>#REF!</v>
      </c>
      <c r="I67" s="2784" t="e">
        <f t="shared" si="9"/>
        <v>#REF!</v>
      </c>
      <c r="J67" s="2785">
        <v>53</v>
      </c>
      <c r="K67" s="2785">
        <v>2</v>
      </c>
      <c r="L67" s="2802" t="s">
        <v>968</v>
      </c>
      <c r="M67" s="3420"/>
      <c r="N67" s="3420"/>
      <c r="O67" s="3420" t="s">
        <v>142</v>
      </c>
      <c r="P67" s="3420"/>
      <c r="Q67" s="3305"/>
      <c r="R67" s="3420"/>
      <c r="S67" s="3420"/>
      <c r="T67" s="3420"/>
      <c r="U67" s="3590"/>
      <c r="V67" s="3420"/>
      <c r="W67" s="3420"/>
      <c r="X67" s="3305" t="s">
        <v>1190</v>
      </c>
      <c r="Y67" s="3420"/>
      <c r="Z67" s="3420"/>
      <c r="AA67" s="3420"/>
      <c r="AB67" s="3590"/>
      <c r="AC67" s="3420"/>
      <c r="AD67" s="3420"/>
      <c r="AE67" s="3420"/>
      <c r="AF67" s="3420"/>
      <c r="AG67" s="3420" t="s">
        <v>142</v>
      </c>
      <c r="AH67" s="3420"/>
      <c r="AI67" s="3590"/>
      <c r="AJ67" s="3420"/>
      <c r="AK67" s="3420"/>
      <c r="AL67" s="3420"/>
      <c r="AM67" s="3420"/>
      <c r="AN67" s="3420" t="s">
        <v>142</v>
      </c>
      <c r="AO67" s="3420" t="s">
        <v>142</v>
      </c>
      <c r="AP67" s="3590" t="s">
        <v>142</v>
      </c>
      <c r="AQ67" s="3590" t="s">
        <v>142</v>
      </c>
      <c r="AR67" s="2787">
        <f t="shared" ref="AR67:AR81" si="25">COUNTIF(M67:AQ67,"X")</f>
        <v>6</v>
      </c>
      <c r="AS67" s="2788">
        <f t="shared" si="20"/>
        <v>1</v>
      </c>
      <c r="AT67" s="2787">
        <f t="shared" si="21"/>
        <v>0</v>
      </c>
      <c r="AU67" s="2788">
        <f t="shared" si="22"/>
        <v>0</v>
      </c>
      <c r="AV67" s="2803">
        <f t="shared" si="23"/>
        <v>7</v>
      </c>
      <c r="AW67" s="2781"/>
      <c r="AX67" s="2792" t="b">
        <f t="shared" si="24"/>
        <v>0</v>
      </c>
      <c r="AY67" s="2782"/>
      <c r="BG67" s="2804"/>
    </row>
    <row r="68" spans="1:60" ht="23.25" customHeight="1">
      <c r="A68" s="2779" t="e">
        <f>#REF!*#REF!+#REF!*#REF!</f>
        <v>#REF!</v>
      </c>
      <c r="B68" s="2780" t="e">
        <f>IF(#REF!&gt;15,40,IF(#REF!&gt;12,35,IF(#REF!&gt;9,30,25)))</f>
        <v>#REF!</v>
      </c>
      <c r="C68" s="2781" t="s">
        <v>92</v>
      </c>
      <c r="D68" s="2781">
        <f t="shared" si="6"/>
        <v>50</v>
      </c>
      <c r="E68" s="2782" t="e">
        <f t="shared" si="7"/>
        <v>#REF!</v>
      </c>
      <c r="F68" s="2776" t="e">
        <f t="shared" si="8"/>
        <v>#REF!</v>
      </c>
      <c r="G68" s="2783">
        <f>('[7]LÁT A'!N47+'[7]LÁT D'!N47+'[7]LÁT C'!N47+'[7]LÁT B'!N47)*0.4+'[7]MỦ DÂY'!AH47*0.5</f>
        <v>0</v>
      </c>
      <c r="H68" s="2782" t="e">
        <f>G68*IF(F68="A",#REF!,IF(F68="B",#REF!,IF(F68="C",#REF!,#REF!)))</f>
        <v>#REF!</v>
      </c>
      <c r="I68" s="2784" t="e">
        <f t="shared" si="9"/>
        <v>#REF!</v>
      </c>
      <c r="J68" s="2785">
        <v>54</v>
      </c>
      <c r="K68" s="2785">
        <v>3</v>
      </c>
      <c r="L68" s="2802" t="s">
        <v>978</v>
      </c>
      <c r="M68" s="3420" t="s">
        <v>142</v>
      </c>
      <c r="N68" s="3420" t="s">
        <v>142</v>
      </c>
      <c r="O68" s="3420"/>
      <c r="P68" s="3420" t="s">
        <v>142</v>
      </c>
      <c r="Q68" s="3305" t="s">
        <v>1190</v>
      </c>
      <c r="R68" s="3420" t="s">
        <v>142</v>
      </c>
      <c r="S68" s="3420"/>
      <c r="T68" s="3420" t="s">
        <v>142</v>
      </c>
      <c r="U68" s="3590" t="s">
        <v>142</v>
      </c>
      <c r="V68" s="3420"/>
      <c r="W68" s="3420"/>
      <c r="X68" s="3305" t="s">
        <v>1190</v>
      </c>
      <c r="Y68" s="3420"/>
      <c r="Z68" s="3420"/>
      <c r="AA68" s="3420" t="s">
        <v>142</v>
      </c>
      <c r="AB68" s="3590"/>
      <c r="AC68" s="3420" t="s">
        <v>142</v>
      </c>
      <c r="AD68" s="3420" t="s">
        <v>142</v>
      </c>
      <c r="AE68" s="3420"/>
      <c r="AF68" s="3420" t="s">
        <v>142</v>
      </c>
      <c r="AG68" s="3420" t="s">
        <v>142</v>
      </c>
      <c r="AH68" s="3420" t="s">
        <v>142</v>
      </c>
      <c r="AI68" s="3590" t="s">
        <v>142</v>
      </c>
      <c r="AJ68" s="3420"/>
      <c r="AK68" s="3420" t="s">
        <v>142</v>
      </c>
      <c r="AL68" s="3305" t="s">
        <v>1190</v>
      </c>
      <c r="AM68" s="3420" t="s">
        <v>142</v>
      </c>
      <c r="AN68" s="3420"/>
      <c r="AO68" s="3420" t="s">
        <v>142</v>
      </c>
      <c r="AP68" s="3590" t="s">
        <v>142</v>
      </c>
      <c r="AQ68" s="3590" t="s">
        <v>142</v>
      </c>
      <c r="AR68" s="2787">
        <f t="shared" si="25"/>
        <v>18</v>
      </c>
      <c r="AS68" s="2788">
        <f t="shared" si="20"/>
        <v>3</v>
      </c>
      <c r="AT68" s="2787">
        <f t="shared" si="21"/>
        <v>0</v>
      </c>
      <c r="AU68" s="2788">
        <f t="shared" si="22"/>
        <v>0</v>
      </c>
      <c r="AV68" s="2803">
        <f t="shared" si="23"/>
        <v>21</v>
      </c>
      <c r="AW68" s="2781"/>
      <c r="AX68" s="2792" t="b">
        <f t="shared" si="24"/>
        <v>0</v>
      </c>
      <c r="AY68" s="2782"/>
      <c r="BG68" s="2804"/>
    </row>
    <row r="69" spans="1:60" ht="23.25" customHeight="1">
      <c r="A69" s="2779" t="e">
        <f>#REF!*#REF!+#REF!*#REF!</f>
        <v>#REF!</v>
      </c>
      <c r="B69" s="2780" t="e">
        <f>IF(#REF!&gt;15,40,IF(#REF!&gt;12,35,IF(#REF!&gt;9,30,25)))</f>
        <v>#REF!</v>
      </c>
      <c r="C69" s="2781" t="s">
        <v>92</v>
      </c>
      <c r="D69" s="2781">
        <f t="shared" si="6"/>
        <v>50</v>
      </c>
      <c r="E69" s="2782" t="e">
        <f t="shared" si="7"/>
        <v>#REF!</v>
      </c>
      <c r="F69" s="2776" t="e">
        <f t="shared" si="8"/>
        <v>#REF!</v>
      </c>
      <c r="G69" s="2783">
        <f>('[7]LÁT A'!N48+'[7]LÁT D'!N48+'[7]LÁT C'!N48+'[7]LÁT B'!N48)*0.4+'[7]MỦ DÂY'!AH48*0.5</f>
        <v>16</v>
      </c>
      <c r="H69" s="2782" t="e">
        <f>G69*IF(F69="A",#REF!,IF(F69="B",#REF!,IF(F69="C",#REF!,#REF!)))</f>
        <v>#REF!</v>
      </c>
      <c r="I69" s="2784" t="e">
        <f t="shared" si="9"/>
        <v>#REF!</v>
      </c>
      <c r="J69" s="2785">
        <v>55</v>
      </c>
      <c r="K69" s="2785">
        <v>4</v>
      </c>
      <c r="L69" s="2802" t="s">
        <v>753</v>
      </c>
      <c r="M69" s="3420" t="s">
        <v>142</v>
      </c>
      <c r="N69" s="3420" t="s">
        <v>142</v>
      </c>
      <c r="O69" s="3420" t="s">
        <v>142</v>
      </c>
      <c r="P69" s="3420" t="s">
        <v>142</v>
      </c>
      <c r="Q69" s="3305" t="s">
        <v>1190</v>
      </c>
      <c r="R69" s="3420" t="s">
        <v>142</v>
      </c>
      <c r="S69" s="3420" t="s">
        <v>142</v>
      </c>
      <c r="T69" s="3420" t="s">
        <v>142</v>
      </c>
      <c r="U69" s="3590" t="s">
        <v>142</v>
      </c>
      <c r="V69" s="3420" t="s">
        <v>142</v>
      </c>
      <c r="W69" s="3420" t="s">
        <v>142</v>
      </c>
      <c r="X69" s="3420"/>
      <c r="Y69" s="3420" t="s">
        <v>142</v>
      </c>
      <c r="Z69" s="3420" t="s">
        <v>142</v>
      </c>
      <c r="AA69" s="3420" t="s">
        <v>142</v>
      </c>
      <c r="AB69" s="3590"/>
      <c r="AC69" s="3420"/>
      <c r="AD69" s="3420" t="s">
        <v>142</v>
      </c>
      <c r="AE69" s="3420"/>
      <c r="AF69" s="3420" t="s">
        <v>142</v>
      </c>
      <c r="AG69" s="3421" t="s">
        <v>142</v>
      </c>
      <c r="AH69" s="3421" t="s">
        <v>142</v>
      </c>
      <c r="AI69" s="3590" t="s">
        <v>142</v>
      </c>
      <c r="AJ69" s="3421" t="s">
        <v>142</v>
      </c>
      <c r="AK69" s="3421" t="s">
        <v>142</v>
      </c>
      <c r="AL69" s="3305" t="s">
        <v>1190</v>
      </c>
      <c r="AM69" s="3420"/>
      <c r="AN69" s="3420"/>
      <c r="AO69" s="3421" t="s">
        <v>142</v>
      </c>
      <c r="AP69" s="3590" t="s">
        <v>142</v>
      </c>
      <c r="AQ69" s="3590" t="s">
        <v>142</v>
      </c>
      <c r="AR69" s="2787">
        <f t="shared" si="25"/>
        <v>23</v>
      </c>
      <c r="AS69" s="2788">
        <f t="shared" si="20"/>
        <v>2</v>
      </c>
      <c r="AT69" s="2787">
        <f t="shared" si="21"/>
        <v>0</v>
      </c>
      <c r="AU69" s="2788">
        <f t="shared" si="22"/>
        <v>0</v>
      </c>
      <c r="AV69" s="2803">
        <f t="shared" si="23"/>
        <v>25</v>
      </c>
      <c r="AW69" s="2781"/>
      <c r="AX69" s="2792">
        <f t="shared" si="24"/>
        <v>10</v>
      </c>
      <c r="AY69" s="2782"/>
      <c r="BG69" s="2804"/>
    </row>
    <row r="70" spans="1:60" ht="23.25" customHeight="1">
      <c r="A70" s="2779" t="e">
        <f>#REF!*#REF!+#REF!*#REF!</f>
        <v>#REF!</v>
      </c>
      <c r="B70" s="2780" t="e">
        <f>IF(#REF!&gt;15,40,IF(#REF!&gt;12,35,IF(#REF!&gt;9,30,25)))</f>
        <v>#REF!</v>
      </c>
      <c r="C70" s="2781" t="s">
        <v>92</v>
      </c>
      <c r="D70" s="2781">
        <f t="shared" si="6"/>
        <v>50</v>
      </c>
      <c r="E70" s="2782" t="e">
        <f t="shared" si="7"/>
        <v>#REF!</v>
      </c>
      <c r="F70" s="2776" t="e">
        <f t="shared" si="8"/>
        <v>#REF!</v>
      </c>
      <c r="G70" s="2783">
        <f>('[7]LÁT A'!N49+'[7]LÁT D'!N49+'[7]LÁT C'!N49+'[7]LÁT B'!N49)*0.4+'[7]MỦ DÂY'!AH49*0.5</f>
        <v>0</v>
      </c>
      <c r="H70" s="2782" t="e">
        <f>G70*IF(F70="A",#REF!,IF(F70="B",#REF!,IF(F70="C",#REF!,#REF!)))</f>
        <v>#REF!</v>
      </c>
      <c r="I70" s="2784" t="e">
        <f t="shared" si="9"/>
        <v>#REF!</v>
      </c>
      <c r="J70" s="2785">
        <v>56</v>
      </c>
      <c r="K70" s="2785">
        <v>5</v>
      </c>
      <c r="L70" s="2802" t="s">
        <v>977</v>
      </c>
      <c r="M70" s="3420" t="s">
        <v>142</v>
      </c>
      <c r="N70" s="3420" t="s">
        <v>1778</v>
      </c>
      <c r="O70" s="3420" t="s">
        <v>142</v>
      </c>
      <c r="P70" s="3420" t="s">
        <v>142</v>
      </c>
      <c r="Q70" s="3305" t="s">
        <v>1190</v>
      </c>
      <c r="R70" s="3420" t="s">
        <v>142</v>
      </c>
      <c r="S70" s="3420" t="s">
        <v>142</v>
      </c>
      <c r="T70" s="3420" t="s">
        <v>142</v>
      </c>
      <c r="U70" s="3590" t="s">
        <v>142</v>
      </c>
      <c r="V70" s="3420" t="s">
        <v>142</v>
      </c>
      <c r="W70" s="3420"/>
      <c r="X70" s="3420"/>
      <c r="Y70" s="3420" t="s">
        <v>142</v>
      </c>
      <c r="Z70" s="3420" t="s">
        <v>142</v>
      </c>
      <c r="AA70" s="3420" t="s">
        <v>142</v>
      </c>
      <c r="AB70" s="3590"/>
      <c r="AC70" s="3420"/>
      <c r="AD70" s="3420"/>
      <c r="AE70" s="3420"/>
      <c r="AF70" s="3420"/>
      <c r="AG70" s="3421" t="s">
        <v>142</v>
      </c>
      <c r="AH70" s="3421" t="s">
        <v>142</v>
      </c>
      <c r="AI70" s="3590" t="s">
        <v>142</v>
      </c>
      <c r="AJ70" s="3421" t="s">
        <v>142</v>
      </c>
      <c r="AK70" s="3421" t="s">
        <v>142</v>
      </c>
      <c r="AL70" s="3305" t="s">
        <v>1190</v>
      </c>
      <c r="AM70" s="3420"/>
      <c r="AN70" s="3420"/>
      <c r="AO70" s="3421" t="s">
        <v>142</v>
      </c>
      <c r="AP70" s="3590" t="s">
        <v>142</v>
      </c>
      <c r="AQ70" s="3590" t="s">
        <v>142</v>
      </c>
      <c r="AR70" s="2787">
        <f t="shared" si="25"/>
        <v>19</v>
      </c>
      <c r="AS70" s="2788">
        <f t="shared" si="20"/>
        <v>2</v>
      </c>
      <c r="AT70" s="2787">
        <f t="shared" si="21"/>
        <v>0</v>
      </c>
      <c r="AU70" s="2788">
        <f t="shared" si="22"/>
        <v>0</v>
      </c>
      <c r="AV70" s="2803">
        <f t="shared" si="23"/>
        <v>21</v>
      </c>
      <c r="AW70" s="2781"/>
      <c r="AX70" s="2792" t="b">
        <f t="shared" si="24"/>
        <v>0</v>
      </c>
      <c r="AY70" s="2782"/>
      <c r="BG70" s="2804"/>
    </row>
    <row r="71" spans="1:60" ht="23.25" customHeight="1">
      <c r="A71" s="2779" t="e">
        <f>#REF!*#REF!+#REF!*#REF!</f>
        <v>#REF!</v>
      </c>
      <c r="B71" s="2780" t="e">
        <f>IF(#REF!&gt;15,40,IF(#REF!&gt;12,35,IF(#REF!&gt;9,30,25)))</f>
        <v>#REF!</v>
      </c>
      <c r="C71" s="2781" t="s">
        <v>92</v>
      </c>
      <c r="D71" s="2781">
        <f t="shared" si="6"/>
        <v>50</v>
      </c>
      <c r="E71" s="2782" t="e">
        <f t="shared" si="7"/>
        <v>#REF!</v>
      </c>
      <c r="F71" s="2776" t="e">
        <f t="shared" si="8"/>
        <v>#REF!</v>
      </c>
      <c r="G71" s="2783">
        <f>('[7]LÁT A'!N50+'[7]LÁT D'!N50+'[7]LÁT C'!N50+'[7]LÁT B'!N50)*0.4+'[7]MỦ DÂY'!AH50*0.5</f>
        <v>17.600000000000001</v>
      </c>
      <c r="H71" s="2782" t="e">
        <f>G71*IF(F71="A",#REF!,IF(F71="B",#REF!,IF(F71="C",#REF!,#REF!)))</f>
        <v>#REF!</v>
      </c>
      <c r="I71" s="2784" t="e">
        <f t="shared" si="9"/>
        <v>#REF!</v>
      </c>
      <c r="J71" s="2785">
        <v>57</v>
      </c>
      <c r="K71" s="2785">
        <v>6</v>
      </c>
      <c r="L71" s="2802" t="s">
        <v>926</v>
      </c>
      <c r="M71" s="3420"/>
      <c r="N71" s="3420"/>
      <c r="O71" s="3420" t="s">
        <v>142</v>
      </c>
      <c r="P71" s="3420" t="s">
        <v>142</v>
      </c>
      <c r="Q71" s="3305" t="s">
        <v>1190</v>
      </c>
      <c r="R71" s="3420" t="s">
        <v>142</v>
      </c>
      <c r="S71" s="3420" t="s">
        <v>142</v>
      </c>
      <c r="T71" s="3420" t="s">
        <v>142</v>
      </c>
      <c r="U71" s="3590" t="s">
        <v>142</v>
      </c>
      <c r="V71" s="3420" t="s">
        <v>142</v>
      </c>
      <c r="W71" s="3420" t="s">
        <v>142</v>
      </c>
      <c r="X71" s="3305" t="s">
        <v>1190</v>
      </c>
      <c r="Y71" s="3420" t="s">
        <v>142</v>
      </c>
      <c r="Z71" s="3420" t="s">
        <v>142</v>
      </c>
      <c r="AA71" s="3420" t="s">
        <v>142</v>
      </c>
      <c r="AB71" s="3590"/>
      <c r="AC71" s="3420"/>
      <c r="AD71" s="3420" t="s">
        <v>142</v>
      </c>
      <c r="AE71" s="3420"/>
      <c r="AF71" s="3420"/>
      <c r="AG71" s="3420" t="s">
        <v>142</v>
      </c>
      <c r="AH71" s="3420"/>
      <c r="AI71" s="3590"/>
      <c r="AJ71" s="3420"/>
      <c r="AK71" s="3420" t="s">
        <v>142</v>
      </c>
      <c r="AL71" s="3305" t="s">
        <v>1190</v>
      </c>
      <c r="AM71" s="3420" t="s">
        <v>142</v>
      </c>
      <c r="AN71" s="3420" t="s">
        <v>142</v>
      </c>
      <c r="AO71" s="3420" t="s">
        <v>142</v>
      </c>
      <c r="AP71" s="3590" t="s">
        <v>142</v>
      </c>
      <c r="AQ71" s="3590" t="s">
        <v>142</v>
      </c>
      <c r="AR71" s="2787">
        <f t="shared" si="25"/>
        <v>19</v>
      </c>
      <c r="AS71" s="2788">
        <f t="shared" si="20"/>
        <v>3</v>
      </c>
      <c r="AT71" s="2787">
        <f t="shared" si="21"/>
        <v>0</v>
      </c>
      <c r="AU71" s="2788">
        <f t="shared" si="22"/>
        <v>0</v>
      </c>
      <c r="AV71" s="2803">
        <f t="shared" si="23"/>
        <v>22</v>
      </c>
      <c r="AW71" s="2781"/>
      <c r="AX71" s="2792" t="b">
        <f t="shared" si="24"/>
        <v>0</v>
      </c>
      <c r="AY71" s="2782"/>
      <c r="BG71" s="2804"/>
    </row>
    <row r="72" spans="1:60" ht="23.25" customHeight="1">
      <c r="A72" s="2779" t="e">
        <f>#REF!*#REF!+#REF!*#REF!</f>
        <v>#REF!</v>
      </c>
      <c r="B72" s="2780" t="e">
        <f>IF(#REF!&gt;15,40,IF(#REF!&gt;12,35,IF(#REF!&gt;9,30,25)))</f>
        <v>#REF!</v>
      </c>
      <c r="C72" s="2781" t="s">
        <v>92</v>
      </c>
      <c r="D72" s="2781">
        <f t="shared" si="6"/>
        <v>50</v>
      </c>
      <c r="E72" s="2782" t="e">
        <f t="shared" si="7"/>
        <v>#REF!</v>
      </c>
      <c r="F72" s="2776" t="e">
        <f t="shared" si="8"/>
        <v>#REF!</v>
      </c>
      <c r="G72" s="2783">
        <f>('[7]LÁT A'!N51+'[7]LÁT D'!N51+'[7]LÁT C'!N51+'[7]LÁT B'!N51)*0.4+'[7]MỦ DÂY'!AH51*0.5</f>
        <v>0</v>
      </c>
      <c r="H72" s="2782" t="e">
        <f>G72*IF(F72="A",#REF!,IF(F72="B",#REF!,IF(F72="C",#REF!,#REF!)))</f>
        <v>#REF!</v>
      </c>
      <c r="I72" s="2784" t="e">
        <f t="shared" si="9"/>
        <v>#REF!</v>
      </c>
      <c r="J72" s="2785">
        <v>58</v>
      </c>
      <c r="K72" s="2785">
        <v>7</v>
      </c>
      <c r="L72" s="2802" t="s">
        <v>1734</v>
      </c>
      <c r="M72" s="3420" t="s">
        <v>142</v>
      </c>
      <c r="N72" s="3420" t="s">
        <v>142</v>
      </c>
      <c r="O72" s="3420" t="s">
        <v>142</v>
      </c>
      <c r="P72" s="3420" t="s">
        <v>142</v>
      </c>
      <c r="Q72" s="3305" t="s">
        <v>1190</v>
      </c>
      <c r="R72" s="3420" t="s">
        <v>142</v>
      </c>
      <c r="S72" s="3420" t="s">
        <v>142</v>
      </c>
      <c r="T72" s="3420" t="s">
        <v>142</v>
      </c>
      <c r="U72" s="3590" t="s">
        <v>142</v>
      </c>
      <c r="V72" s="3420" t="s">
        <v>142</v>
      </c>
      <c r="W72" s="3420" t="s">
        <v>142</v>
      </c>
      <c r="X72" s="3305" t="s">
        <v>1190</v>
      </c>
      <c r="Y72" s="3420" t="s">
        <v>142</v>
      </c>
      <c r="Z72" s="3420" t="s">
        <v>142</v>
      </c>
      <c r="AA72" s="3420" t="s">
        <v>142</v>
      </c>
      <c r="AB72" s="3590" t="s">
        <v>142</v>
      </c>
      <c r="AC72" s="3420"/>
      <c r="AD72" s="3420" t="s">
        <v>142</v>
      </c>
      <c r="AE72" s="3305" t="s">
        <v>1190</v>
      </c>
      <c r="AF72" s="3420"/>
      <c r="AG72" s="3420" t="s">
        <v>142</v>
      </c>
      <c r="AH72" s="3420"/>
      <c r="AI72" s="3590"/>
      <c r="AJ72" s="3420" t="s">
        <v>142</v>
      </c>
      <c r="AK72" s="3420" t="s">
        <v>142</v>
      </c>
      <c r="AL72" s="3305" t="s">
        <v>1190</v>
      </c>
      <c r="AM72" s="3420" t="s">
        <v>142</v>
      </c>
      <c r="AN72" s="3420"/>
      <c r="AO72" s="3420" t="s">
        <v>142</v>
      </c>
      <c r="AP72" s="3590" t="s">
        <v>142</v>
      </c>
      <c r="AQ72" s="3590" t="s">
        <v>142</v>
      </c>
      <c r="AR72" s="2787">
        <f t="shared" si="25"/>
        <v>22</v>
      </c>
      <c r="AS72" s="2788">
        <f t="shared" si="20"/>
        <v>4</v>
      </c>
      <c r="AT72" s="2787">
        <f t="shared" si="21"/>
        <v>0</v>
      </c>
      <c r="AU72" s="2788">
        <f t="shared" si="22"/>
        <v>0</v>
      </c>
      <c r="AV72" s="2803">
        <f t="shared" si="23"/>
        <v>26</v>
      </c>
      <c r="AW72" s="2781"/>
      <c r="AX72" s="2792">
        <f t="shared" si="24"/>
        <v>10</v>
      </c>
      <c r="AY72" s="2782"/>
      <c r="BG72" s="2804"/>
    </row>
    <row r="73" spans="1:60" ht="21.75" customHeight="1">
      <c r="A73" s="2779" t="e">
        <f>#REF!*#REF!+#REF!*#REF!</f>
        <v>#REF!</v>
      </c>
      <c r="B73" s="2780" t="e">
        <f>IF(#REF!&gt;15,40,IF(#REF!&gt;12,35,IF(#REF!&gt;9,30,25)))</f>
        <v>#REF!</v>
      </c>
      <c r="C73" s="2781" t="s">
        <v>92</v>
      </c>
      <c r="D73" s="2781">
        <f t="shared" si="6"/>
        <v>50</v>
      </c>
      <c r="E73" s="2782" t="e">
        <f t="shared" si="7"/>
        <v>#REF!</v>
      </c>
      <c r="F73" s="2776" t="e">
        <f t="shared" si="8"/>
        <v>#REF!</v>
      </c>
      <c r="G73" s="2783">
        <f>('[7]LÁT A'!N52+'[7]LÁT D'!N52+'[7]LÁT C'!N52+'[7]LÁT B'!N52)*0.4+'[7]MỦ DÂY'!AH52*0.5</f>
        <v>0</v>
      </c>
      <c r="H73" s="2782" t="e">
        <f>G73*IF(F73="A",#REF!,IF(F73="B",#REF!,IF(F73="C",#REF!,#REF!)))</f>
        <v>#REF!</v>
      </c>
      <c r="I73" s="2784" t="e">
        <f t="shared" si="9"/>
        <v>#REF!</v>
      </c>
      <c r="J73" s="2785">
        <v>59</v>
      </c>
      <c r="K73" s="2805">
        <v>8</v>
      </c>
      <c r="L73" s="2802" t="s">
        <v>1731</v>
      </c>
      <c r="M73" s="3420" t="s">
        <v>142</v>
      </c>
      <c r="N73" s="3420" t="s">
        <v>142</v>
      </c>
      <c r="O73" s="3420" t="s">
        <v>142</v>
      </c>
      <c r="P73" s="3420" t="s">
        <v>142</v>
      </c>
      <c r="Q73" s="3305" t="s">
        <v>1190</v>
      </c>
      <c r="R73" s="3420" t="s">
        <v>142</v>
      </c>
      <c r="S73" s="3420" t="s">
        <v>142</v>
      </c>
      <c r="T73" s="3420"/>
      <c r="U73" s="3420"/>
      <c r="V73" s="3420" t="s">
        <v>142</v>
      </c>
      <c r="W73" s="3420" t="s">
        <v>142</v>
      </c>
      <c r="X73" s="3305" t="s">
        <v>1190</v>
      </c>
      <c r="Y73" s="3420" t="s">
        <v>142</v>
      </c>
      <c r="Z73" s="3420" t="s">
        <v>142</v>
      </c>
      <c r="AA73" s="3420" t="s">
        <v>142</v>
      </c>
      <c r="AB73" s="3420" t="s">
        <v>142</v>
      </c>
      <c r="AC73" s="3420" t="s">
        <v>142</v>
      </c>
      <c r="AD73" s="3420" t="s">
        <v>142</v>
      </c>
      <c r="AE73" s="3420"/>
      <c r="AF73" s="3420" t="s">
        <v>142</v>
      </c>
      <c r="AG73" s="3422" t="s">
        <v>142</v>
      </c>
      <c r="AH73" s="3422" t="s">
        <v>142</v>
      </c>
      <c r="AI73" s="3422" t="s">
        <v>142</v>
      </c>
      <c r="AJ73" s="3422" t="s">
        <v>142</v>
      </c>
      <c r="AK73" s="3422"/>
      <c r="AL73" s="3590"/>
      <c r="AM73" s="3420"/>
      <c r="AN73" s="3420"/>
      <c r="AO73" s="3590"/>
      <c r="AP73" s="3590"/>
      <c r="AQ73" s="3590"/>
      <c r="AR73" s="2787">
        <f t="shared" si="25"/>
        <v>19</v>
      </c>
      <c r="AS73" s="2788">
        <f t="shared" si="20"/>
        <v>2</v>
      </c>
      <c r="AT73" s="2787">
        <f t="shared" si="21"/>
        <v>0</v>
      </c>
      <c r="AU73" s="2788">
        <f t="shared" si="22"/>
        <v>0</v>
      </c>
      <c r="AV73" s="2803">
        <f t="shared" si="23"/>
        <v>21</v>
      </c>
      <c r="AW73" s="2781"/>
      <c r="AX73" s="2792" t="b">
        <f t="shared" si="24"/>
        <v>0</v>
      </c>
      <c r="AY73" s="2782"/>
      <c r="BG73" s="2804"/>
    </row>
    <row r="74" spans="1:60" ht="21.75" customHeight="1">
      <c r="A74" s="2779" t="e">
        <f>#REF!*#REF!+#REF!*#REF!</f>
        <v>#REF!</v>
      </c>
      <c r="B74" s="2780" t="e">
        <f>IF(#REF!&gt;15,40,IF(#REF!&gt;12,35,IF(#REF!&gt;9,30,25)))</f>
        <v>#REF!</v>
      </c>
      <c r="C74" s="2781" t="s">
        <v>92</v>
      </c>
      <c r="D74" s="2781">
        <f t="shared" si="6"/>
        <v>50</v>
      </c>
      <c r="E74" s="2782" t="e">
        <f t="shared" si="7"/>
        <v>#REF!</v>
      </c>
      <c r="F74" s="2776" t="e">
        <f t="shared" si="8"/>
        <v>#REF!</v>
      </c>
      <c r="G74" s="2783">
        <f>('[7]LÁT A'!N53+'[7]LÁT D'!N53+'[7]LÁT C'!N53+'[7]LÁT B'!N53)*0.4+'[7]MỦ DÂY'!AH53*0.5</f>
        <v>0</v>
      </c>
      <c r="H74" s="2782" t="e">
        <f>G74*IF(F74="A",#REF!,IF(F74="B",#REF!,IF(F74="C",#REF!,#REF!)))</f>
        <v>#REF!</v>
      </c>
      <c r="I74" s="2784" t="e">
        <f t="shared" si="9"/>
        <v>#REF!</v>
      </c>
      <c r="J74" s="2785">
        <v>60</v>
      </c>
      <c r="K74" s="2805">
        <v>9</v>
      </c>
      <c r="L74" s="2802" t="s">
        <v>1732</v>
      </c>
      <c r="M74" s="3420" t="s">
        <v>142</v>
      </c>
      <c r="N74" s="3420" t="s">
        <v>142</v>
      </c>
      <c r="O74" s="3420" t="s">
        <v>142</v>
      </c>
      <c r="P74" s="3420" t="s">
        <v>142</v>
      </c>
      <c r="Q74" s="3305" t="s">
        <v>1190</v>
      </c>
      <c r="R74" s="3420" t="s">
        <v>142</v>
      </c>
      <c r="S74" s="3420" t="s">
        <v>142</v>
      </c>
      <c r="T74" s="3420"/>
      <c r="U74" s="3420"/>
      <c r="V74" s="3420" t="s">
        <v>142</v>
      </c>
      <c r="W74" s="3420" t="s">
        <v>142</v>
      </c>
      <c r="X74" s="3305" t="s">
        <v>1190</v>
      </c>
      <c r="Y74" s="3420" t="s">
        <v>142</v>
      </c>
      <c r="Z74" s="3420" t="s">
        <v>142</v>
      </c>
      <c r="AA74" s="3420" t="s">
        <v>142</v>
      </c>
      <c r="AB74" s="3420" t="s">
        <v>142</v>
      </c>
      <c r="AC74" s="3420" t="s">
        <v>142</v>
      </c>
      <c r="AD74" s="3420" t="s">
        <v>142</v>
      </c>
      <c r="AE74" s="3420"/>
      <c r="AF74" s="3420" t="s">
        <v>142</v>
      </c>
      <c r="AG74" s="3420"/>
      <c r="AH74" s="3420" t="s">
        <v>142</v>
      </c>
      <c r="AI74" s="3420" t="s">
        <v>142</v>
      </c>
      <c r="AJ74" s="3420" t="s">
        <v>142</v>
      </c>
      <c r="AK74" s="3420"/>
      <c r="AL74" s="3590"/>
      <c r="AM74" s="3420"/>
      <c r="AN74" s="3420"/>
      <c r="AO74" s="3590"/>
      <c r="AP74" s="3590"/>
      <c r="AQ74" s="3590"/>
      <c r="AR74" s="2787">
        <f t="shared" si="25"/>
        <v>18</v>
      </c>
      <c r="AS74" s="2788">
        <f t="shared" si="20"/>
        <v>2</v>
      </c>
      <c r="AT74" s="2787">
        <f t="shared" si="21"/>
        <v>0</v>
      </c>
      <c r="AU74" s="2788">
        <f t="shared" si="22"/>
        <v>0</v>
      </c>
      <c r="AV74" s="2803">
        <f t="shared" si="23"/>
        <v>20</v>
      </c>
      <c r="AW74" s="2781"/>
      <c r="AX74" s="2792" t="b">
        <f t="shared" si="24"/>
        <v>0</v>
      </c>
      <c r="AY74" s="2782"/>
      <c r="BG74" s="2804"/>
    </row>
    <row r="75" spans="1:60" ht="21.75" customHeight="1">
      <c r="A75" s="2779" t="e">
        <f>#REF!*#REF!+#REF!*#REF!</f>
        <v>#REF!</v>
      </c>
      <c r="B75" s="2780" t="e">
        <f>IF(#REF!&gt;15,40,IF(#REF!&gt;12,35,IF(#REF!&gt;9,30,25)))</f>
        <v>#REF!</v>
      </c>
      <c r="C75" s="2781" t="s">
        <v>92</v>
      </c>
      <c r="D75" s="2781">
        <f t="shared" si="6"/>
        <v>50</v>
      </c>
      <c r="E75" s="2782" t="e">
        <f t="shared" si="7"/>
        <v>#REF!</v>
      </c>
      <c r="F75" s="2776" t="e">
        <f t="shared" si="8"/>
        <v>#REF!</v>
      </c>
      <c r="G75" s="2783">
        <f>('[7]LÁT A'!N54+'[7]LÁT D'!N54+'[7]LÁT C'!N54+'[7]LÁT B'!N54)*0.4+'[7]MỦ DÂY'!AH54*0.5</f>
        <v>0</v>
      </c>
      <c r="H75" s="2782" t="e">
        <f>G75*IF(F75="A",#REF!,IF(F75="B",#REF!,IF(F75="C",#REF!,#REF!)))</f>
        <v>#REF!</v>
      </c>
      <c r="I75" s="2784" t="e">
        <f t="shared" si="9"/>
        <v>#REF!</v>
      </c>
      <c r="J75" s="2785">
        <v>61</v>
      </c>
      <c r="K75" s="2805">
        <v>10</v>
      </c>
      <c r="L75" s="2802" t="s">
        <v>1733</v>
      </c>
      <c r="M75" s="3420" t="s">
        <v>142</v>
      </c>
      <c r="N75" s="3420" t="s">
        <v>142</v>
      </c>
      <c r="O75" s="3420" t="s">
        <v>142</v>
      </c>
      <c r="P75" s="3420" t="s">
        <v>142</v>
      </c>
      <c r="Q75" s="3305" t="s">
        <v>1190</v>
      </c>
      <c r="R75" s="3420" t="s">
        <v>142</v>
      </c>
      <c r="S75" s="3420" t="s">
        <v>142</v>
      </c>
      <c r="T75" s="3420"/>
      <c r="U75" s="3420"/>
      <c r="V75" s="3420" t="s">
        <v>142</v>
      </c>
      <c r="W75" s="3420" t="s">
        <v>142</v>
      </c>
      <c r="X75" s="3305" t="s">
        <v>1190</v>
      </c>
      <c r="Y75" s="3420" t="s">
        <v>142</v>
      </c>
      <c r="Z75" s="3420" t="s">
        <v>142</v>
      </c>
      <c r="AA75" s="3420" t="s">
        <v>142</v>
      </c>
      <c r="AB75" s="3420" t="s">
        <v>142</v>
      </c>
      <c r="AC75" s="3420" t="s">
        <v>142</v>
      </c>
      <c r="AD75" s="3420" t="s">
        <v>142</v>
      </c>
      <c r="AE75" s="3420"/>
      <c r="AF75" s="3420" t="s">
        <v>142</v>
      </c>
      <c r="AG75" s="3421" t="s">
        <v>142</v>
      </c>
      <c r="AH75" s="3421" t="s">
        <v>142</v>
      </c>
      <c r="AI75" s="3421" t="s">
        <v>142</v>
      </c>
      <c r="AJ75" s="3421" t="s">
        <v>142</v>
      </c>
      <c r="AK75" s="3421"/>
      <c r="AL75" s="3590"/>
      <c r="AM75" s="3420"/>
      <c r="AN75" s="3420"/>
      <c r="AO75" s="3590"/>
      <c r="AP75" s="3590"/>
      <c r="AQ75" s="3590"/>
      <c r="AR75" s="2787">
        <f t="shared" si="25"/>
        <v>19</v>
      </c>
      <c r="AS75" s="2788">
        <f t="shared" si="20"/>
        <v>2</v>
      </c>
      <c r="AT75" s="2787">
        <f t="shared" si="21"/>
        <v>0</v>
      </c>
      <c r="AU75" s="2788">
        <f t="shared" si="22"/>
        <v>0</v>
      </c>
      <c r="AV75" s="2803">
        <f t="shared" si="23"/>
        <v>21</v>
      </c>
      <c r="AW75" s="2781"/>
      <c r="AY75" s="2782"/>
      <c r="BG75" s="2804"/>
    </row>
    <row r="76" spans="1:60" ht="21.75" customHeight="1">
      <c r="A76" s="2779" t="e">
        <f>#REF!*#REF!+#REF!*#REF!</f>
        <v>#REF!</v>
      </c>
      <c r="B76" s="2780" t="e">
        <f>IF(#REF!&gt;15,40,IF(#REF!&gt;12,35,IF(#REF!&gt;9,30,25)))</f>
        <v>#REF!</v>
      </c>
      <c r="C76" s="2781" t="s">
        <v>92</v>
      </c>
      <c r="D76" s="2781">
        <f t="shared" si="6"/>
        <v>50</v>
      </c>
      <c r="E76" s="2782" t="e">
        <f t="shared" si="7"/>
        <v>#REF!</v>
      </c>
      <c r="F76" s="2776" t="e">
        <f t="shared" si="8"/>
        <v>#REF!</v>
      </c>
      <c r="G76" s="2783">
        <f>('[7]LÁT A'!N55+'[7]LÁT D'!N55+'[7]LÁT C'!N55+'[7]LÁT B'!N55)*0.4+'[7]MỦ DÂY'!AH55*0.5</f>
        <v>0</v>
      </c>
      <c r="H76" s="2782" t="e">
        <f>G76*IF(F76="A",#REF!,IF(F76="B",#REF!,IF(F76="C",#REF!,#REF!)))</f>
        <v>#REF!</v>
      </c>
      <c r="I76" s="2784" t="e">
        <f t="shared" si="9"/>
        <v>#REF!</v>
      </c>
      <c r="J76" s="2785">
        <v>62</v>
      </c>
      <c r="K76" s="2805">
        <v>11</v>
      </c>
      <c r="L76" s="2802" t="s">
        <v>1598</v>
      </c>
      <c r="M76" s="3420"/>
      <c r="N76" s="3420"/>
      <c r="O76" s="3420" t="s">
        <v>142</v>
      </c>
      <c r="P76" s="3420" t="s">
        <v>142</v>
      </c>
      <c r="Q76" s="3305" t="s">
        <v>1190</v>
      </c>
      <c r="R76" s="3420" t="s">
        <v>142</v>
      </c>
      <c r="S76" s="3420"/>
      <c r="T76" s="3420"/>
      <c r="U76" s="3420"/>
      <c r="V76" s="3420"/>
      <c r="W76" s="3420" t="s">
        <v>142</v>
      </c>
      <c r="X76" s="3305" t="s">
        <v>1190</v>
      </c>
      <c r="Y76" s="3420" t="s">
        <v>142</v>
      </c>
      <c r="Z76" s="3420"/>
      <c r="AA76" s="3420" t="s">
        <v>142</v>
      </c>
      <c r="AB76" s="3420"/>
      <c r="AC76" s="3420"/>
      <c r="AD76" s="3420" t="s">
        <v>142</v>
      </c>
      <c r="AE76" s="3420"/>
      <c r="AF76" s="3420"/>
      <c r="AG76" s="3420" t="s">
        <v>142</v>
      </c>
      <c r="AH76" s="3420" t="s">
        <v>142</v>
      </c>
      <c r="AI76" s="3420"/>
      <c r="AJ76" s="3420"/>
      <c r="AK76" s="3420" t="s">
        <v>142</v>
      </c>
      <c r="AL76" s="3590"/>
      <c r="AM76" s="3420" t="s">
        <v>142</v>
      </c>
      <c r="AN76" s="3420" t="s">
        <v>142</v>
      </c>
      <c r="AO76" s="3590"/>
      <c r="AP76" s="3590" t="s">
        <v>142</v>
      </c>
      <c r="AQ76" s="3590" t="s">
        <v>142</v>
      </c>
      <c r="AR76" s="2787">
        <f t="shared" si="25"/>
        <v>14</v>
      </c>
      <c r="AS76" s="2788">
        <f t="shared" si="20"/>
        <v>2</v>
      </c>
      <c r="AT76" s="2787">
        <f t="shared" si="21"/>
        <v>0</v>
      </c>
      <c r="AU76" s="2788">
        <f t="shared" si="22"/>
        <v>0</v>
      </c>
      <c r="AV76" s="2803">
        <f t="shared" si="23"/>
        <v>16</v>
      </c>
      <c r="AW76" s="2781"/>
      <c r="AY76" s="2782"/>
      <c r="BG76" s="2804"/>
    </row>
    <row r="77" spans="1:60" ht="21.75" customHeight="1">
      <c r="A77" s="2779" t="e">
        <f>#REF!*#REF!+#REF!*#REF!</f>
        <v>#REF!</v>
      </c>
      <c r="B77" s="2780"/>
      <c r="C77" s="2781"/>
      <c r="D77" s="2781"/>
      <c r="E77" s="2782"/>
      <c r="F77" s="2776"/>
      <c r="G77" s="2783"/>
      <c r="H77" s="2782"/>
      <c r="I77" s="2784"/>
      <c r="J77" s="2785">
        <v>63</v>
      </c>
      <c r="K77" s="2805">
        <v>12</v>
      </c>
      <c r="L77" s="2802" t="s">
        <v>1599</v>
      </c>
      <c r="M77" s="3420" t="s">
        <v>142</v>
      </c>
      <c r="N77" s="3420" t="s">
        <v>142</v>
      </c>
      <c r="O77" s="3420" t="s">
        <v>142</v>
      </c>
      <c r="P77" s="3420" t="s">
        <v>142</v>
      </c>
      <c r="Q77" s="3305"/>
      <c r="R77" s="3420" t="s">
        <v>142</v>
      </c>
      <c r="S77" s="3420" t="s">
        <v>142</v>
      </c>
      <c r="T77" s="3420" t="s">
        <v>142</v>
      </c>
      <c r="U77" s="3420" t="s">
        <v>142</v>
      </c>
      <c r="V77" s="3420" t="s">
        <v>142</v>
      </c>
      <c r="W77" s="3420" t="s">
        <v>142</v>
      </c>
      <c r="X77" s="3305" t="s">
        <v>1190</v>
      </c>
      <c r="Y77" s="3420" t="s">
        <v>142</v>
      </c>
      <c r="Z77" s="3420" t="s">
        <v>142</v>
      </c>
      <c r="AA77" s="3420"/>
      <c r="AB77" s="3420"/>
      <c r="AC77" s="3420" t="s">
        <v>142</v>
      </c>
      <c r="AD77" s="3420" t="s">
        <v>142</v>
      </c>
      <c r="AE77" s="3305" t="s">
        <v>1190</v>
      </c>
      <c r="AF77" s="3420" t="s">
        <v>142</v>
      </c>
      <c r="AG77" s="3420" t="s">
        <v>142</v>
      </c>
      <c r="AH77" s="3422"/>
      <c r="AI77" s="3422" t="s">
        <v>142</v>
      </c>
      <c r="AJ77" s="3422" t="s">
        <v>142</v>
      </c>
      <c r="AK77" s="3422" t="s">
        <v>142</v>
      </c>
      <c r="AL77" s="3305" t="s">
        <v>1190</v>
      </c>
      <c r="AM77" s="3420" t="s">
        <v>142</v>
      </c>
      <c r="AN77" s="3420" t="s">
        <v>142</v>
      </c>
      <c r="AO77" s="3590" t="s">
        <v>142</v>
      </c>
      <c r="AP77" s="3590" t="s">
        <v>142</v>
      </c>
      <c r="AQ77" s="3590" t="s">
        <v>142</v>
      </c>
      <c r="AR77" s="2787">
        <f t="shared" si="25"/>
        <v>24</v>
      </c>
      <c r="AS77" s="2788">
        <f t="shared" si="20"/>
        <v>3</v>
      </c>
      <c r="AT77" s="2787">
        <f t="shared" si="21"/>
        <v>0</v>
      </c>
      <c r="AU77" s="2788">
        <f t="shared" si="22"/>
        <v>0</v>
      </c>
      <c r="AV77" s="2803">
        <f t="shared" si="23"/>
        <v>27</v>
      </c>
      <c r="AW77" s="2781"/>
      <c r="AY77" s="2782"/>
      <c r="BG77" s="2804"/>
    </row>
    <row r="78" spans="1:60" ht="21.75" customHeight="1">
      <c r="A78" s="2779" t="e">
        <f>#REF!*#REF!+#REF!*#REF!</f>
        <v>#REF!</v>
      </c>
      <c r="B78" s="2780"/>
      <c r="C78" s="2781"/>
      <c r="D78" s="2781"/>
      <c r="E78" s="2782"/>
      <c r="F78" s="2776"/>
      <c r="G78" s="2783"/>
      <c r="H78" s="2782"/>
      <c r="I78" s="2784"/>
      <c r="J78" s="2785">
        <v>64</v>
      </c>
      <c r="K78" s="2805">
        <v>13</v>
      </c>
      <c r="L78" s="2802" t="s">
        <v>1600</v>
      </c>
      <c r="M78" s="3420" t="s">
        <v>142</v>
      </c>
      <c r="N78" s="3420" t="s">
        <v>142</v>
      </c>
      <c r="O78" s="3420" t="s">
        <v>142</v>
      </c>
      <c r="P78" s="3420" t="s">
        <v>142</v>
      </c>
      <c r="Q78" s="3305" t="s">
        <v>1190</v>
      </c>
      <c r="R78" s="3420" t="s">
        <v>142</v>
      </c>
      <c r="S78" s="3420" t="s">
        <v>142</v>
      </c>
      <c r="T78" s="3420" t="s">
        <v>142</v>
      </c>
      <c r="U78" s="3420" t="s">
        <v>142</v>
      </c>
      <c r="V78" s="3420" t="s">
        <v>142</v>
      </c>
      <c r="W78" s="3420" t="s">
        <v>142</v>
      </c>
      <c r="X78" s="3305" t="s">
        <v>1190</v>
      </c>
      <c r="Y78" s="3420" t="s">
        <v>142</v>
      </c>
      <c r="Z78" s="3420" t="s">
        <v>142</v>
      </c>
      <c r="AA78" s="3420" t="s">
        <v>142</v>
      </c>
      <c r="AB78" s="3420"/>
      <c r="AC78" s="3420" t="s">
        <v>142</v>
      </c>
      <c r="AD78" s="3420" t="s">
        <v>142</v>
      </c>
      <c r="AE78" s="3420"/>
      <c r="AF78" s="3420"/>
      <c r="AG78" s="3420" t="s">
        <v>142</v>
      </c>
      <c r="AH78" s="3420" t="s">
        <v>142</v>
      </c>
      <c r="AI78" s="3420" t="s">
        <v>142</v>
      </c>
      <c r="AJ78" s="3420" t="s">
        <v>142</v>
      </c>
      <c r="AK78" s="3420" t="s">
        <v>142</v>
      </c>
      <c r="AL78" s="3305" t="s">
        <v>1190</v>
      </c>
      <c r="AM78" s="3420" t="s">
        <v>142</v>
      </c>
      <c r="AN78" s="3420"/>
      <c r="AO78" s="3590" t="s">
        <v>142</v>
      </c>
      <c r="AP78" s="3590"/>
      <c r="AQ78" s="3590"/>
      <c r="AR78" s="2787">
        <f t="shared" si="25"/>
        <v>22</v>
      </c>
      <c r="AS78" s="2788">
        <f t="shared" si="20"/>
        <v>3</v>
      </c>
      <c r="AT78" s="2787">
        <f t="shared" si="21"/>
        <v>0</v>
      </c>
      <c r="AU78" s="2788">
        <f t="shared" si="22"/>
        <v>0</v>
      </c>
      <c r="AV78" s="2803">
        <f t="shared" si="23"/>
        <v>25</v>
      </c>
      <c r="AW78" s="2781"/>
      <c r="AY78" s="2782"/>
      <c r="BG78" s="2804"/>
    </row>
    <row r="79" spans="1:60" ht="21.75" customHeight="1">
      <c r="A79" s="2779" t="e">
        <f>#REF!*#REF!+#REF!*#REF!</f>
        <v>#REF!</v>
      </c>
      <c r="B79" s="2780" t="e">
        <f>IF(#REF!&gt;15,40,IF(#REF!&gt;12,35,IF(#REF!&gt;9,30,25)))</f>
        <v>#REF!</v>
      </c>
      <c r="C79" s="2781" t="s">
        <v>92</v>
      </c>
      <c r="D79" s="2781">
        <f t="shared" si="6"/>
        <v>50</v>
      </c>
      <c r="E79" s="2782" t="e">
        <f t="shared" si="7"/>
        <v>#REF!</v>
      </c>
      <c r="F79" s="2776" t="e">
        <f t="shared" si="8"/>
        <v>#REF!</v>
      </c>
      <c r="G79" s="2783">
        <f>('[7]LÁT A'!N56+'[7]LÁT D'!N56+'[7]LÁT C'!N56+'[7]LÁT B'!N56)*0.4+'[7]MỦ DÂY'!AH56*0.5</f>
        <v>20.8</v>
      </c>
      <c r="H79" s="2782" t="e">
        <f>G79*IF(F79="A",#REF!,IF(F79="B",#REF!,IF(F79="C",#REF!,#REF!)))</f>
        <v>#REF!</v>
      </c>
      <c r="I79" s="2784" t="e">
        <f t="shared" si="9"/>
        <v>#REF!</v>
      </c>
      <c r="J79" s="2785">
        <v>65</v>
      </c>
      <c r="K79" s="2805">
        <v>14</v>
      </c>
      <c r="L79" s="2802" t="s">
        <v>1601</v>
      </c>
      <c r="M79" s="3420" t="s">
        <v>142</v>
      </c>
      <c r="N79" s="3420" t="s">
        <v>142</v>
      </c>
      <c r="O79" s="3420" t="s">
        <v>142</v>
      </c>
      <c r="P79" s="3420" t="s">
        <v>142</v>
      </c>
      <c r="Q79" s="3305" t="s">
        <v>1190</v>
      </c>
      <c r="R79" s="3420" t="s">
        <v>142</v>
      </c>
      <c r="S79" s="3420" t="s">
        <v>142</v>
      </c>
      <c r="T79" s="3420" t="s">
        <v>142</v>
      </c>
      <c r="U79" s="3420" t="s">
        <v>142</v>
      </c>
      <c r="V79" s="3420" t="s">
        <v>142</v>
      </c>
      <c r="W79" s="3420" t="s">
        <v>142</v>
      </c>
      <c r="X79" s="3305" t="s">
        <v>1190</v>
      </c>
      <c r="Y79" s="3420" t="s">
        <v>142</v>
      </c>
      <c r="Z79" s="3420" t="s">
        <v>142</v>
      </c>
      <c r="AA79" s="3420" t="s">
        <v>142</v>
      </c>
      <c r="AB79" s="3420"/>
      <c r="AC79" s="3420" t="s">
        <v>142</v>
      </c>
      <c r="AD79" s="3420" t="s">
        <v>142</v>
      </c>
      <c r="AE79" s="3420"/>
      <c r="AF79" s="3420"/>
      <c r="AG79" s="3420" t="s">
        <v>142</v>
      </c>
      <c r="AH79" s="3420" t="s">
        <v>142</v>
      </c>
      <c r="AI79" s="3420" t="s">
        <v>142</v>
      </c>
      <c r="AJ79" s="3420" t="s">
        <v>142</v>
      </c>
      <c r="AK79" s="3420" t="s">
        <v>142</v>
      </c>
      <c r="AL79" s="3305" t="s">
        <v>1190</v>
      </c>
      <c r="AM79" s="3420" t="s">
        <v>142</v>
      </c>
      <c r="AN79" s="3420"/>
      <c r="AO79" s="3590" t="s">
        <v>142</v>
      </c>
      <c r="AP79" s="3590"/>
      <c r="AQ79" s="3590"/>
      <c r="AR79" s="2787">
        <f t="shared" si="25"/>
        <v>22</v>
      </c>
      <c r="AS79" s="2788">
        <f t="shared" si="20"/>
        <v>3</v>
      </c>
      <c r="AT79" s="2787">
        <f t="shared" si="21"/>
        <v>0</v>
      </c>
      <c r="AU79" s="2788">
        <f t="shared" si="22"/>
        <v>0</v>
      </c>
      <c r="AV79" s="2803">
        <f t="shared" si="23"/>
        <v>25</v>
      </c>
      <c r="AW79" s="2781"/>
      <c r="AY79" s="2782"/>
      <c r="BG79" s="2804"/>
    </row>
    <row r="80" spans="1:60" ht="21.75" customHeight="1">
      <c r="A80" s="2779"/>
      <c r="B80" s="2780"/>
      <c r="C80" s="2781"/>
      <c r="D80" s="2781"/>
      <c r="E80" s="2782"/>
      <c r="F80" s="2776"/>
      <c r="G80" s="2783"/>
      <c r="H80" s="2782"/>
      <c r="I80" s="2784"/>
      <c r="J80" s="2785">
        <v>66</v>
      </c>
      <c r="K80" s="2805">
        <v>15</v>
      </c>
      <c r="L80" s="2781" t="s">
        <v>1602</v>
      </c>
      <c r="M80" s="3420"/>
      <c r="N80" s="3420" t="s">
        <v>142</v>
      </c>
      <c r="O80" s="3420" t="s">
        <v>142</v>
      </c>
      <c r="P80" s="3420" t="s">
        <v>142</v>
      </c>
      <c r="Q80" s="3305"/>
      <c r="R80" s="3420" t="s">
        <v>142</v>
      </c>
      <c r="S80" s="3420" t="s">
        <v>142</v>
      </c>
      <c r="T80" s="3420" t="s">
        <v>142</v>
      </c>
      <c r="U80" s="3420" t="s">
        <v>142</v>
      </c>
      <c r="V80" s="3420" t="s">
        <v>142</v>
      </c>
      <c r="W80" s="3420" t="s">
        <v>142</v>
      </c>
      <c r="X80" s="3305" t="s">
        <v>1190</v>
      </c>
      <c r="Y80" s="3420" t="s">
        <v>142</v>
      </c>
      <c r="Z80" s="3420" t="s">
        <v>142</v>
      </c>
      <c r="AA80" s="3420" t="s">
        <v>142</v>
      </c>
      <c r="AB80" s="3420" t="s">
        <v>142</v>
      </c>
      <c r="AC80" s="3420"/>
      <c r="AD80" s="3420" t="s">
        <v>142</v>
      </c>
      <c r="AE80" s="3305" t="s">
        <v>1190</v>
      </c>
      <c r="AF80" s="3420" t="s">
        <v>142</v>
      </c>
      <c r="AG80" s="3420" t="s">
        <v>142</v>
      </c>
      <c r="AH80" s="3420" t="s">
        <v>142</v>
      </c>
      <c r="AI80" s="3420" t="s">
        <v>142</v>
      </c>
      <c r="AJ80" s="3420" t="s">
        <v>142</v>
      </c>
      <c r="AK80" s="3420" t="s">
        <v>142</v>
      </c>
      <c r="AL80" s="3305" t="s">
        <v>1190</v>
      </c>
      <c r="AM80" s="3420" t="s">
        <v>142</v>
      </c>
      <c r="AN80" s="3420" t="s">
        <v>142</v>
      </c>
      <c r="AO80" s="3590" t="s">
        <v>142</v>
      </c>
      <c r="AP80" s="3590" t="s">
        <v>142</v>
      </c>
      <c r="AQ80" s="3590" t="s">
        <v>142</v>
      </c>
      <c r="AR80" s="2787">
        <f>COUNTIF(M80:AQ80,"X")</f>
        <v>25</v>
      </c>
      <c r="AS80" s="2788">
        <f>+COUNTIF(M80:AQ80,"CN")</f>
        <v>3</v>
      </c>
      <c r="AT80" s="2787">
        <f>COUNTIF(Q80:AQ80,"X1")</f>
        <v>0</v>
      </c>
      <c r="AU80" s="2788">
        <f>+COUNTIF(Q80:AS80,"CN1")</f>
        <v>0</v>
      </c>
      <c r="AV80" s="2803">
        <f t="shared" si="23"/>
        <v>28</v>
      </c>
      <c r="AW80" s="2781"/>
      <c r="AY80" s="2782"/>
      <c r="BG80" s="2804"/>
    </row>
    <row r="81" spans="1:59" s="2768" customFormat="1" ht="21.75" customHeight="1">
      <c r="A81" s="2779" t="e">
        <f>#REF!*#REF!+#REF!*#REF!</f>
        <v>#REF!</v>
      </c>
      <c r="B81" s="2777" t="e">
        <f t="shared" ref="B81:I81" si="26">SUM(B13:B79)</f>
        <v>#REF!</v>
      </c>
      <c r="C81" s="2777">
        <f t="shared" si="26"/>
        <v>0</v>
      </c>
      <c r="D81" s="2777">
        <f t="shared" si="26"/>
        <v>2250</v>
      </c>
      <c r="E81" s="2777" t="e">
        <f t="shared" si="26"/>
        <v>#REF!</v>
      </c>
      <c r="F81" s="2777" t="e">
        <f t="shared" si="26"/>
        <v>#REF!</v>
      </c>
      <c r="G81" s="2777">
        <f t="shared" si="26"/>
        <v>494.40000000000003</v>
      </c>
      <c r="H81" s="2777" t="e">
        <f t="shared" si="26"/>
        <v>#REF!</v>
      </c>
      <c r="I81" s="2777" t="e">
        <f t="shared" si="26"/>
        <v>#REF!</v>
      </c>
      <c r="J81" s="2785">
        <v>67</v>
      </c>
      <c r="K81" s="2805">
        <v>16</v>
      </c>
      <c r="L81" s="2806" t="s">
        <v>946</v>
      </c>
      <c r="M81" s="3420"/>
      <c r="N81" s="3420"/>
      <c r="O81" s="3420"/>
      <c r="P81" s="3420"/>
      <c r="Q81" s="3305" t="s">
        <v>1190</v>
      </c>
      <c r="R81" s="3420" t="s">
        <v>142</v>
      </c>
      <c r="S81" s="3420" t="s">
        <v>142</v>
      </c>
      <c r="T81" s="3420" t="s">
        <v>142</v>
      </c>
      <c r="U81" s="3420" t="s">
        <v>142</v>
      </c>
      <c r="V81" s="3420" t="s">
        <v>142</v>
      </c>
      <c r="W81" s="3420" t="s">
        <v>142</v>
      </c>
      <c r="X81" s="3305" t="s">
        <v>1190</v>
      </c>
      <c r="Y81" s="3420" t="s">
        <v>142</v>
      </c>
      <c r="Z81" s="3420" t="s">
        <v>142</v>
      </c>
      <c r="AA81" s="3420" t="s">
        <v>142</v>
      </c>
      <c r="AB81" s="3420"/>
      <c r="AC81" s="3420"/>
      <c r="AD81" s="3420"/>
      <c r="AE81" s="3420"/>
      <c r="AF81" s="3421"/>
      <c r="AG81" s="3421" t="s">
        <v>142</v>
      </c>
      <c r="AH81" s="3421" t="s">
        <v>142</v>
      </c>
      <c r="AI81" s="3421" t="s">
        <v>142</v>
      </c>
      <c r="AJ81" s="3421" t="s">
        <v>142</v>
      </c>
      <c r="AK81" s="3421" t="s">
        <v>142</v>
      </c>
      <c r="AL81" s="3305" t="s">
        <v>1190</v>
      </c>
      <c r="AM81" s="3420" t="s">
        <v>142</v>
      </c>
      <c r="AN81" s="3420"/>
      <c r="AO81" s="3590" t="s">
        <v>142</v>
      </c>
      <c r="AP81" s="3590" t="s">
        <v>142</v>
      </c>
      <c r="AQ81" s="3590" t="s">
        <v>142</v>
      </c>
      <c r="AR81" s="2787">
        <f t="shared" si="25"/>
        <v>18</v>
      </c>
      <c r="AS81" s="2788">
        <f t="shared" si="20"/>
        <v>3</v>
      </c>
      <c r="AT81" s="2787">
        <f t="shared" si="21"/>
        <v>0</v>
      </c>
      <c r="AU81" s="2788">
        <f t="shared" si="22"/>
        <v>0</v>
      </c>
      <c r="AV81" s="2803">
        <f t="shared" si="23"/>
        <v>21</v>
      </c>
      <c r="AW81" s="2776"/>
      <c r="AY81" s="2782"/>
      <c r="BG81" s="2804"/>
    </row>
    <row r="82" spans="1:59" ht="21.75" customHeight="1">
      <c r="A82" s="2779" t="e">
        <f>#REF!*#REF!+#REF!*#REF!</f>
        <v>#REF!</v>
      </c>
      <c r="J82" s="3861" t="s">
        <v>21</v>
      </c>
      <c r="K82" s="3861"/>
      <c r="L82" s="3861"/>
      <c r="M82" s="2703">
        <f t="shared" ref="M82:AV82" si="27">+M65+M49+M12</f>
        <v>49</v>
      </c>
      <c r="N82" s="2703">
        <f t="shared" si="27"/>
        <v>44</v>
      </c>
      <c r="O82" s="2703">
        <f t="shared" si="27"/>
        <v>48</v>
      </c>
      <c r="P82" s="2703">
        <f t="shared" si="27"/>
        <v>65</v>
      </c>
      <c r="Q82" s="2761">
        <f t="shared" si="27"/>
        <v>64</v>
      </c>
      <c r="R82" s="2703">
        <f t="shared" si="27"/>
        <v>62</v>
      </c>
      <c r="S82" s="2703">
        <f t="shared" si="27"/>
        <v>64</v>
      </c>
      <c r="T82" s="2703">
        <f t="shared" si="27"/>
        <v>62</v>
      </c>
      <c r="U82" s="2703">
        <f t="shared" si="27"/>
        <v>59</v>
      </c>
      <c r="V82" s="2703">
        <f t="shared" si="27"/>
        <v>62</v>
      </c>
      <c r="W82" s="2703">
        <f t="shared" si="27"/>
        <v>62</v>
      </c>
      <c r="X82" s="2761">
        <f t="shared" si="27"/>
        <v>63</v>
      </c>
      <c r="Y82" s="2703">
        <f t="shared" si="27"/>
        <v>61</v>
      </c>
      <c r="Z82" s="2703">
        <f t="shared" si="27"/>
        <v>61</v>
      </c>
      <c r="AA82" s="2703">
        <f t="shared" si="27"/>
        <v>59</v>
      </c>
      <c r="AB82" s="2703">
        <f t="shared" si="27"/>
        <v>51</v>
      </c>
      <c r="AC82" s="2703">
        <f t="shared" si="27"/>
        <v>45</v>
      </c>
      <c r="AD82" s="2703">
        <f t="shared" si="27"/>
        <v>52</v>
      </c>
      <c r="AE82" s="2761">
        <f t="shared" si="27"/>
        <v>50</v>
      </c>
      <c r="AF82" s="2703">
        <f t="shared" si="27"/>
        <v>49</v>
      </c>
      <c r="AG82" s="2703">
        <f t="shared" si="27"/>
        <v>59</v>
      </c>
      <c r="AH82" s="2703">
        <f t="shared" si="27"/>
        <v>61</v>
      </c>
      <c r="AI82" s="2703">
        <f t="shared" si="27"/>
        <v>62</v>
      </c>
      <c r="AJ82" s="2703">
        <f t="shared" si="27"/>
        <v>58</v>
      </c>
      <c r="AK82" s="2703">
        <f t="shared" si="27"/>
        <v>51</v>
      </c>
      <c r="AL82" s="2761">
        <f t="shared" si="27"/>
        <v>56</v>
      </c>
      <c r="AM82" s="2703">
        <f t="shared" si="27"/>
        <v>52</v>
      </c>
      <c r="AN82" s="2703">
        <f t="shared" si="27"/>
        <v>54</v>
      </c>
      <c r="AO82" s="2703">
        <f t="shared" si="27"/>
        <v>57</v>
      </c>
      <c r="AP82" s="2703">
        <f t="shared" si="27"/>
        <v>54</v>
      </c>
      <c r="AQ82" s="2703">
        <f t="shared" si="27"/>
        <v>58</v>
      </c>
      <c r="AR82" s="2807">
        <f t="shared" si="27"/>
        <v>1391</v>
      </c>
      <c r="AS82" s="2808">
        <f t="shared" si="27"/>
        <v>211</v>
      </c>
      <c r="AT82" s="2809">
        <f t="shared" si="27"/>
        <v>130</v>
      </c>
      <c r="AU82" s="2809">
        <f t="shared" si="27"/>
        <v>22</v>
      </c>
      <c r="AV82" s="2807">
        <f t="shared" si="27"/>
        <v>1754</v>
      </c>
      <c r="AW82" s="3549"/>
      <c r="AX82" s="2807">
        <f>+AX65+AX49+AX12</f>
        <v>420</v>
      </c>
      <c r="AY82" s="2807"/>
    </row>
    <row r="83" spans="1:59" ht="20.100000000000001" customHeight="1">
      <c r="A83" s="2810" t="e">
        <f>SUM(A13:A82)</f>
        <v>#REF!</v>
      </c>
      <c r="K83" s="2811" t="s">
        <v>166</v>
      </c>
      <c r="L83" s="2811"/>
      <c r="M83" s="2812" t="s">
        <v>1122</v>
      </c>
      <c r="N83" s="2812"/>
      <c r="O83" s="2813"/>
      <c r="P83" s="2813"/>
      <c r="Q83" s="2814"/>
      <c r="R83" s="2813"/>
      <c r="S83" s="2813"/>
      <c r="T83" s="3862"/>
      <c r="U83" s="3862"/>
      <c r="V83" s="3862"/>
      <c r="W83" s="3862"/>
      <c r="X83" s="3862"/>
      <c r="Y83" s="3862"/>
      <c r="Z83" s="3862"/>
      <c r="AA83" s="3862"/>
      <c r="AB83" s="3862"/>
      <c r="AC83" s="3862"/>
      <c r="AD83" s="2815"/>
      <c r="AE83" s="2815"/>
      <c r="AF83" s="2815"/>
      <c r="AG83" s="2815"/>
      <c r="AH83" s="2816"/>
      <c r="AI83" s="2815"/>
      <c r="AJ83" s="2815"/>
      <c r="AK83" s="2815"/>
      <c r="AL83" s="2815"/>
      <c r="AM83" s="2815"/>
      <c r="AN83" s="2815"/>
      <c r="AO83" s="2815"/>
      <c r="AP83" s="2815"/>
      <c r="AQ83" s="2815"/>
      <c r="AR83" s="2817"/>
      <c r="AS83" s="2817"/>
      <c r="AT83" s="2818"/>
      <c r="AU83" s="2817"/>
    </row>
    <row r="84" spans="1:59" ht="20.100000000000001" customHeight="1">
      <c r="A84" s="2819"/>
      <c r="K84" s="2820"/>
      <c r="L84" s="2820"/>
      <c r="M84" s="3548" t="s">
        <v>1123</v>
      </c>
      <c r="N84" s="3548"/>
      <c r="O84" s="3548"/>
      <c r="P84" s="3548"/>
      <c r="Q84" s="3548"/>
      <c r="R84" s="3548"/>
      <c r="S84" s="3548"/>
      <c r="T84" s="3858"/>
      <c r="U84" s="3858"/>
      <c r="V84" s="3858"/>
      <c r="W84" s="3858"/>
      <c r="X84" s="3858"/>
      <c r="Y84" s="3858"/>
      <c r="Z84" s="3858"/>
      <c r="AA84" s="3858"/>
      <c r="AB84" s="3858"/>
      <c r="AC84" s="3858"/>
      <c r="AD84" s="3548"/>
      <c r="AE84" s="3548"/>
      <c r="AF84" s="3548"/>
      <c r="AG84" s="3548"/>
      <c r="AJ84" s="3548"/>
      <c r="AK84" s="3548"/>
      <c r="AM84" s="3548"/>
      <c r="AN84" s="3548"/>
      <c r="AO84" s="3548"/>
      <c r="AP84" s="3548"/>
      <c r="AQ84" s="3548"/>
      <c r="AS84" s="3547" t="s">
        <v>1779</v>
      </c>
      <c r="AT84" s="3547"/>
      <c r="AU84" s="3547"/>
      <c r="AV84" s="3547"/>
      <c r="AW84" s="3547"/>
      <c r="AY84" s="3547"/>
    </row>
    <row r="85" spans="1:59" ht="20.100000000000001" customHeight="1">
      <c r="A85" s="2823"/>
      <c r="K85" s="2820"/>
      <c r="L85" s="2820"/>
      <c r="M85" s="3548" t="s">
        <v>1124</v>
      </c>
      <c r="N85" s="3548"/>
      <c r="O85" s="3548"/>
      <c r="P85" s="3548"/>
      <c r="Q85" s="3548"/>
      <c r="R85" s="3548"/>
      <c r="S85" s="3548"/>
      <c r="T85" s="3548"/>
      <c r="U85" s="3548"/>
      <c r="V85" s="3548"/>
      <c r="W85" s="3548"/>
      <c r="X85" s="3548"/>
      <c r="Y85" s="3548"/>
      <c r="Z85" s="3548"/>
      <c r="AA85" s="3548"/>
      <c r="AB85" s="3548"/>
      <c r="AC85" s="3548"/>
      <c r="AD85" s="3548"/>
      <c r="AE85" s="3548"/>
      <c r="AF85" s="3548"/>
      <c r="AG85" s="3548"/>
      <c r="AJ85" s="3548"/>
      <c r="AK85" s="3548"/>
      <c r="AL85" s="3548"/>
      <c r="AM85" s="3548"/>
      <c r="AN85" s="3548"/>
      <c r="AO85" s="3548"/>
      <c r="AP85" s="3548"/>
      <c r="AQ85" s="3548"/>
      <c r="AR85" s="3547"/>
      <c r="AS85" s="3547"/>
      <c r="AT85" s="3547"/>
      <c r="AU85" s="3547"/>
      <c r="AV85" s="3547"/>
      <c r="AW85" s="3547"/>
      <c r="AY85" s="3547"/>
    </row>
    <row r="86" spans="1:59" ht="20.100000000000001" customHeight="1">
      <c r="A86" s="2823"/>
      <c r="K86" s="2820"/>
      <c r="L86" s="2820"/>
      <c r="M86" s="3548" t="s">
        <v>1121</v>
      </c>
      <c r="N86" s="3548"/>
      <c r="O86" s="3548"/>
      <c r="P86" s="3548"/>
      <c r="Q86" s="3548"/>
      <c r="R86" s="3548"/>
      <c r="S86" s="3548"/>
      <c r="T86" s="3548"/>
      <c r="U86" s="3548"/>
      <c r="V86" s="3548"/>
      <c r="W86" s="3548"/>
      <c r="X86" s="3548"/>
      <c r="Y86" s="3548"/>
      <c r="Z86" s="3548"/>
      <c r="AA86" s="3548"/>
      <c r="AB86" s="3548"/>
      <c r="AC86" s="3548"/>
      <c r="AD86" s="3548"/>
      <c r="AE86" s="3548"/>
      <c r="AF86" s="3548"/>
      <c r="AG86" s="3548"/>
      <c r="AJ86" s="3548"/>
      <c r="AK86" s="3548"/>
      <c r="AL86" s="3548"/>
      <c r="AM86" s="3548"/>
      <c r="AN86" s="3548"/>
      <c r="AO86" s="3548"/>
      <c r="AP86" s="3548"/>
      <c r="AQ86" s="3548"/>
      <c r="AR86" s="3547"/>
      <c r="AS86" s="3547"/>
      <c r="AT86" s="3547"/>
      <c r="AU86" s="3547"/>
      <c r="AV86" s="3547"/>
      <c r="AW86" s="3547"/>
      <c r="AY86" s="3547"/>
    </row>
    <row r="87" spans="1:59" s="2768" customFormat="1" ht="20.100000000000001" customHeight="1">
      <c r="A87" s="2824"/>
      <c r="E87" s="2770"/>
      <c r="G87" s="2769"/>
      <c r="H87" s="2770"/>
      <c r="I87" s="2770"/>
      <c r="J87" s="2767"/>
      <c r="K87" s="3545"/>
      <c r="L87" s="3545" t="s">
        <v>46</v>
      </c>
      <c r="M87" s="3544"/>
      <c r="N87" s="3544"/>
      <c r="O87" s="3544"/>
      <c r="P87" s="3544"/>
      <c r="Q87" s="3544"/>
      <c r="R87" s="3544"/>
      <c r="S87" s="2698"/>
      <c r="T87" s="2698"/>
      <c r="U87" s="2698"/>
      <c r="V87" s="2698"/>
      <c r="W87" s="2698"/>
      <c r="X87" s="2698"/>
      <c r="Y87" s="2698"/>
      <c r="Z87" s="2825"/>
      <c r="AA87" s="2698"/>
      <c r="AB87" s="3544"/>
      <c r="AC87" s="2698" t="s">
        <v>1147</v>
      </c>
      <c r="AD87" s="3544"/>
      <c r="AE87" s="3544"/>
      <c r="AF87" s="3544"/>
      <c r="AG87" s="3544"/>
      <c r="AH87" s="2826"/>
      <c r="AI87" s="2825"/>
      <c r="AJ87" s="3544"/>
      <c r="AK87" s="3544"/>
      <c r="AL87" s="3544"/>
      <c r="AM87" s="3544"/>
      <c r="AN87" s="2825"/>
      <c r="AO87" s="2698"/>
      <c r="AP87" s="2698"/>
      <c r="AQ87" s="2698"/>
      <c r="AR87" s="3541"/>
      <c r="AS87" s="3541" t="s">
        <v>1107</v>
      </c>
      <c r="AT87" s="3541"/>
    </row>
    <row r="88" spans="1:59">
      <c r="A88" s="2823"/>
      <c r="K88" s="3542"/>
      <c r="L88" s="3542"/>
      <c r="M88" s="2699"/>
      <c r="N88" s="2699"/>
      <c r="O88" s="2699"/>
      <c r="P88" s="2699"/>
      <c r="Q88" s="2699"/>
      <c r="R88" s="2699"/>
      <c r="S88" s="2699"/>
      <c r="T88" s="2699"/>
      <c r="U88" s="2699"/>
      <c r="V88" s="2699"/>
      <c r="W88" s="2699"/>
      <c r="X88" s="2699"/>
      <c r="Y88" s="2699"/>
      <c r="Z88" s="2699"/>
      <c r="AA88" s="2699"/>
      <c r="AB88" s="2699"/>
      <c r="AC88" s="2699"/>
      <c r="AD88" s="2699"/>
      <c r="AE88" s="2699"/>
      <c r="AF88" s="2699"/>
      <c r="AG88" s="2699"/>
      <c r="AH88" s="2760"/>
      <c r="AI88" s="2699"/>
      <c r="AJ88" s="2699"/>
      <c r="AK88" s="2699"/>
      <c r="AL88" s="2699"/>
      <c r="AM88" s="2699"/>
      <c r="AN88" s="2699"/>
      <c r="AO88" s="2699"/>
      <c r="AP88" s="2699"/>
      <c r="AQ88" s="2699"/>
      <c r="AR88" s="3542"/>
      <c r="AS88" s="3542"/>
      <c r="AT88" s="3542"/>
      <c r="AU88" s="3542"/>
    </row>
    <row r="89" spans="1:59">
      <c r="A89" s="3542"/>
      <c r="K89" s="3542"/>
      <c r="L89" s="3542"/>
      <c r="M89" s="2699"/>
      <c r="N89" s="2699"/>
      <c r="O89" s="2699"/>
      <c r="P89" s="2699"/>
      <c r="Q89" s="2699"/>
      <c r="R89" s="2699"/>
      <c r="S89" s="2699"/>
      <c r="T89" s="2699"/>
      <c r="U89" s="2699"/>
      <c r="V89" s="2699"/>
      <c r="W89" s="2699"/>
      <c r="X89" s="2699"/>
      <c r="Y89" s="2699"/>
      <c r="Z89" s="2699"/>
      <c r="AA89" s="2699"/>
      <c r="AB89" s="2699"/>
      <c r="AC89" s="2699"/>
      <c r="AD89" s="2699"/>
      <c r="AE89" s="2699"/>
      <c r="AF89" s="2699"/>
      <c r="AG89" s="2699"/>
      <c r="AH89" s="2760"/>
      <c r="AI89" s="2699"/>
      <c r="AJ89" s="2699"/>
      <c r="AK89" s="2699"/>
      <c r="AL89" s="2699"/>
      <c r="AM89" s="2699"/>
      <c r="AN89" s="2699"/>
      <c r="AO89" s="2699"/>
      <c r="AP89" s="2699"/>
      <c r="AQ89" s="2699"/>
      <c r="AR89" s="3542"/>
      <c r="AS89" s="3542"/>
      <c r="AT89" s="3542"/>
      <c r="AU89" s="3542"/>
    </row>
    <row r="90" spans="1:59">
      <c r="A90" s="3542"/>
      <c r="K90" s="3542"/>
      <c r="L90" s="3542"/>
      <c r="M90" s="2699"/>
      <c r="N90" s="2699"/>
      <c r="O90" s="2699"/>
      <c r="P90" s="2699"/>
      <c r="Q90" s="2699"/>
      <c r="R90" s="2699"/>
      <c r="S90" s="2699"/>
      <c r="T90" s="2699"/>
      <c r="U90" s="2699"/>
      <c r="V90" s="2699"/>
      <c r="W90" s="2699"/>
      <c r="X90" s="2699"/>
      <c r="Y90" s="2699"/>
      <c r="Z90" s="2699"/>
      <c r="AA90" s="2699"/>
      <c r="AB90" s="2699"/>
      <c r="AC90" s="2699"/>
      <c r="AD90" s="2699"/>
      <c r="AE90" s="2699"/>
      <c r="AF90" s="2699"/>
      <c r="AG90" s="2699"/>
      <c r="AH90" s="2760"/>
      <c r="AI90" s="2699"/>
      <c r="AJ90" s="2699"/>
      <c r="AK90" s="2699"/>
      <c r="AL90" s="2699"/>
      <c r="AM90" s="2699"/>
      <c r="AN90" s="2699"/>
      <c r="AO90" s="2699"/>
      <c r="AP90" s="2699"/>
      <c r="AQ90" s="2699"/>
      <c r="AR90" s="3542"/>
      <c r="AS90" s="3542"/>
      <c r="AT90" s="3542"/>
      <c r="AU90" s="3542"/>
    </row>
    <row r="91" spans="1:59">
      <c r="A91" s="3542"/>
      <c r="K91" s="3542"/>
      <c r="L91" s="3542"/>
      <c r="M91" s="2699"/>
      <c r="N91" s="2699"/>
      <c r="O91" s="2699"/>
      <c r="P91" s="2699"/>
      <c r="Q91" s="2699"/>
      <c r="R91" s="2827"/>
      <c r="S91" s="2699"/>
      <c r="T91" s="2699"/>
      <c r="U91" s="2699"/>
      <c r="V91" s="2699"/>
      <c r="W91" s="2699"/>
      <c r="X91" s="2699"/>
      <c r="Y91" s="2699"/>
      <c r="Z91" s="2699"/>
      <c r="AA91" s="2699"/>
      <c r="AB91" s="2699"/>
      <c r="AC91" s="2699"/>
      <c r="AD91" s="2699"/>
      <c r="AE91" s="2699"/>
      <c r="AF91" s="2699"/>
      <c r="AG91" s="2699"/>
      <c r="AH91" s="2760"/>
      <c r="AI91" s="2699"/>
      <c r="AJ91" s="2699"/>
      <c r="AK91" s="2699"/>
      <c r="AL91" s="2699"/>
      <c r="AM91" s="2699"/>
      <c r="AN91" s="2699"/>
      <c r="AO91" s="2699"/>
      <c r="AP91" s="2699"/>
      <c r="AQ91" s="2828"/>
      <c r="AR91" s="2828"/>
      <c r="AT91" s="2828"/>
      <c r="AU91" s="2828"/>
    </row>
    <row r="92" spans="1:59">
      <c r="A92" s="3542"/>
      <c r="K92" s="3542"/>
      <c r="L92" s="3542"/>
      <c r="M92" s="2699"/>
      <c r="N92" s="2699"/>
      <c r="O92" s="2699"/>
      <c r="P92" s="2699"/>
      <c r="Q92" s="2699"/>
      <c r="R92" s="2699"/>
      <c r="S92" s="2699"/>
      <c r="T92" s="2699"/>
      <c r="U92" s="2699"/>
      <c r="V92" s="2699"/>
      <c r="W92" s="2699"/>
      <c r="X92" s="2699"/>
      <c r="Y92" s="2699"/>
      <c r="Z92" s="2699"/>
      <c r="AA92" s="2699"/>
      <c r="AB92" s="2699"/>
      <c r="AC92" s="2699"/>
      <c r="AD92" s="2699"/>
      <c r="AE92" s="2699"/>
      <c r="AF92" s="2699"/>
      <c r="AG92" s="2699"/>
      <c r="AH92" s="2760"/>
      <c r="AI92" s="2699"/>
      <c r="AJ92" s="2699"/>
      <c r="AK92" s="2699"/>
      <c r="AL92" s="2699"/>
      <c r="AM92" s="2699"/>
      <c r="AN92" s="2699"/>
      <c r="AO92" s="2699"/>
      <c r="AP92" s="2699"/>
      <c r="AQ92" s="2699"/>
      <c r="AR92" s="3542"/>
      <c r="AT92" s="3542"/>
      <c r="AU92" s="3542"/>
    </row>
    <row r="93" spans="1:59">
      <c r="A93" s="3542"/>
      <c r="K93" s="3542"/>
      <c r="L93" s="3542"/>
      <c r="M93" s="2699"/>
      <c r="N93" s="2699"/>
      <c r="O93" s="2699"/>
      <c r="P93" s="2699"/>
      <c r="Q93" s="2699"/>
      <c r="R93" s="2699"/>
      <c r="S93" s="2699"/>
      <c r="T93" s="2699"/>
      <c r="U93" s="2699"/>
      <c r="V93" s="2699"/>
      <c r="W93" s="2699"/>
      <c r="X93" s="2699"/>
      <c r="Y93" s="2699"/>
      <c r="Z93" s="2699"/>
      <c r="AA93" s="2699"/>
      <c r="AB93" s="2699"/>
      <c r="AC93" s="2699"/>
      <c r="AD93" s="2699"/>
      <c r="AE93" s="2699"/>
      <c r="AF93" s="2699"/>
      <c r="AG93" s="2699"/>
      <c r="AH93" s="2760"/>
      <c r="AI93" s="2699"/>
      <c r="AJ93" s="2699"/>
      <c r="AK93" s="2699"/>
      <c r="AL93" s="2699"/>
      <c r="AM93" s="2699"/>
      <c r="AN93" s="2699"/>
      <c r="AO93" s="2699"/>
      <c r="AP93" s="2699"/>
      <c r="AQ93" s="2699"/>
      <c r="AR93" s="3542"/>
      <c r="AS93" s="3306" t="s">
        <v>1013</v>
      </c>
      <c r="AT93" s="3542"/>
      <c r="AU93" s="3542"/>
    </row>
    <row r="94" spans="1:59">
      <c r="A94" s="3542"/>
      <c r="K94" s="3542"/>
      <c r="L94" s="3542"/>
      <c r="M94" s="2699"/>
      <c r="N94" s="2699"/>
      <c r="O94" s="2699"/>
      <c r="P94" s="2699"/>
      <c r="Q94" s="2699"/>
      <c r="R94" s="2699"/>
      <c r="S94" s="2699"/>
      <c r="T94" s="2699"/>
      <c r="U94" s="2699"/>
      <c r="V94" s="2699"/>
      <c r="W94" s="2699"/>
      <c r="X94" s="2699"/>
      <c r="Y94" s="2699"/>
      <c r="Z94" s="2699"/>
      <c r="AA94" s="2699"/>
      <c r="AB94" s="2699"/>
      <c r="AC94" s="2699"/>
      <c r="AD94" s="2699"/>
      <c r="AE94" s="2699"/>
      <c r="AF94" s="2699"/>
      <c r="AG94" s="2699"/>
      <c r="AH94" s="2760"/>
      <c r="AI94" s="2699"/>
      <c r="AJ94" s="2699"/>
      <c r="AK94" s="2699"/>
      <c r="AL94" s="2699"/>
      <c r="AM94" s="2699"/>
      <c r="AN94" s="2829"/>
      <c r="AO94" s="2829"/>
      <c r="AP94" s="2829"/>
      <c r="AQ94" s="2829"/>
      <c r="AR94" s="2829"/>
      <c r="AT94" s="2829"/>
      <c r="AU94" s="3542"/>
    </row>
    <row r="95" spans="1:59">
      <c r="A95" s="3542"/>
      <c r="K95" s="3542"/>
      <c r="L95" s="3542"/>
      <c r="M95" s="2699"/>
      <c r="N95" s="2699"/>
      <c r="O95" s="2699"/>
      <c r="P95" s="2699"/>
      <c r="Q95" s="2699"/>
      <c r="R95" s="2699"/>
      <c r="S95" s="2699"/>
      <c r="T95" s="2699"/>
      <c r="U95" s="2699"/>
      <c r="V95" s="2699"/>
      <c r="W95" s="2699"/>
      <c r="X95" s="2699"/>
      <c r="Y95" s="2699"/>
      <c r="Z95" s="2699"/>
      <c r="AA95" s="2699"/>
      <c r="AB95" s="2699"/>
      <c r="AC95" s="2699"/>
      <c r="AD95" s="2699"/>
      <c r="AE95" s="2699"/>
      <c r="AF95" s="2699"/>
      <c r="AG95" s="2699"/>
      <c r="AH95" s="2760"/>
      <c r="AI95" s="2699"/>
      <c r="AJ95" s="2699"/>
      <c r="AK95" s="2699"/>
      <c r="AL95" s="2699"/>
      <c r="AM95" s="2699"/>
      <c r="AN95" s="2699"/>
      <c r="AO95" s="2699"/>
      <c r="AP95" s="2699"/>
      <c r="AQ95" s="2699"/>
      <c r="AR95" s="3542"/>
      <c r="AS95" s="3542"/>
      <c r="AT95" s="3542"/>
      <c r="AU95" s="3542"/>
    </row>
    <row r="96" spans="1:59">
      <c r="A96" s="3542"/>
      <c r="K96" s="3542"/>
      <c r="L96" s="3542"/>
      <c r="M96" s="2699"/>
      <c r="N96" s="2699"/>
      <c r="O96" s="2699"/>
      <c r="P96" s="2699"/>
      <c r="Q96" s="2699"/>
      <c r="R96" s="2699"/>
      <c r="S96" s="2699"/>
      <c r="T96" s="2699"/>
      <c r="U96" s="2699"/>
      <c r="V96" s="2699"/>
      <c r="W96" s="2699"/>
      <c r="X96" s="2699"/>
      <c r="Y96" s="2699"/>
      <c r="Z96" s="2699"/>
      <c r="AA96" s="2699"/>
      <c r="AB96" s="2699"/>
      <c r="AC96" s="2699"/>
      <c r="AD96" s="2699"/>
      <c r="AE96" s="2699"/>
      <c r="AF96" s="2699"/>
      <c r="AG96" s="2699"/>
      <c r="AH96" s="2760"/>
      <c r="AI96" s="2699"/>
      <c r="AJ96" s="2699"/>
      <c r="AK96" s="2699"/>
      <c r="AL96" s="2699"/>
      <c r="AM96" s="2699"/>
      <c r="AN96" s="2699"/>
      <c r="AO96" s="2699"/>
      <c r="AP96" s="2699"/>
      <c r="AQ96" s="2699"/>
      <c r="AR96" s="3542"/>
      <c r="AS96" s="3542"/>
      <c r="AT96" s="3542"/>
      <c r="AU96" s="3542"/>
      <c r="AV96" s="2766"/>
      <c r="AY96" s="2766"/>
    </row>
    <row r="97" spans="1:51">
      <c r="A97" s="3542"/>
      <c r="K97" s="3542"/>
      <c r="L97" s="3542"/>
      <c r="M97" s="2699"/>
      <c r="N97" s="2699"/>
      <c r="O97" s="2699"/>
      <c r="P97" s="2699"/>
      <c r="Q97" s="2699"/>
      <c r="R97" s="2699"/>
      <c r="S97" s="2699"/>
      <c r="T97" s="2699"/>
      <c r="U97" s="2699"/>
      <c r="V97" s="2699"/>
      <c r="W97" s="2699"/>
      <c r="X97" s="2699"/>
      <c r="Y97" s="2699"/>
      <c r="Z97" s="2699"/>
      <c r="AA97" s="2699"/>
      <c r="AB97" s="2699"/>
      <c r="AC97" s="2699"/>
      <c r="AD97" s="2699"/>
      <c r="AE97" s="2699"/>
      <c r="AF97" s="2699"/>
      <c r="AG97" s="2699"/>
      <c r="AH97" s="2760"/>
      <c r="AI97" s="2699"/>
      <c r="AJ97" s="2699"/>
      <c r="AK97" s="2699"/>
      <c r="AL97" s="2699"/>
      <c r="AM97" s="2699"/>
      <c r="AN97" s="2699"/>
      <c r="AO97" s="2699"/>
      <c r="AP97" s="2699"/>
      <c r="AQ97" s="2699"/>
      <c r="AR97" s="3542"/>
      <c r="AS97" s="3542"/>
      <c r="AT97" s="3542"/>
      <c r="AU97" s="3542"/>
      <c r="AV97" s="2766"/>
      <c r="AY97" s="2766"/>
    </row>
    <row r="98" spans="1:51">
      <c r="A98" s="3542"/>
      <c r="K98" s="3542"/>
      <c r="L98" s="3542"/>
      <c r="M98" s="2699"/>
      <c r="N98" s="2699"/>
      <c r="O98" s="2699"/>
      <c r="P98" s="2699"/>
      <c r="Q98" s="2699"/>
      <c r="R98" s="2699"/>
      <c r="S98" s="2699"/>
      <c r="T98" s="2699"/>
      <c r="U98" s="2699"/>
      <c r="V98" s="2699"/>
      <c r="W98" s="2699"/>
      <c r="X98" s="2699"/>
      <c r="Y98" s="2699"/>
      <c r="Z98" s="2699"/>
      <c r="AA98" s="2699"/>
      <c r="AB98" s="2699"/>
      <c r="AC98" s="2699"/>
      <c r="AD98" s="2699"/>
      <c r="AE98" s="2699"/>
      <c r="AF98" s="2699"/>
      <c r="AG98" s="2699"/>
      <c r="AH98" s="2760"/>
      <c r="AI98" s="2699"/>
      <c r="AJ98" s="2699"/>
      <c r="AK98" s="2699"/>
      <c r="AL98" s="2699"/>
      <c r="AM98" s="2699"/>
      <c r="AN98" s="2699"/>
      <c r="AO98" s="2699"/>
      <c r="AP98" s="2699"/>
      <c r="AQ98" s="2699"/>
      <c r="AR98" s="3542"/>
      <c r="AS98" s="3542"/>
      <c r="AT98" s="3542"/>
      <c r="AU98" s="3542"/>
      <c r="AV98" s="2766"/>
      <c r="AY98" s="2766"/>
    </row>
    <row r="99" spans="1:51">
      <c r="A99" s="3542"/>
      <c r="K99" s="3542"/>
      <c r="L99" s="3542"/>
      <c r="M99" s="2699"/>
      <c r="N99" s="2699"/>
      <c r="O99" s="2699"/>
      <c r="P99" s="2699"/>
      <c r="Q99" s="2699"/>
      <c r="R99" s="2699"/>
      <c r="S99" s="2699"/>
      <c r="T99" s="2699"/>
      <c r="U99" s="2699"/>
      <c r="V99" s="2699"/>
      <c r="W99" s="2699"/>
      <c r="X99" s="2699"/>
      <c r="Y99" s="2699"/>
      <c r="Z99" s="2699"/>
      <c r="AA99" s="2699"/>
      <c r="AB99" s="2699"/>
      <c r="AC99" s="2699"/>
      <c r="AD99" s="2699"/>
      <c r="AE99" s="2699"/>
      <c r="AF99" s="2699"/>
      <c r="AG99" s="2699"/>
      <c r="AH99" s="2760"/>
      <c r="AI99" s="2699"/>
      <c r="AJ99" s="2699"/>
      <c r="AK99" s="2699"/>
      <c r="AL99" s="2699"/>
      <c r="AM99" s="2699"/>
      <c r="AN99" s="2699"/>
      <c r="AO99" s="2699"/>
      <c r="AP99" s="2699"/>
      <c r="AQ99" s="2699"/>
      <c r="AR99" s="3542"/>
      <c r="AS99" s="3542"/>
      <c r="AT99" s="3542"/>
      <c r="AU99" s="3542"/>
      <c r="AV99" s="2766"/>
      <c r="AY99" s="2766"/>
    </row>
    <row r="100" spans="1:51">
      <c r="A100" s="3542"/>
      <c r="K100" s="3542"/>
      <c r="L100" s="3542"/>
      <c r="M100" s="2699"/>
      <c r="N100" s="2699"/>
      <c r="O100" s="2699"/>
      <c r="P100" s="2699"/>
      <c r="Q100" s="2699"/>
      <c r="R100" s="2699"/>
      <c r="S100" s="2699"/>
      <c r="T100" s="2699"/>
      <c r="U100" s="2699"/>
      <c r="V100" s="2699"/>
      <c r="W100" s="2699"/>
      <c r="X100" s="2699"/>
      <c r="Y100" s="2699"/>
      <c r="Z100" s="2699"/>
      <c r="AA100" s="2699"/>
      <c r="AB100" s="2699"/>
      <c r="AC100" s="2699"/>
      <c r="AD100" s="2699"/>
      <c r="AE100" s="2699"/>
      <c r="AF100" s="2699"/>
      <c r="AG100" s="2699"/>
      <c r="AH100" s="2760"/>
      <c r="AI100" s="2699"/>
      <c r="AJ100" s="2699"/>
      <c r="AK100" s="2699"/>
      <c r="AL100" s="2699"/>
      <c r="AM100" s="2699"/>
      <c r="AN100" s="2699"/>
      <c r="AO100" s="2699"/>
      <c r="AP100" s="2699"/>
      <c r="AQ100" s="2699"/>
      <c r="AR100" s="3542"/>
      <c r="AS100" s="3542"/>
      <c r="AT100" s="3542"/>
      <c r="AU100" s="3542"/>
      <c r="AV100" s="2766"/>
      <c r="AY100" s="2766"/>
    </row>
    <row r="101" spans="1:51">
      <c r="A101" s="3542"/>
      <c r="K101" s="2820"/>
      <c r="L101" s="2820"/>
      <c r="M101" s="2830"/>
      <c r="N101" s="2830"/>
      <c r="O101" s="2830"/>
      <c r="P101" s="2830"/>
      <c r="Q101" s="2830"/>
      <c r="R101" s="2830"/>
      <c r="S101" s="2830"/>
      <c r="T101" s="2830"/>
      <c r="U101" s="2830"/>
      <c r="V101" s="2830"/>
      <c r="W101" s="2830"/>
      <c r="X101" s="2830"/>
      <c r="Y101" s="2830"/>
      <c r="Z101" s="2830"/>
      <c r="AA101" s="2830"/>
      <c r="AB101" s="2830"/>
      <c r="AC101" s="2830"/>
      <c r="AD101" s="2830"/>
      <c r="AE101" s="2830"/>
      <c r="AF101" s="2830"/>
      <c r="AG101" s="2830"/>
      <c r="AH101" s="2831"/>
      <c r="AI101" s="2830"/>
      <c r="AJ101" s="2830"/>
      <c r="AK101" s="2830"/>
      <c r="AL101" s="2830"/>
      <c r="AM101" s="2830"/>
      <c r="AN101" s="2830"/>
      <c r="AO101" s="2830"/>
      <c r="AP101" s="2830"/>
      <c r="AQ101" s="2830"/>
      <c r="AR101" s="2820"/>
      <c r="AS101" s="2820"/>
      <c r="AT101" s="2820"/>
      <c r="AU101" s="2820"/>
      <c r="AV101" s="2766"/>
      <c r="AY101" s="2766"/>
    </row>
    <row r="102" spans="1:51">
      <c r="A102" s="2832"/>
      <c r="K102" s="2820"/>
      <c r="L102" s="2820"/>
      <c r="M102" s="2830"/>
      <c r="N102" s="2830"/>
      <c r="O102" s="2830"/>
      <c r="P102" s="2830"/>
      <c r="Q102" s="2830"/>
      <c r="R102" s="2830"/>
      <c r="S102" s="2830"/>
      <c r="T102" s="2830"/>
      <c r="U102" s="2830"/>
      <c r="V102" s="2830"/>
      <c r="W102" s="2830"/>
      <c r="X102" s="2830"/>
      <c r="Y102" s="2830"/>
      <c r="Z102" s="2830"/>
      <c r="AA102" s="2830"/>
      <c r="AB102" s="2830"/>
      <c r="AC102" s="2830"/>
      <c r="AD102" s="2830"/>
      <c r="AE102" s="2830"/>
      <c r="AF102" s="2830"/>
      <c r="AG102" s="2830"/>
      <c r="AH102" s="2831"/>
      <c r="AI102" s="2830"/>
      <c r="AJ102" s="2830"/>
      <c r="AK102" s="2830"/>
      <c r="AL102" s="2830"/>
      <c r="AM102" s="2830"/>
      <c r="AN102" s="2830"/>
      <c r="AO102" s="2830"/>
      <c r="AP102" s="2830"/>
      <c r="AQ102" s="2830"/>
      <c r="AR102" s="2820"/>
      <c r="AS102" s="2820"/>
      <c r="AT102" s="2820"/>
      <c r="AU102" s="2820"/>
      <c r="AV102" s="2766"/>
      <c r="AY102" s="2766"/>
    </row>
    <row r="103" spans="1:51">
      <c r="A103" s="2832"/>
      <c r="K103" s="2820"/>
      <c r="L103" s="2820"/>
      <c r="M103" s="2830"/>
      <c r="N103" s="2830"/>
      <c r="O103" s="2830"/>
      <c r="P103" s="2830"/>
      <c r="Q103" s="2830"/>
      <c r="R103" s="2830"/>
      <c r="S103" s="2830"/>
      <c r="T103" s="2830"/>
      <c r="U103" s="2830"/>
      <c r="V103" s="2830"/>
      <c r="W103" s="2830"/>
      <c r="X103" s="2830"/>
      <c r="Y103" s="2830"/>
      <c r="Z103" s="2830"/>
      <c r="AA103" s="2830"/>
      <c r="AB103" s="2830"/>
      <c r="AC103" s="2830"/>
      <c r="AD103" s="2830"/>
      <c r="AE103" s="2830"/>
      <c r="AF103" s="2830"/>
      <c r="AG103" s="2830"/>
      <c r="AH103" s="2831"/>
      <c r="AI103" s="2830"/>
      <c r="AJ103" s="2830"/>
      <c r="AK103" s="2830"/>
      <c r="AL103" s="2830"/>
      <c r="AM103" s="2830"/>
      <c r="AN103" s="2830"/>
      <c r="AO103" s="2830"/>
      <c r="AP103" s="2830"/>
      <c r="AQ103" s="2830"/>
      <c r="AR103" s="2820"/>
      <c r="AS103" s="2820"/>
      <c r="AT103" s="2820"/>
      <c r="AU103" s="2820"/>
      <c r="AV103" s="2766"/>
      <c r="AY103" s="2766"/>
    </row>
    <row r="104" spans="1:51">
      <c r="A104" s="2832"/>
      <c r="K104" s="2820"/>
      <c r="L104" s="2820"/>
      <c r="M104" s="2830"/>
      <c r="N104" s="2830"/>
      <c r="O104" s="2830"/>
      <c r="P104" s="2830"/>
      <c r="Q104" s="2830"/>
      <c r="R104" s="2830"/>
      <c r="S104" s="2830"/>
      <c r="T104" s="2830"/>
      <c r="U104" s="2830"/>
      <c r="V104" s="2830"/>
      <c r="W104" s="2830"/>
      <c r="X104" s="2830"/>
      <c r="Y104" s="2830"/>
      <c r="Z104" s="2830"/>
      <c r="AA104" s="2830"/>
      <c r="AB104" s="2830"/>
      <c r="AC104" s="2830"/>
      <c r="AD104" s="2830"/>
      <c r="AE104" s="2830"/>
      <c r="AF104" s="2830"/>
      <c r="AG104" s="2830"/>
      <c r="AH104" s="2831"/>
      <c r="AI104" s="2830"/>
      <c r="AJ104" s="2830"/>
      <c r="AK104" s="2830"/>
      <c r="AL104" s="2830"/>
      <c r="AM104" s="2830"/>
      <c r="AN104" s="2830"/>
      <c r="AO104" s="2830"/>
      <c r="AP104" s="2830"/>
      <c r="AQ104" s="2830"/>
      <c r="AR104" s="2820"/>
      <c r="AS104" s="2820"/>
      <c r="AT104" s="2820"/>
      <c r="AU104" s="2820"/>
      <c r="AV104" s="2766"/>
      <c r="AY104" s="2766"/>
    </row>
    <row r="105" spans="1:51">
      <c r="A105" s="2832"/>
      <c r="K105" s="2820"/>
      <c r="L105" s="2820"/>
      <c r="M105" s="2830"/>
      <c r="N105" s="2830"/>
      <c r="O105" s="2830"/>
      <c r="P105" s="2830"/>
      <c r="Q105" s="2830"/>
      <c r="R105" s="2830"/>
      <c r="S105" s="2830"/>
      <c r="T105" s="2830"/>
      <c r="U105" s="2830"/>
      <c r="V105" s="2830"/>
      <c r="W105" s="2830"/>
      <c r="X105" s="2830"/>
      <c r="Y105" s="2830"/>
      <c r="Z105" s="2830"/>
      <c r="AA105" s="2830"/>
      <c r="AB105" s="2830"/>
      <c r="AC105" s="2830"/>
      <c r="AD105" s="2830"/>
      <c r="AE105" s="2830"/>
      <c r="AF105" s="2830"/>
      <c r="AG105" s="2830"/>
      <c r="AH105" s="2831"/>
      <c r="AI105" s="2830"/>
      <c r="AJ105" s="2830"/>
      <c r="AK105" s="2830"/>
      <c r="AL105" s="2830"/>
      <c r="AM105" s="2830"/>
      <c r="AN105" s="2830"/>
      <c r="AO105" s="2830"/>
      <c r="AP105" s="2830"/>
      <c r="AQ105" s="2830"/>
      <c r="AR105" s="2820"/>
      <c r="AS105" s="2820"/>
      <c r="AT105" s="2820"/>
      <c r="AU105" s="2820"/>
      <c r="AV105" s="2766"/>
      <c r="AY105" s="2766"/>
    </row>
    <row r="106" spans="1:51">
      <c r="A106" s="2832"/>
      <c r="K106" s="2820"/>
      <c r="L106" s="2820"/>
      <c r="M106" s="2830"/>
      <c r="N106" s="2830"/>
      <c r="O106" s="2830"/>
      <c r="P106" s="2830"/>
      <c r="Q106" s="2830"/>
      <c r="R106" s="2830"/>
      <c r="S106" s="2830"/>
      <c r="T106" s="2830"/>
      <c r="U106" s="2830"/>
      <c r="V106" s="2830"/>
      <c r="W106" s="2830"/>
      <c r="X106" s="2830"/>
      <c r="Y106" s="2830"/>
      <c r="Z106" s="2830"/>
      <c r="AA106" s="2830"/>
      <c r="AB106" s="2830"/>
      <c r="AC106" s="2830"/>
      <c r="AD106" s="2830"/>
      <c r="AE106" s="2830"/>
      <c r="AF106" s="2830"/>
      <c r="AG106" s="2830"/>
      <c r="AH106" s="2831"/>
      <c r="AI106" s="2830"/>
      <c r="AJ106" s="2830"/>
      <c r="AK106" s="2830"/>
      <c r="AL106" s="2830"/>
      <c r="AM106" s="2830"/>
      <c r="AN106" s="2830"/>
      <c r="AO106" s="2830"/>
      <c r="AP106" s="2830"/>
      <c r="AQ106" s="2830"/>
      <c r="AR106" s="2820"/>
      <c r="AS106" s="2820"/>
      <c r="AT106" s="2820"/>
      <c r="AU106" s="2820"/>
      <c r="AV106" s="2766"/>
      <c r="AY106" s="2766"/>
    </row>
    <row r="107" spans="1:51">
      <c r="A107" s="2832"/>
      <c r="K107" s="2820"/>
      <c r="L107" s="2820"/>
      <c r="M107" s="2830"/>
      <c r="N107" s="2830"/>
      <c r="O107" s="2830"/>
      <c r="P107" s="2830"/>
      <c r="Q107" s="2830"/>
      <c r="R107" s="2830"/>
      <c r="S107" s="2830"/>
      <c r="T107" s="2830"/>
      <c r="U107" s="2830"/>
      <c r="V107" s="2830"/>
      <c r="W107" s="2830"/>
      <c r="X107" s="2830"/>
      <c r="Y107" s="2830"/>
      <c r="Z107" s="2830"/>
      <c r="AA107" s="2830"/>
      <c r="AB107" s="2830"/>
      <c r="AC107" s="2830"/>
      <c r="AD107" s="2830"/>
      <c r="AE107" s="2830"/>
      <c r="AF107" s="2830"/>
      <c r="AG107" s="2830"/>
      <c r="AH107" s="2831"/>
      <c r="AI107" s="2830"/>
      <c r="AJ107" s="2830"/>
      <c r="AK107" s="2830"/>
      <c r="AL107" s="2830"/>
      <c r="AM107" s="2830"/>
      <c r="AN107" s="2830"/>
      <c r="AO107" s="2830"/>
      <c r="AP107" s="2830"/>
      <c r="AQ107" s="2830"/>
      <c r="AR107" s="2820"/>
      <c r="AS107" s="2820"/>
      <c r="AT107" s="2820"/>
      <c r="AU107" s="2820"/>
      <c r="AV107" s="2766"/>
      <c r="AY107" s="2766"/>
    </row>
    <row r="108" spans="1:51">
      <c r="A108" s="2832"/>
      <c r="K108" s="2820"/>
      <c r="L108" s="2820"/>
      <c r="M108" s="2830"/>
      <c r="N108" s="2830"/>
      <c r="O108" s="2830"/>
      <c r="P108" s="2830"/>
      <c r="Q108" s="2830"/>
      <c r="R108" s="2830"/>
      <c r="S108" s="2830"/>
      <c r="T108" s="2830"/>
      <c r="U108" s="2830"/>
      <c r="V108" s="2830"/>
      <c r="W108" s="2830"/>
      <c r="X108" s="2830"/>
      <c r="Y108" s="2830"/>
      <c r="Z108" s="2830"/>
      <c r="AA108" s="2830"/>
      <c r="AB108" s="2830"/>
      <c r="AC108" s="2830"/>
      <c r="AD108" s="2830"/>
      <c r="AE108" s="2830"/>
      <c r="AF108" s="2830"/>
      <c r="AG108" s="2830"/>
      <c r="AH108" s="2831"/>
      <c r="AI108" s="2830"/>
      <c r="AJ108" s="2830"/>
      <c r="AK108" s="2830"/>
      <c r="AL108" s="2830"/>
      <c r="AM108" s="2830"/>
      <c r="AN108" s="2830"/>
      <c r="AO108" s="2830"/>
      <c r="AP108" s="2830"/>
      <c r="AQ108" s="2830"/>
      <c r="AR108" s="2820"/>
      <c r="AS108" s="2820"/>
      <c r="AT108" s="2820"/>
      <c r="AU108" s="2820"/>
      <c r="AV108" s="2766"/>
      <c r="AY108" s="2766"/>
    </row>
    <row r="109" spans="1:51">
      <c r="A109" s="2832"/>
      <c r="K109" s="2820"/>
      <c r="L109" s="2820"/>
      <c r="M109" s="2830"/>
      <c r="N109" s="2830"/>
      <c r="O109" s="2830"/>
      <c r="P109" s="2830"/>
      <c r="Q109" s="2830"/>
      <c r="R109" s="2830"/>
      <c r="S109" s="2830"/>
      <c r="T109" s="2830"/>
      <c r="U109" s="2830"/>
      <c r="V109" s="2830"/>
      <c r="W109" s="2830"/>
      <c r="X109" s="2830"/>
      <c r="Y109" s="2830"/>
      <c r="Z109" s="2830"/>
      <c r="AA109" s="2830"/>
      <c r="AB109" s="2830"/>
      <c r="AC109" s="2830"/>
      <c r="AD109" s="2830"/>
      <c r="AE109" s="2830"/>
      <c r="AF109" s="2830"/>
      <c r="AG109" s="2830"/>
      <c r="AH109" s="2831"/>
      <c r="AI109" s="2830"/>
      <c r="AJ109" s="2830"/>
      <c r="AK109" s="2830"/>
      <c r="AL109" s="2830"/>
      <c r="AM109" s="2830"/>
      <c r="AN109" s="2830"/>
      <c r="AO109" s="2830"/>
      <c r="AP109" s="2830"/>
      <c r="AQ109" s="2830"/>
      <c r="AR109" s="2820"/>
      <c r="AS109" s="2820"/>
      <c r="AT109" s="2820"/>
      <c r="AU109" s="2820"/>
      <c r="AV109" s="2766"/>
      <c r="AY109" s="2766"/>
    </row>
    <row r="110" spans="1:51">
      <c r="A110" s="2832"/>
      <c r="K110" s="3863"/>
      <c r="L110" s="3863"/>
      <c r="M110" s="3863"/>
      <c r="N110" s="3863"/>
      <c r="O110" s="3863"/>
      <c r="P110" s="3863"/>
      <c r="Q110" s="3863"/>
      <c r="R110" s="3863"/>
      <c r="S110" s="3863"/>
      <c r="T110" s="3863"/>
      <c r="U110" s="2830"/>
      <c r="V110" s="2830"/>
      <c r="W110" s="2830"/>
      <c r="X110" s="2830"/>
      <c r="Y110" s="2830"/>
      <c r="Z110" s="2830"/>
      <c r="AA110" s="3852"/>
      <c r="AB110" s="3852"/>
      <c r="AC110" s="3852"/>
      <c r="AD110" s="3852"/>
      <c r="AE110" s="3852"/>
      <c r="AF110" s="3852"/>
      <c r="AG110" s="3852"/>
      <c r="AH110" s="3852"/>
      <c r="AI110" s="3852"/>
      <c r="AJ110" s="3852"/>
      <c r="AK110" s="3852"/>
      <c r="AL110" s="3852"/>
      <c r="AM110" s="3852"/>
      <c r="AN110" s="3852"/>
      <c r="AO110" s="3852"/>
      <c r="AP110" s="3852"/>
      <c r="AQ110" s="3852"/>
      <c r="AR110" s="2820"/>
      <c r="AS110" s="2820"/>
      <c r="AT110" s="2820"/>
      <c r="AU110" s="2820"/>
      <c r="AV110" s="2766"/>
      <c r="AY110" s="2766"/>
    </row>
    <row r="111" spans="1:51" ht="15.75" hidden="1" customHeight="1">
      <c r="K111" s="3851"/>
      <c r="L111" s="3851"/>
      <c r="M111" s="3851"/>
      <c r="N111" s="3851"/>
      <c r="O111" s="3851"/>
      <c r="P111" s="3851"/>
      <c r="Q111" s="3851"/>
      <c r="R111" s="3851"/>
      <c r="S111" s="3851"/>
      <c r="T111" s="3851"/>
      <c r="U111" s="2830"/>
      <c r="V111" s="2830"/>
      <c r="W111" s="2830"/>
      <c r="X111" s="2830"/>
      <c r="Y111" s="2830"/>
      <c r="Z111" s="2830"/>
      <c r="AA111" s="3852"/>
      <c r="AB111" s="3852"/>
      <c r="AC111" s="3852"/>
      <c r="AD111" s="3852"/>
      <c r="AE111" s="3852"/>
      <c r="AF111" s="3852"/>
      <c r="AG111" s="3852"/>
      <c r="AH111" s="3852"/>
      <c r="AI111" s="3852"/>
      <c r="AJ111" s="3852"/>
      <c r="AK111" s="3852"/>
      <c r="AL111" s="3852"/>
      <c r="AM111" s="3852"/>
      <c r="AN111" s="3852"/>
      <c r="AO111" s="3852"/>
      <c r="AP111" s="3852"/>
      <c r="AQ111" s="3852"/>
      <c r="AR111" s="2820"/>
      <c r="AS111" s="2820"/>
      <c r="AT111" s="2820"/>
      <c r="AU111" s="2820"/>
      <c r="AV111" s="2766"/>
      <c r="AY111" s="2766"/>
    </row>
    <row r="112" spans="1:51" ht="15.75" hidden="1" customHeight="1">
      <c r="K112" s="3851"/>
      <c r="L112" s="3851"/>
      <c r="M112" s="3851"/>
      <c r="N112" s="3851"/>
      <c r="O112" s="3851"/>
      <c r="P112" s="3851"/>
      <c r="Q112" s="3851"/>
      <c r="R112" s="3851"/>
      <c r="S112" s="3851"/>
      <c r="T112" s="3851"/>
      <c r="U112" s="2830"/>
      <c r="V112" s="2830"/>
      <c r="W112" s="2830"/>
      <c r="X112" s="2830"/>
      <c r="Y112" s="2830"/>
      <c r="Z112" s="2830"/>
      <c r="AA112" s="2830"/>
      <c r="AB112" s="2830"/>
      <c r="AC112" s="2830"/>
      <c r="AD112" s="2830"/>
      <c r="AE112" s="2830"/>
      <c r="AF112" s="2830"/>
      <c r="AG112" s="2830"/>
      <c r="AH112" s="2831"/>
      <c r="AI112" s="2830"/>
      <c r="AJ112" s="2830"/>
      <c r="AK112" s="2830"/>
      <c r="AL112" s="2830"/>
      <c r="AM112" s="2830"/>
      <c r="AN112" s="2830"/>
      <c r="AO112" s="2830"/>
      <c r="AP112" s="2830"/>
      <c r="AQ112" s="2830"/>
      <c r="AR112" s="2820"/>
      <c r="AS112" s="2820"/>
      <c r="AT112" s="2820"/>
      <c r="AU112" s="2820"/>
      <c r="AV112" s="2766"/>
      <c r="AY112" s="2766"/>
    </row>
    <row r="113" spans="1:51" ht="15.75" hidden="1" customHeight="1">
      <c r="K113" s="3863"/>
      <c r="L113" s="3863"/>
      <c r="M113" s="3863"/>
      <c r="N113" s="3863"/>
      <c r="O113" s="3863"/>
      <c r="P113" s="3863"/>
      <c r="Q113" s="3863"/>
      <c r="R113" s="3863"/>
      <c r="S113" s="3863"/>
      <c r="T113" s="3863"/>
      <c r="U113" s="3863"/>
      <c r="V113" s="3863"/>
      <c r="W113" s="3863"/>
      <c r="X113" s="3863"/>
      <c r="Y113" s="3863"/>
      <c r="Z113" s="3863"/>
      <c r="AA113" s="3863"/>
      <c r="AB113" s="3863"/>
      <c r="AC113" s="3863"/>
      <c r="AD113" s="3863"/>
      <c r="AE113" s="3863"/>
      <c r="AF113" s="3863"/>
      <c r="AG113" s="3863"/>
      <c r="AH113" s="3863"/>
      <c r="AI113" s="3863"/>
      <c r="AJ113" s="3863"/>
      <c r="AK113" s="3863"/>
      <c r="AL113" s="3863"/>
      <c r="AM113" s="3863"/>
      <c r="AN113" s="3863"/>
      <c r="AO113" s="3863"/>
      <c r="AP113" s="3863"/>
      <c r="AQ113" s="3863"/>
      <c r="AR113" s="2820"/>
      <c r="AS113" s="2820"/>
      <c r="AT113" s="2820"/>
      <c r="AU113" s="2820"/>
      <c r="AV113" s="2766"/>
      <c r="AY113" s="2766"/>
    </row>
    <row r="114" spans="1:51" ht="15.75" hidden="1" customHeight="1">
      <c r="K114" s="3880"/>
      <c r="L114" s="3880"/>
      <c r="M114" s="3880"/>
      <c r="N114" s="3880"/>
      <c r="O114" s="3880"/>
      <c r="P114" s="3880"/>
      <c r="Q114" s="3880"/>
      <c r="R114" s="3880"/>
      <c r="S114" s="3880"/>
      <c r="T114" s="3880"/>
      <c r="U114" s="3880"/>
      <c r="V114" s="3880"/>
      <c r="W114" s="3880"/>
      <c r="X114" s="3880"/>
      <c r="Y114" s="3880"/>
      <c r="Z114" s="3880"/>
      <c r="AA114" s="3880"/>
      <c r="AB114" s="3880"/>
      <c r="AC114" s="3880"/>
      <c r="AD114" s="3880"/>
      <c r="AE114" s="3880"/>
      <c r="AF114" s="3880"/>
      <c r="AG114" s="3880"/>
      <c r="AH114" s="3880"/>
      <c r="AI114" s="3880"/>
      <c r="AJ114" s="3880"/>
      <c r="AK114" s="3880"/>
      <c r="AL114" s="3880"/>
      <c r="AM114" s="3880"/>
      <c r="AN114" s="3880"/>
      <c r="AO114" s="3880"/>
      <c r="AP114" s="3880"/>
      <c r="AQ114" s="3880"/>
      <c r="AR114" s="2820"/>
      <c r="AS114" s="2820"/>
      <c r="AT114" s="2820"/>
      <c r="AU114" s="2820"/>
      <c r="AV114" s="2766"/>
      <c r="AY114" s="2766"/>
    </row>
    <row r="115" spans="1:51" ht="15.75" hidden="1" customHeight="1">
      <c r="K115" s="3549"/>
      <c r="L115" s="3549"/>
      <c r="M115" s="2657"/>
      <c r="N115" s="2657"/>
      <c r="O115" s="2657"/>
      <c r="P115" s="2657"/>
      <c r="Q115" s="2657"/>
      <c r="R115" s="2657"/>
      <c r="S115" s="2657"/>
      <c r="T115" s="2657"/>
      <c r="U115" s="2657"/>
      <c r="V115" s="2657"/>
      <c r="W115" s="2657"/>
      <c r="X115" s="2657"/>
      <c r="Y115" s="2657"/>
      <c r="Z115" s="2657"/>
      <c r="AA115" s="2657"/>
      <c r="AB115" s="2657"/>
      <c r="AC115" s="2657"/>
      <c r="AD115" s="2657"/>
      <c r="AE115" s="2657"/>
      <c r="AF115" s="2657"/>
      <c r="AG115" s="2657"/>
      <c r="AH115" s="2833"/>
      <c r="AI115" s="2657"/>
      <c r="AJ115" s="2657"/>
      <c r="AK115" s="2657"/>
      <c r="AL115" s="2657"/>
      <c r="AM115" s="2657"/>
      <c r="AN115" s="2657"/>
      <c r="AO115" s="2657"/>
      <c r="AP115" s="2657"/>
      <c r="AQ115" s="2834"/>
      <c r="AR115" s="2820"/>
      <c r="AS115" s="2820"/>
      <c r="AT115" s="2820"/>
      <c r="AU115" s="2820"/>
      <c r="AV115" s="2766"/>
      <c r="AY115" s="2766"/>
    </row>
    <row r="116" spans="1:51" ht="26.25" hidden="1" customHeight="1">
      <c r="K116" s="2805"/>
      <c r="L116" s="2805"/>
      <c r="M116" s="2657"/>
      <c r="N116" s="2657"/>
      <c r="O116" s="2657"/>
      <c r="P116" s="2657"/>
      <c r="Q116" s="2657"/>
      <c r="R116" s="2657"/>
      <c r="S116" s="2657"/>
      <c r="T116" s="2657"/>
      <c r="U116" s="2657"/>
      <c r="V116" s="2657"/>
      <c r="W116" s="2657"/>
      <c r="X116" s="2657"/>
      <c r="Y116" s="2657"/>
      <c r="Z116" s="2657"/>
      <c r="AA116" s="2657"/>
      <c r="AB116" s="2657"/>
      <c r="AC116" s="2657"/>
      <c r="AD116" s="2657"/>
      <c r="AE116" s="2657"/>
      <c r="AF116" s="2657"/>
      <c r="AG116" s="2657"/>
      <c r="AH116" s="2833"/>
      <c r="AI116" s="2657"/>
      <c r="AJ116" s="2657"/>
      <c r="AK116" s="2657"/>
      <c r="AL116" s="2657"/>
      <c r="AM116" s="2657"/>
      <c r="AN116" s="2657"/>
      <c r="AO116" s="2657"/>
      <c r="AP116" s="2657"/>
      <c r="AQ116" s="2657"/>
      <c r="AR116" s="2820"/>
      <c r="AS116" s="2820"/>
      <c r="AT116" s="2820"/>
      <c r="AU116" s="2820"/>
      <c r="AV116" s="2766"/>
      <c r="AY116" s="2766"/>
    </row>
    <row r="117" spans="1:51" hidden="1">
      <c r="K117" s="2805"/>
      <c r="L117" s="2805"/>
      <c r="M117" s="2657"/>
      <c r="N117" s="2657"/>
      <c r="O117" s="2657"/>
      <c r="P117" s="2657"/>
      <c r="Q117" s="2657"/>
      <c r="R117" s="2657"/>
      <c r="S117" s="2657"/>
      <c r="T117" s="2657"/>
      <c r="U117" s="2657"/>
      <c r="V117" s="2657"/>
      <c r="W117" s="2657"/>
      <c r="X117" s="2657"/>
      <c r="Y117" s="2657"/>
      <c r="Z117" s="2657"/>
      <c r="AA117" s="2657"/>
      <c r="AB117" s="2657"/>
      <c r="AC117" s="2657"/>
      <c r="AD117" s="2657"/>
      <c r="AE117" s="2657"/>
      <c r="AF117" s="2657"/>
      <c r="AG117" s="2657"/>
      <c r="AH117" s="2833"/>
      <c r="AI117" s="2657"/>
      <c r="AJ117" s="2657"/>
      <c r="AK117" s="2657"/>
      <c r="AL117" s="2657"/>
      <c r="AM117" s="2657"/>
      <c r="AN117" s="2657"/>
      <c r="AO117" s="2657"/>
      <c r="AP117" s="2657"/>
      <c r="AQ117" s="2657"/>
      <c r="AR117" s="2820"/>
      <c r="AS117" s="2820"/>
      <c r="AT117" s="2820"/>
      <c r="AU117" s="2820"/>
      <c r="AV117" s="2766"/>
      <c r="AY117" s="2766"/>
    </row>
    <row r="118" spans="1:51" hidden="1">
      <c r="A118" s="2767">
        <f>1384+48+48</f>
        <v>1480</v>
      </c>
      <c r="K118" s="2805"/>
      <c r="L118" s="2805"/>
      <c r="M118" s="2657"/>
      <c r="N118" s="2657"/>
      <c r="O118" s="2657"/>
      <c r="P118" s="2657"/>
      <c r="Q118" s="2657"/>
      <c r="R118" s="2657"/>
      <c r="S118" s="2657"/>
      <c r="T118" s="2657"/>
      <c r="U118" s="2657"/>
      <c r="V118" s="2657"/>
      <c r="W118" s="2657"/>
      <c r="X118" s="2657"/>
      <c r="Y118" s="2657"/>
      <c r="Z118" s="2657"/>
      <c r="AA118" s="2657"/>
      <c r="AB118" s="2657"/>
      <c r="AC118" s="2657"/>
      <c r="AD118" s="2657"/>
      <c r="AE118" s="2657"/>
      <c r="AF118" s="2657"/>
      <c r="AG118" s="2657"/>
      <c r="AH118" s="2833"/>
      <c r="AI118" s="2657"/>
      <c r="AJ118" s="2657"/>
      <c r="AK118" s="2657"/>
      <c r="AL118" s="2657"/>
      <c r="AM118" s="2657"/>
      <c r="AN118" s="2657"/>
      <c r="AO118" s="2657"/>
      <c r="AP118" s="2657"/>
      <c r="AQ118" s="2657"/>
      <c r="AR118" s="2820"/>
      <c r="AS118" s="2820"/>
      <c r="AT118" s="2820"/>
      <c r="AU118" s="2820"/>
      <c r="AV118" s="2766"/>
      <c r="AY118" s="2766"/>
    </row>
    <row r="119" spans="1:51" hidden="1">
      <c r="K119" s="2820"/>
      <c r="L119" s="2820"/>
      <c r="M119" s="2830"/>
      <c r="N119" s="2830"/>
      <c r="O119" s="2830"/>
      <c r="P119" s="2830"/>
      <c r="Q119" s="2830"/>
      <c r="R119" s="2830"/>
      <c r="S119" s="2830"/>
      <c r="T119" s="2830"/>
      <c r="U119" s="2830"/>
      <c r="V119" s="2830"/>
      <c r="W119" s="2830"/>
      <c r="X119" s="2830"/>
      <c r="Y119" s="2830"/>
      <c r="Z119" s="2830"/>
      <c r="AA119" s="2830"/>
      <c r="AB119" s="2830"/>
      <c r="AC119" s="2830"/>
      <c r="AD119" s="2830"/>
      <c r="AE119" s="2830"/>
      <c r="AF119" s="2830"/>
      <c r="AG119" s="2830"/>
      <c r="AH119" s="2831"/>
      <c r="AI119" s="3548"/>
      <c r="AJ119" s="3548"/>
      <c r="AK119" s="3548"/>
      <c r="AL119" s="3548"/>
      <c r="AM119" s="3548"/>
      <c r="AN119" s="3548"/>
      <c r="AO119" s="3548"/>
      <c r="AP119" s="3548"/>
      <c r="AQ119" s="3548"/>
      <c r="AR119" s="2820"/>
      <c r="AS119" s="2820"/>
      <c r="AT119" s="2820"/>
      <c r="AU119" s="2820"/>
      <c r="AV119" s="2766"/>
      <c r="AY119" s="2766"/>
    </row>
    <row r="120" spans="1:51" hidden="1">
      <c r="K120" s="2820"/>
      <c r="L120" s="2768"/>
      <c r="M120" s="2835"/>
      <c r="N120" s="2830"/>
      <c r="O120" s="2830"/>
      <c r="Q120" s="2830"/>
      <c r="R120" s="2830"/>
      <c r="S120" s="2830"/>
      <c r="T120" s="2830"/>
      <c r="U120" s="2830"/>
      <c r="V120" s="2830"/>
      <c r="W120" s="2830"/>
      <c r="X120" s="2830"/>
      <c r="Y120" s="2830"/>
      <c r="Z120" s="2830"/>
      <c r="AA120" s="2830"/>
      <c r="AB120" s="2830"/>
      <c r="AC120" s="2830"/>
      <c r="AD120" s="2830"/>
      <c r="AE120" s="2830"/>
      <c r="AF120" s="2830"/>
      <c r="AG120" s="2830"/>
      <c r="AH120" s="2831"/>
      <c r="AI120" s="3852"/>
      <c r="AJ120" s="3852"/>
      <c r="AK120" s="3852"/>
      <c r="AL120" s="3852"/>
      <c r="AM120" s="3852"/>
      <c r="AN120" s="3852"/>
      <c r="AO120" s="3852"/>
      <c r="AP120" s="3852"/>
      <c r="AQ120" s="3544"/>
      <c r="AR120" s="2820"/>
      <c r="AS120" s="2820"/>
      <c r="AT120" s="2820"/>
      <c r="AU120" s="2820"/>
      <c r="AV120" s="2766"/>
      <c r="AY120" s="2766"/>
    </row>
    <row r="121" spans="1:51" ht="15.75" hidden="1" customHeight="1">
      <c r="K121" s="2820"/>
      <c r="L121" s="2768"/>
      <c r="M121" s="2835"/>
      <c r="N121" s="2830"/>
      <c r="O121" s="2830"/>
      <c r="Q121" s="2830"/>
      <c r="R121" s="2830"/>
      <c r="S121" s="2830"/>
      <c r="T121" s="2830"/>
      <c r="U121" s="2830"/>
      <c r="V121" s="2830"/>
      <c r="W121" s="2830"/>
      <c r="X121" s="2830"/>
      <c r="Y121" s="2830"/>
      <c r="Z121" s="2830"/>
      <c r="AA121" s="2830"/>
      <c r="AB121" s="2830"/>
      <c r="AC121" s="2830"/>
      <c r="AD121" s="2830"/>
      <c r="AE121" s="2830"/>
      <c r="AF121" s="2830"/>
      <c r="AG121" s="2830"/>
      <c r="AH121" s="2831"/>
      <c r="AI121" s="3544"/>
      <c r="AJ121" s="3544"/>
      <c r="AK121" s="3544"/>
      <c r="AL121" s="3544"/>
      <c r="AM121" s="3544"/>
      <c r="AN121" s="3544"/>
      <c r="AO121" s="3544"/>
      <c r="AP121" s="3544"/>
      <c r="AQ121" s="3544"/>
      <c r="AR121" s="2820"/>
      <c r="AS121" s="2820"/>
      <c r="AT121" s="2820"/>
      <c r="AU121" s="2820"/>
      <c r="AV121" s="2766"/>
      <c r="AY121" s="2766"/>
    </row>
    <row r="122" spans="1:51">
      <c r="K122" s="2820"/>
      <c r="L122" s="2768"/>
      <c r="M122" s="2835"/>
      <c r="N122" s="2830"/>
      <c r="O122" s="2830"/>
      <c r="Q122" s="2830"/>
      <c r="R122" s="2830"/>
      <c r="S122" s="2830"/>
      <c r="T122" s="2830"/>
      <c r="U122" s="2830"/>
      <c r="V122" s="2830"/>
      <c r="W122" s="2830"/>
      <c r="X122" s="2830"/>
      <c r="Y122" s="2830"/>
      <c r="Z122" s="2830"/>
      <c r="AA122" s="2830"/>
      <c r="AB122" s="2830"/>
      <c r="AC122" s="2830"/>
      <c r="AD122" s="2830"/>
      <c r="AE122" s="2830"/>
      <c r="AF122" s="2830"/>
      <c r="AG122" s="2830"/>
      <c r="AH122" s="2831"/>
      <c r="AI122" s="3544"/>
      <c r="AJ122" s="3544"/>
      <c r="AK122" s="3544"/>
      <c r="AL122" s="3544"/>
      <c r="AM122" s="3544"/>
      <c r="AN122" s="3544"/>
      <c r="AO122" s="3544"/>
      <c r="AP122" s="3544"/>
      <c r="AQ122" s="3544"/>
      <c r="AR122" s="2820"/>
      <c r="AS122" s="2820"/>
      <c r="AT122" s="2820"/>
      <c r="AU122" s="2820"/>
      <c r="AV122" s="2766"/>
      <c r="AY122" s="2766"/>
    </row>
    <row r="123" spans="1:51">
      <c r="K123" s="2820"/>
      <c r="L123" s="2768"/>
      <c r="M123" s="2835"/>
      <c r="N123" s="2830"/>
      <c r="O123" s="2830"/>
      <c r="Q123" s="2830"/>
      <c r="R123" s="2830"/>
      <c r="S123" s="2830"/>
      <c r="T123" s="2830"/>
      <c r="U123" s="2830"/>
      <c r="V123" s="2830"/>
      <c r="W123" s="2830"/>
      <c r="X123" s="2830"/>
      <c r="Y123" s="2830"/>
      <c r="Z123" s="2830"/>
      <c r="AA123" s="2830"/>
      <c r="AB123" s="2830"/>
      <c r="AC123" s="2830"/>
      <c r="AD123" s="2830"/>
      <c r="AE123" s="2830"/>
      <c r="AF123" s="2830"/>
      <c r="AG123" s="2830"/>
      <c r="AH123" s="2831"/>
      <c r="AI123" s="3544"/>
      <c r="AJ123" s="3544"/>
      <c r="AK123" s="3544"/>
      <c r="AL123" s="3544"/>
      <c r="AM123" s="3544"/>
      <c r="AN123" s="3544"/>
      <c r="AO123" s="3544"/>
      <c r="AP123" s="3544"/>
      <c r="AQ123" s="3544"/>
      <c r="AR123" s="2820"/>
      <c r="AS123" s="2820"/>
      <c r="AT123" s="2820"/>
      <c r="AU123" s="2820"/>
      <c r="AV123" s="2766"/>
      <c r="AY123" s="2766"/>
    </row>
    <row r="124" spans="1:51">
      <c r="K124" s="2820"/>
      <c r="L124" s="2768"/>
      <c r="M124" s="2835"/>
      <c r="N124" s="2830"/>
      <c r="O124" s="2830"/>
      <c r="Q124" s="2830"/>
      <c r="R124" s="2830"/>
      <c r="S124" s="2830"/>
      <c r="T124" s="2830"/>
      <c r="U124" s="2830"/>
      <c r="V124" s="2830"/>
      <c r="W124" s="2830"/>
      <c r="X124" s="2830"/>
      <c r="Y124" s="2830"/>
      <c r="Z124" s="2830"/>
      <c r="AA124" s="2830"/>
      <c r="AB124" s="2830"/>
      <c r="AC124" s="2830"/>
      <c r="AD124" s="2830"/>
      <c r="AE124" s="2830"/>
      <c r="AF124" s="2830"/>
      <c r="AG124" s="2830"/>
      <c r="AH124" s="2831"/>
      <c r="AI124" s="3544"/>
      <c r="AJ124" s="3544"/>
      <c r="AK124" s="3544"/>
      <c r="AL124" s="3544"/>
      <c r="AM124" s="3544"/>
      <c r="AN124" s="3544"/>
      <c r="AO124" s="3544"/>
      <c r="AP124" s="3544"/>
      <c r="AQ124" s="3544"/>
      <c r="AR124" s="2820"/>
      <c r="AS124" s="2820"/>
      <c r="AT124" s="2820"/>
      <c r="AU124" s="2820"/>
      <c r="AV124" s="2766"/>
      <c r="AY124" s="2766"/>
    </row>
    <row r="125" spans="1:51">
      <c r="K125" s="2820"/>
      <c r="L125" s="2768"/>
      <c r="M125" s="2835"/>
      <c r="N125" s="2830"/>
      <c r="O125" s="2830"/>
      <c r="Q125" s="2830"/>
      <c r="R125" s="2830"/>
      <c r="S125" s="2830"/>
      <c r="T125" s="2830"/>
      <c r="U125" s="2830"/>
      <c r="V125" s="2830"/>
      <c r="W125" s="2830"/>
      <c r="X125" s="2830"/>
      <c r="Y125" s="2830"/>
      <c r="Z125" s="2830"/>
      <c r="AA125" s="2830"/>
      <c r="AB125" s="2830"/>
      <c r="AC125" s="2830"/>
      <c r="AD125" s="2830"/>
      <c r="AE125" s="2830"/>
      <c r="AF125" s="2830"/>
      <c r="AG125" s="2830"/>
      <c r="AH125" s="2831"/>
      <c r="AI125" s="3544"/>
      <c r="AJ125" s="3544"/>
      <c r="AK125" s="3544"/>
      <c r="AL125" s="3544"/>
      <c r="AM125" s="3544"/>
      <c r="AN125" s="3544"/>
      <c r="AO125" s="3544"/>
      <c r="AP125" s="3544"/>
      <c r="AQ125" s="3544"/>
      <c r="AR125" s="2820"/>
      <c r="AS125" s="2820"/>
      <c r="AT125" s="2820"/>
      <c r="AU125" s="2820"/>
      <c r="AV125" s="2766"/>
      <c r="AY125" s="2766"/>
    </row>
    <row r="126" spans="1:51">
      <c r="K126" s="2820"/>
      <c r="L126" s="2768"/>
      <c r="M126" s="2835"/>
      <c r="N126" s="2830"/>
      <c r="O126" s="2830"/>
      <c r="Q126" s="2830"/>
      <c r="R126" s="2830"/>
      <c r="S126" s="2830"/>
      <c r="T126" s="2830"/>
      <c r="U126" s="2830"/>
      <c r="V126" s="2830"/>
      <c r="W126" s="2830"/>
      <c r="X126" s="2830"/>
      <c r="Y126" s="2830"/>
      <c r="Z126" s="2830"/>
      <c r="AA126" s="2830"/>
      <c r="AB126" s="2830"/>
      <c r="AC126" s="2830"/>
      <c r="AD126" s="2830"/>
      <c r="AE126" s="2830"/>
      <c r="AF126" s="2830"/>
      <c r="AG126" s="2830"/>
      <c r="AH126" s="2831"/>
      <c r="AI126" s="3544"/>
      <c r="AJ126" s="3544"/>
      <c r="AK126" s="3544"/>
      <c r="AL126" s="3544"/>
      <c r="AM126" s="3544"/>
      <c r="AN126" s="3544"/>
      <c r="AO126" s="3544"/>
      <c r="AP126" s="3544"/>
      <c r="AQ126" s="3544"/>
      <c r="AR126" s="2820"/>
      <c r="AS126" s="2820"/>
      <c r="AT126" s="2820"/>
      <c r="AU126" s="2820"/>
      <c r="AV126" s="2766"/>
      <c r="AY126" s="2766"/>
    </row>
    <row r="127" spans="1:51">
      <c r="K127" s="2820"/>
      <c r="L127" s="2768"/>
      <c r="M127" s="2835"/>
      <c r="N127" s="2830"/>
      <c r="O127" s="2830"/>
      <c r="Q127" s="2830"/>
      <c r="R127" s="2830"/>
      <c r="S127" s="2830"/>
      <c r="T127" s="2830"/>
      <c r="U127" s="2830"/>
      <c r="V127" s="2830"/>
      <c r="W127" s="2830"/>
      <c r="X127" s="2830"/>
      <c r="Y127" s="2830"/>
      <c r="Z127" s="2830"/>
      <c r="AA127" s="2830"/>
      <c r="AB127" s="2830"/>
      <c r="AC127" s="2830"/>
      <c r="AD127" s="2830"/>
      <c r="AE127" s="2830"/>
      <c r="AF127" s="2830"/>
      <c r="AG127" s="2830"/>
      <c r="AH127" s="2831"/>
      <c r="AI127" s="3544"/>
      <c r="AJ127" s="3544"/>
      <c r="AK127" s="3544"/>
      <c r="AL127" s="3544"/>
      <c r="AM127" s="3544"/>
      <c r="AN127" s="3544"/>
      <c r="AO127" s="3544"/>
      <c r="AP127" s="3544"/>
      <c r="AQ127" s="3544"/>
      <c r="AR127" s="2820"/>
      <c r="AS127" s="2820"/>
      <c r="AT127" s="2820"/>
      <c r="AU127" s="2820"/>
      <c r="AV127" s="2766"/>
      <c r="AY127" s="2766"/>
    </row>
    <row r="128" spans="1:51">
      <c r="K128" s="2820"/>
      <c r="L128" s="2768"/>
      <c r="M128" s="2835"/>
      <c r="N128" s="2830"/>
      <c r="O128" s="2830"/>
      <c r="Q128" s="2830"/>
      <c r="R128" s="2830"/>
      <c r="S128" s="2830"/>
      <c r="T128" s="2830"/>
      <c r="U128" s="2830"/>
      <c r="V128" s="2830"/>
      <c r="W128" s="2830"/>
      <c r="X128" s="2830"/>
      <c r="Y128" s="2830"/>
      <c r="Z128" s="2830"/>
      <c r="AA128" s="2830"/>
      <c r="AB128" s="2830"/>
      <c r="AC128" s="2830"/>
      <c r="AD128" s="2830"/>
      <c r="AE128" s="2830"/>
      <c r="AF128" s="2830"/>
      <c r="AG128" s="2830"/>
      <c r="AH128" s="2831"/>
      <c r="AI128" s="3544"/>
      <c r="AJ128" s="3544"/>
      <c r="AK128" s="3544"/>
      <c r="AL128" s="3544"/>
      <c r="AM128" s="3544"/>
      <c r="AN128" s="3544"/>
      <c r="AO128" s="3544"/>
      <c r="AP128" s="3544"/>
      <c r="AQ128" s="3544"/>
      <c r="AR128" s="2820"/>
      <c r="AS128" s="2820"/>
      <c r="AT128" s="2820"/>
      <c r="AU128" s="2820"/>
      <c r="AV128" s="2766"/>
      <c r="AY128" s="2766"/>
    </row>
    <row r="129" spans="1:51">
      <c r="K129" s="2820"/>
      <c r="L129" s="2768"/>
      <c r="M129" s="2835"/>
      <c r="N129" s="2830"/>
      <c r="O129" s="2830"/>
      <c r="Q129" s="2830"/>
      <c r="R129" s="2830"/>
      <c r="S129" s="2830"/>
      <c r="T129" s="2830"/>
      <c r="U129" s="2830"/>
      <c r="V129" s="2830"/>
      <c r="W129" s="2830"/>
      <c r="X129" s="2830"/>
      <c r="Y129" s="2830"/>
      <c r="Z129" s="2830"/>
      <c r="AA129" s="2830"/>
      <c r="AB129" s="2830"/>
      <c r="AC129" s="2830"/>
      <c r="AD129" s="2830"/>
      <c r="AE129" s="2830"/>
      <c r="AF129" s="2830"/>
      <c r="AG129" s="2830"/>
      <c r="AH129" s="2831"/>
      <c r="AI129" s="3544"/>
      <c r="AJ129" s="3544"/>
      <c r="AK129" s="3544"/>
      <c r="AL129" s="3544"/>
      <c r="AM129" s="3544"/>
      <c r="AN129" s="3544"/>
      <c r="AO129" s="3544"/>
      <c r="AP129" s="3544"/>
      <c r="AQ129" s="3544"/>
      <c r="AR129" s="2820"/>
      <c r="AS129" s="2820"/>
      <c r="AT129" s="2820"/>
      <c r="AU129" s="2820"/>
      <c r="AV129" s="2766"/>
      <c r="AY129" s="2766"/>
    </row>
    <row r="130" spans="1:51">
      <c r="K130" s="2820"/>
      <c r="L130" s="2768"/>
      <c r="M130" s="2835"/>
      <c r="N130" s="2830"/>
      <c r="O130" s="2830"/>
      <c r="Q130" s="2830"/>
      <c r="R130" s="2830"/>
      <c r="S130" s="2830"/>
      <c r="T130" s="2830"/>
      <c r="U130" s="2830"/>
      <c r="V130" s="2830"/>
      <c r="W130" s="2830"/>
      <c r="X130" s="2830"/>
      <c r="Y130" s="2830"/>
      <c r="Z130" s="2830"/>
      <c r="AA130" s="2830"/>
      <c r="AB130" s="2830"/>
      <c r="AC130" s="2830"/>
      <c r="AD130" s="2830"/>
      <c r="AE130" s="2830"/>
      <c r="AF130" s="2830"/>
      <c r="AG130" s="2830"/>
      <c r="AH130" s="2831"/>
      <c r="AI130" s="3544"/>
      <c r="AJ130" s="3544"/>
      <c r="AK130" s="3544"/>
      <c r="AL130" s="3544"/>
      <c r="AM130" s="3544"/>
      <c r="AN130" s="3544"/>
      <c r="AO130" s="3544"/>
      <c r="AP130" s="3544"/>
      <c r="AQ130" s="3544"/>
      <c r="AR130" s="2820"/>
      <c r="AS130" s="2820"/>
      <c r="AT130" s="2820"/>
      <c r="AU130" s="2820"/>
      <c r="AV130" s="2766"/>
      <c r="AY130" s="2766"/>
    </row>
    <row r="131" spans="1:51">
      <c r="K131" s="2820"/>
      <c r="L131" s="2768"/>
      <c r="M131" s="2835"/>
      <c r="N131" s="2830"/>
      <c r="O131" s="2830"/>
      <c r="Q131" s="2830"/>
      <c r="R131" s="2830"/>
      <c r="S131" s="2830"/>
      <c r="T131" s="2830"/>
      <c r="U131" s="2830"/>
      <c r="V131" s="2830"/>
      <c r="W131" s="2830"/>
      <c r="X131" s="2830"/>
      <c r="Y131" s="2830"/>
      <c r="Z131" s="2830"/>
      <c r="AA131" s="2830"/>
      <c r="AB131" s="2830"/>
      <c r="AC131" s="2830"/>
      <c r="AD131" s="2830"/>
      <c r="AE131" s="2830"/>
      <c r="AF131" s="2830"/>
      <c r="AG131" s="2830"/>
      <c r="AH131" s="2831"/>
      <c r="AI131" s="3544"/>
      <c r="AJ131" s="3544"/>
      <c r="AK131" s="3544"/>
      <c r="AL131" s="3544"/>
      <c r="AM131" s="3544"/>
      <c r="AN131" s="3544"/>
      <c r="AO131" s="3544"/>
      <c r="AP131" s="3544"/>
      <c r="AQ131" s="3544"/>
      <c r="AR131" s="2820"/>
      <c r="AS131" s="2820"/>
      <c r="AT131" s="2820"/>
      <c r="AU131" s="2820"/>
      <c r="AV131" s="2766"/>
      <c r="AY131" s="2766"/>
    </row>
    <row r="132" spans="1:51">
      <c r="K132" s="2820"/>
      <c r="L132" s="2820"/>
      <c r="M132" s="2830"/>
      <c r="N132" s="2830"/>
      <c r="O132" s="2830"/>
      <c r="P132" s="2830"/>
      <c r="Q132" s="2830"/>
      <c r="R132" s="2830"/>
      <c r="S132" s="2830"/>
      <c r="T132" s="2830"/>
      <c r="U132" s="2830"/>
      <c r="V132" s="2830"/>
      <c r="W132" s="2830"/>
      <c r="X132" s="2830"/>
      <c r="Y132" s="2830"/>
      <c r="Z132" s="2830"/>
      <c r="AA132" s="2830"/>
      <c r="AB132" s="2830"/>
      <c r="AC132" s="2830"/>
      <c r="AD132" s="2830"/>
      <c r="AE132" s="2830"/>
      <c r="AF132" s="2830"/>
      <c r="AG132" s="2830"/>
      <c r="AH132" s="2831"/>
      <c r="AI132" s="2830"/>
      <c r="AJ132" s="2830"/>
      <c r="AK132" s="2830"/>
      <c r="AL132" s="2830"/>
      <c r="AM132" s="2830"/>
      <c r="AN132" s="2830"/>
      <c r="AO132" s="2830"/>
      <c r="AP132" s="2830"/>
      <c r="AQ132" s="2830"/>
      <c r="AR132" s="2820"/>
      <c r="AS132" s="2820"/>
      <c r="AT132" s="2820"/>
      <c r="AU132" s="2820"/>
      <c r="AV132" s="2766"/>
      <c r="AY132" s="2766"/>
    </row>
    <row r="133" spans="1:51">
      <c r="K133" s="2820"/>
      <c r="L133" s="2820"/>
      <c r="M133" s="2830"/>
      <c r="N133" s="2830"/>
      <c r="O133" s="2830"/>
      <c r="P133" s="2830"/>
      <c r="Q133" s="2830"/>
      <c r="R133" s="2830"/>
      <c r="S133" s="2830"/>
      <c r="T133" s="2830"/>
      <c r="U133" s="2830"/>
      <c r="V133" s="2830"/>
      <c r="W133" s="2830"/>
      <c r="X133" s="2830"/>
      <c r="Y133" s="2830"/>
      <c r="Z133" s="2830"/>
      <c r="AA133" s="2830"/>
      <c r="AB133" s="2830"/>
      <c r="AC133" s="2830"/>
      <c r="AD133" s="2830"/>
      <c r="AE133" s="2830"/>
      <c r="AF133" s="2830"/>
      <c r="AG133" s="2830"/>
      <c r="AH133" s="2831"/>
      <c r="AI133" s="2830"/>
      <c r="AJ133" s="2830"/>
      <c r="AK133" s="2830"/>
      <c r="AL133" s="2830"/>
      <c r="AM133" s="2830"/>
      <c r="AN133" s="2830"/>
      <c r="AO133" s="2830"/>
      <c r="AP133" s="2830"/>
      <c r="AQ133" s="2830"/>
      <c r="AR133" s="2820"/>
      <c r="AS133" s="2820"/>
      <c r="AT133" s="2820"/>
      <c r="AU133" s="2820"/>
      <c r="AV133" s="2766"/>
      <c r="AY133" s="2766"/>
    </row>
    <row r="134" spans="1:51">
      <c r="K134" s="2820"/>
      <c r="L134" s="2820"/>
      <c r="M134" s="2830"/>
      <c r="N134" s="2830"/>
      <c r="O134" s="2830"/>
      <c r="P134" s="2830"/>
      <c r="Q134" s="2830"/>
      <c r="R134" s="2830"/>
      <c r="S134" s="2830"/>
      <c r="T134" s="2830"/>
      <c r="U134" s="2830"/>
      <c r="V134" s="2830"/>
      <c r="W134" s="2830"/>
      <c r="X134" s="2830"/>
      <c r="Y134" s="2830"/>
      <c r="Z134" s="2830"/>
      <c r="AA134" s="2830"/>
      <c r="AB134" s="2830"/>
      <c r="AC134" s="2830"/>
      <c r="AD134" s="2830"/>
      <c r="AE134" s="2830"/>
      <c r="AF134" s="2830"/>
      <c r="AG134" s="2830"/>
      <c r="AH134" s="2831"/>
      <c r="AI134" s="2830"/>
      <c r="AJ134" s="2830"/>
      <c r="AK134" s="2830"/>
      <c r="AL134" s="2830"/>
      <c r="AM134" s="2830"/>
      <c r="AN134" s="2830"/>
      <c r="AO134" s="2830"/>
      <c r="AP134" s="2830"/>
      <c r="AQ134" s="2830"/>
      <c r="AR134" s="2820"/>
      <c r="AS134" s="2820"/>
      <c r="AT134" s="2820"/>
      <c r="AU134" s="2820"/>
      <c r="AV134" s="2766"/>
      <c r="AY134" s="2766"/>
    </row>
    <row r="135" spans="1:51">
      <c r="K135" s="2820"/>
      <c r="L135" s="2820"/>
      <c r="M135" s="2830"/>
      <c r="N135" s="2830"/>
      <c r="O135" s="2830"/>
      <c r="P135" s="2830"/>
      <c r="Q135" s="2830"/>
      <c r="R135" s="2830"/>
      <c r="S135" s="2830"/>
      <c r="T135" s="2830"/>
      <c r="U135" s="2830"/>
      <c r="V135" s="2830"/>
      <c r="W135" s="2830"/>
      <c r="X135" s="2830"/>
      <c r="Y135" s="2830"/>
      <c r="Z135" s="2830"/>
      <c r="AA135" s="2830"/>
      <c r="AB135" s="2830"/>
      <c r="AC135" s="2830"/>
      <c r="AD135" s="2830"/>
      <c r="AE135" s="2830"/>
      <c r="AF135" s="2830"/>
      <c r="AG135" s="2830"/>
      <c r="AH135" s="2831"/>
      <c r="AI135" s="2830"/>
      <c r="AJ135" s="2830"/>
      <c r="AK135" s="2830"/>
      <c r="AL135" s="2830"/>
      <c r="AM135" s="2830"/>
      <c r="AN135" s="2830"/>
      <c r="AO135" s="2830"/>
      <c r="AP135" s="2830"/>
      <c r="AQ135" s="2830"/>
      <c r="AR135" s="2820"/>
      <c r="AS135" s="2820"/>
      <c r="AT135" s="2820"/>
      <c r="AU135" s="2820"/>
      <c r="AV135" s="2766"/>
      <c r="AY135" s="2766"/>
    </row>
    <row r="136" spans="1:51" ht="24" customHeight="1">
      <c r="K136" s="2820"/>
      <c r="L136" s="2820"/>
      <c r="M136" s="2830"/>
      <c r="N136" s="2830"/>
      <c r="O136" s="2830"/>
      <c r="P136" s="2830"/>
      <c r="Q136" s="2830"/>
      <c r="R136" s="2830"/>
      <c r="S136" s="2830"/>
      <c r="T136" s="2830"/>
      <c r="U136" s="2830"/>
      <c r="V136" s="2830"/>
      <c r="W136" s="2830"/>
      <c r="X136" s="2830"/>
      <c r="Y136" s="2830"/>
      <c r="Z136" s="2830"/>
      <c r="AA136" s="2830"/>
      <c r="AB136" s="2830"/>
      <c r="AC136" s="2830"/>
      <c r="AD136" s="2830"/>
      <c r="AE136" s="2830"/>
      <c r="AF136" s="2830"/>
      <c r="AG136" s="2830"/>
      <c r="AH136" s="2831"/>
      <c r="AI136" s="2830"/>
      <c r="AJ136" s="2830"/>
      <c r="AK136" s="2830"/>
      <c r="AL136" s="2830"/>
      <c r="AM136" s="2830"/>
      <c r="AN136" s="2830"/>
      <c r="AO136" s="2830"/>
      <c r="AP136" s="2830"/>
      <c r="AQ136" s="2830"/>
      <c r="AR136" s="2820"/>
      <c r="AS136" s="2820"/>
      <c r="AT136" s="2820"/>
      <c r="AU136" s="2820"/>
      <c r="AV136" s="2766"/>
      <c r="AY136" s="2766"/>
    </row>
    <row r="137" spans="1:51">
      <c r="K137" s="2820"/>
      <c r="L137" s="2820"/>
      <c r="M137" s="2830"/>
      <c r="N137" s="2830"/>
      <c r="O137" s="2830"/>
      <c r="P137" s="2830"/>
      <c r="Q137" s="2830"/>
      <c r="R137" s="2830"/>
      <c r="S137" s="2830"/>
      <c r="T137" s="2830"/>
      <c r="U137" s="2830"/>
      <c r="V137" s="2830"/>
      <c r="W137" s="2830"/>
      <c r="X137" s="2830"/>
      <c r="Y137" s="2830"/>
      <c r="Z137" s="2830"/>
      <c r="AA137" s="2830"/>
      <c r="AB137" s="2830"/>
      <c r="AC137" s="2830"/>
      <c r="AD137" s="2830"/>
      <c r="AE137" s="2830"/>
      <c r="AF137" s="2830"/>
      <c r="AG137" s="2830"/>
      <c r="AH137" s="2831"/>
      <c r="AI137" s="2830"/>
      <c r="AJ137" s="2830"/>
      <c r="AK137" s="2830"/>
      <c r="AL137" s="2830"/>
      <c r="AM137" s="2830"/>
      <c r="AN137" s="2830"/>
      <c r="AO137" s="2830"/>
      <c r="AP137" s="2830"/>
      <c r="AQ137" s="2830"/>
      <c r="AR137" s="2820"/>
      <c r="AS137" s="2820"/>
      <c r="AT137" s="2820"/>
      <c r="AU137" s="2820"/>
      <c r="AV137" s="2766"/>
      <c r="AY137" s="2766"/>
    </row>
    <row r="138" spans="1:51">
      <c r="K138" s="2820"/>
      <c r="L138" s="2820"/>
      <c r="M138" s="2830"/>
      <c r="N138" s="2830"/>
      <c r="O138" s="2830"/>
      <c r="P138" s="2830"/>
      <c r="Q138" s="2830"/>
      <c r="R138" s="2830"/>
      <c r="S138" s="2830"/>
      <c r="T138" s="2830"/>
      <c r="U138" s="2830"/>
      <c r="V138" s="2830"/>
      <c r="W138" s="2830"/>
      <c r="X138" s="2830"/>
      <c r="Y138" s="2830"/>
      <c r="Z138" s="2830"/>
      <c r="AA138" s="2830"/>
      <c r="AB138" s="2830"/>
      <c r="AC138" s="2830"/>
      <c r="AD138" s="2830"/>
      <c r="AE138" s="2830"/>
      <c r="AF138" s="2830"/>
      <c r="AG138" s="2830"/>
      <c r="AH138" s="2831"/>
      <c r="AI138" s="2830"/>
      <c r="AJ138" s="2830"/>
      <c r="AK138" s="2830"/>
      <c r="AL138" s="2830"/>
      <c r="AM138" s="2830"/>
      <c r="AN138" s="2830"/>
      <c r="AO138" s="2830"/>
      <c r="AP138" s="2830"/>
      <c r="AQ138" s="2830"/>
      <c r="AR138" s="2820"/>
      <c r="AS138" s="2820"/>
      <c r="AT138" s="2820"/>
      <c r="AU138" s="2820"/>
      <c r="AV138" s="2766"/>
      <c r="AY138" s="2766"/>
    </row>
    <row r="139" spans="1:51">
      <c r="K139" s="2820"/>
      <c r="L139" s="2820"/>
      <c r="M139" s="2830"/>
      <c r="N139" s="2830"/>
      <c r="O139" s="2830"/>
      <c r="P139" s="2830"/>
      <c r="Q139" s="2830"/>
      <c r="R139" s="2830"/>
      <c r="S139" s="2830"/>
      <c r="T139" s="2830"/>
      <c r="U139" s="2830"/>
      <c r="V139" s="2830"/>
      <c r="W139" s="2830"/>
      <c r="X139" s="2830"/>
      <c r="Y139" s="2830"/>
      <c r="Z139" s="2830"/>
      <c r="AA139" s="2830"/>
      <c r="AB139" s="2830"/>
      <c r="AC139" s="2830"/>
      <c r="AD139" s="2830"/>
      <c r="AE139" s="2830"/>
      <c r="AF139" s="2830"/>
      <c r="AG139" s="2830"/>
      <c r="AH139" s="2831"/>
      <c r="AI139" s="2830"/>
      <c r="AJ139" s="2830"/>
      <c r="AK139" s="2830"/>
      <c r="AL139" s="2830"/>
      <c r="AM139" s="2830"/>
      <c r="AN139" s="2830"/>
      <c r="AO139" s="2830"/>
      <c r="AP139" s="2830"/>
      <c r="AQ139" s="2830"/>
      <c r="AR139" s="2820"/>
      <c r="AS139" s="2820"/>
      <c r="AT139" s="2820"/>
      <c r="AU139" s="2820"/>
      <c r="AV139" s="2766"/>
      <c r="AY139" s="2766"/>
    </row>
    <row r="140" spans="1:51">
      <c r="K140" s="2820"/>
      <c r="L140" s="2820"/>
      <c r="M140" s="2830"/>
      <c r="N140" s="2830"/>
      <c r="O140" s="2830"/>
      <c r="P140" s="2830"/>
      <c r="Q140" s="2830"/>
      <c r="R140" s="2830"/>
      <c r="S140" s="2830"/>
      <c r="T140" s="2830"/>
      <c r="U140" s="2830"/>
      <c r="V140" s="2830"/>
      <c r="W140" s="2830"/>
      <c r="X140" s="2830"/>
      <c r="Y140" s="2830"/>
      <c r="Z140" s="2830"/>
      <c r="AA140" s="2830"/>
      <c r="AB140" s="2830"/>
      <c r="AC140" s="2830"/>
      <c r="AD140" s="2830"/>
      <c r="AE140" s="2830"/>
      <c r="AF140" s="2830"/>
      <c r="AG140" s="2830"/>
      <c r="AH140" s="2831"/>
      <c r="AI140" s="2830"/>
      <c r="AJ140" s="2830"/>
      <c r="AK140" s="2830"/>
      <c r="AL140" s="2830"/>
      <c r="AM140" s="2830"/>
      <c r="AN140" s="2830"/>
      <c r="AO140" s="2830"/>
      <c r="AP140" s="2830"/>
      <c r="AQ140" s="2830"/>
      <c r="AR140" s="2820"/>
      <c r="AS140" s="2820"/>
      <c r="AT140" s="2820"/>
      <c r="AU140" s="2820"/>
      <c r="AV140" s="2766"/>
      <c r="AY140" s="2766"/>
    </row>
    <row r="141" spans="1:51">
      <c r="A141" s="2832"/>
      <c r="K141" s="2820"/>
      <c r="L141" s="2820"/>
      <c r="M141" s="2830"/>
      <c r="N141" s="2830"/>
      <c r="O141" s="2830"/>
      <c r="P141" s="2830"/>
      <c r="Q141" s="2830"/>
      <c r="R141" s="2830"/>
      <c r="S141" s="2830"/>
      <c r="T141" s="2830"/>
      <c r="U141" s="2830"/>
      <c r="V141" s="2830"/>
      <c r="W141" s="2830"/>
      <c r="X141" s="2830"/>
      <c r="Y141" s="2830"/>
      <c r="Z141" s="2830"/>
      <c r="AA141" s="2830"/>
      <c r="AB141" s="2830"/>
      <c r="AC141" s="2830"/>
      <c r="AD141" s="2830"/>
      <c r="AE141" s="2830"/>
      <c r="AF141" s="2830"/>
      <c r="AG141" s="2830"/>
      <c r="AH141" s="2831"/>
      <c r="AI141" s="2830"/>
      <c r="AJ141" s="2830"/>
      <c r="AK141" s="2830"/>
      <c r="AL141" s="2830"/>
      <c r="AM141" s="2830"/>
      <c r="AN141" s="2830"/>
      <c r="AO141" s="2830"/>
      <c r="AP141" s="2830"/>
      <c r="AQ141" s="2830"/>
      <c r="AR141" s="2820"/>
      <c r="AS141" s="2820"/>
      <c r="AT141" s="2820"/>
      <c r="AU141" s="2820"/>
      <c r="AV141" s="2766"/>
      <c r="AY141" s="2766"/>
    </row>
    <row r="142" spans="1:51">
      <c r="A142" s="2832"/>
      <c r="K142" s="2820"/>
      <c r="L142" s="2820"/>
      <c r="M142" s="2830"/>
      <c r="N142" s="2830"/>
      <c r="O142" s="2830"/>
      <c r="P142" s="2830"/>
      <c r="Q142" s="2830"/>
      <c r="R142" s="2830"/>
      <c r="S142" s="2830"/>
      <c r="T142" s="2830"/>
      <c r="U142" s="2830"/>
      <c r="V142" s="2830"/>
      <c r="W142" s="2830"/>
      <c r="X142" s="2830"/>
      <c r="Y142" s="2830"/>
      <c r="Z142" s="2830"/>
      <c r="AA142" s="2830"/>
      <c r="AB142" s="2830"/>
      <c r="AC142" s="2830"/>
      <c r="AD142" s="2830"/>
      <c r="AE142" s="2830"/>
      <c r="AF142" s="2830"/>
      <c r="AG142" s="2830"/>
      <c r="AH142" s="2831"/>
      <c r="AI142" s="2830"/>
      <c r="AJ142" s="2830"/>
      <c r="AK142" s="2830"/>
      <c r="AL142" s="2830"/>
      <c r="AM142" s="2830"/>
      <c r="AN142" s="2830"/>
      <c r="AO142" s="2830"/>
      <c r="AP142" s="2830"/>
      <c r="AQ142" s="2830"/>
      <c r="AR142" s="2820"/>
      <c r="AS142" s="2820"/>
      <c r="AT142" s="2820"/>
      <c r="AU142" s="2820"/>
      <c r="AV142" s="2766"/>
      <c r="AY142" s="2766"/>
    </row>
    <row r="143" spans="1:51">
      <c r="A143" s="2832"/>
      <c r="K143" s="2820"/>
      <c r="L143" s="2820"/>
      <c r="M143" s="2830"/>
      <c r="N143" s="2830"/>
      <c r="O143" s="2830"/>
      <c r="P143" s="2830"/>
      <c r="Q143" s="2830"/>
      <c r="R143" s="2830"/>
      <c r="S143" s="2830"/>
      <c r="T143" s="2830"/>
      <c r="U143" s="2830"/>
      <c r="V143" s="2830"/>
      <c r="W143" s="2830"/>
      <c r="X143" s="2830"/>
      <c r="Y143" s="2830"/>
      <c r="Z143" s="2830"/>
      <c r="AA143" s="2830"/>
      <c r="AB143" s="2830"/>
      <c r="AC143" s="2830"/>
      <c r="AD143" s="2830"/>
      <c r="AE143" s="2830"/>
      <c r="AF143" s="2830"/>
      <c r="AG143" s="2830"/>
      <c r="AH143" s="2831"/>
      <c r="AI143" s="2830"/>
      <c r="AJ143" s="2830"/>
      <c r="AK143" s="2830"/>
      <c r="AL143" s="2830"/>
      <c r="AM143" s="2830"/>
      <c r="AN143" s="2830"/>
      <c r="AO143" s="2830"/>
      <c r="AP143" s="2830"/>
      <c r="AQ143" s="2830"/>
      <c r="AR143" s="2820"/>
      <c r="AS143" s="2820"/>
      <c r="AT143" s="2820"/>
      <c r="AU143" s="2820"/>
      <c r="AV143" s="2766"/>
      <c r="AY143" s="2766"/>
    </row>
    <row r="144" spans="1:51">
      <c r="A144" s="2832"/>
      <c r="K144" s="2820"/>
      <c r="L144" s="2820"/>
      <c r="M144" s="2830"/>
      <c r="N144" s="2830"/>
      <c r="O144" s="2830"/>
      <c r="P144" s="2830"/>
      <c r="Q144" s="2830"/>
      <c r="R144" s="2830"/>
      <c r="S144" s="2830"/>
      <c r="T144" s="2830"/>
      <c r="U144" s="2830"/>
      <c r="V144" s="2830"/>
      <c r="W144" s="2830"/>
      <c r="X144" s="2830"/>
      <c r="Y144" s="2830"/>
      <c r="Z144" s="2830"/>
      <c r="AA144" s="2830"/>
      <c r="AB144" s="2830"/>
      <c r="AC144" s="2830"/>
      <c r="AD144" s="2830"/>
      <c r="AE144" s="2830"/>
      <c r="AF144" s="2830"/>
      <c r="AG144" s="2830"/>
      <c r="AH144" s="2831"/>
      <c r="AI144" s="2830"/>
      <c r="AJ144" s="2830"/>
      <c r="AK144" s="2830"/>
      <c r="AL144" s="2830"/>
      <c r="AM144" s="2830"/>
      <c r="AN144" s="2830"/>
      <c r="AO144" s="2830"/>
      <c r="AP144" s="2830"/>
      <c r="AQ144" s="2830"/>
      <c r="AR144" s="2820"/>
      <c r="AS144" s="2820"/>
      <c r="AT144" s="2820"/>
      <c r="AU144" s="2820"/>
      <c r="AV144" s="2766"/>
      <c r="AY144" s="2766"/>
    </row>
    <row r="145" spans="1:51">
      <c r="A145" s="2832"/>
      <c r="K145" s="2820"/>
      <c r="L145" s="2820"/>
      <c r="M145" s="2830"/>
      <c r="N145" s="2830"/>
      <c r="O145" s="2830"/>
      <c r="P145" s="2830"/>
      <c r="Q145" s="2830"/>
      <c r="R145" s="2830"/>
      <c r="S145" s="2830"/>
      <c r="T145" s="2830"/>
      <c r="U145" s="2830"/>
      <c r="V145" s="2830"/>
      <c r="W145" s="2830"/>
      <c r="X145" s="2830"/>
      <c r="Y145" s="2830"/>
      <c r="Z145" s="2830"/>
      <c r="AA145" s="2830"/>
      <c r="AB145" s="2830"/>
      <c r="AC145" s="2830"/>
      <c r="AD145" s="2830"/>
      <c r="AE145" s="2830"/>
      <c r="AF145" s="2830"/>
      <c r="AG145" s="2830"/>
      <c r="AH145" s="2831"/>
      <c r="AI145" s="2830"/>
      <c r="AJ145" s="2830"/>
      <c r="AK145" s="2830"/>
      <c r="AL145" s="2830"/>
      <c r="AM145" s="2830"/>
      <c r="AN145" s="2830"/>
      <c r="AO145" s="2830"/>
      <c r="AP145" s="2830"/>
      <c r="AQ145" s="2830"/>
      <c r="AR145" s="2820"/>
      <c r="AS145" s="2820"/>
      <c r="AT145" s="2820"/>
      <c r="AU145" s="2820"/>
      <c r="AV145" s="2766"/>
      <c r="AY145" s="2766"/>
    </row>
    <row r="146" spans="1:51">
      <c r="A146" s="2832"/>
      <c r="K146" s="2820"/>
      <c r="L146" s="2820"/>
      <c r="M146" s="2830"/>
      <c r="N146" s="2830"/>
      <c r="O146" s="2830"/>
      <c r="P146" s="2830"/>
      <c r="Q146" s="2830"/>
      <c r="R146" s="2830"/>
      <c r="S146" s="2830"/>
      <c r="T146" s="2830"/>
      <c r="U146" s="2830"/>
      <c r="V146" s="2830"/>
      <c r="W146" s="2830"/>
      <c r="X146" s="2830"/>
      <c r="Y146" s="2830"/>
      <c r="Z146" s="2830"/>
      <c r="AA146" s="2830"/>
      <c r="AB146" s="2830"/>
      <c r="AC146" s="2830"/>
      <c r="AD146" s="2830"/>
      <c r="AE146" s="2830"/>
      <c r="AF146" s="2830"/>
      <c r="AG146" s="2830"/>
      <c r="AH146" s="2831"/>
      <c r="AI146" s="2830"/>
      <c r="AJ146" s="2830"/>
      <c r="AK146" s="2830"/>
      <c r="AL146" s="2830"/>
      <c r="AM146" s="2830"/>
      <c r="AN146" s="2830"/>
      <c r="AO146" s="2830"/>
      <c r="AP146" s="2830"/>
      <c r="AQ146" s="2830"/>
      <c r="AR146" s="2820"/>
      <c r="AS146" s="2820"/>
      <c r="AT146" s="2820"/>
      <c r="AU146" s="2820"/>
      <c r="AV146" s="2766"/>
      <c r="AY146" s="2766"/>
    </row>
    <row r="147" spans="1:51">
      <c r="A147" s="2832"/>
      <c r="K147" s="2820"/>
      <c r="L147" s="2820"/>
      <c r="M147" s="2830"/>
      <c r="N147" s="2830"/>
      <c r="O147" s="2830"/>
      <c r="P147" s="2830"/>
      <c r="Q147" s="2830"/>
      <c r="R147" s="2830"/>
      <c r="S147" s="2830"/>
      <c r="T147" s="2830"/>
      <c r="U147" s="2830"/>
      <c r="V147" s="2830"/>
      <c r="W147" s="2830"/>
      <c r="X147" s="2830"/>
      <c r="Y147" s="2830"/>
      <c r="Z147" s="2830"/>
      <c r="AA147" s="2830"/>
      <c r="AB147" s="2830"/>
      <c r="AC147" s="2830"/>
      <c r="AD147" s="2830"/>
      <c r="AE147" s="2830"/>
      <c r="AF147" s="2830"/>
      <c r="AG147" s="2830"/>
      <c r="AH147" s="2831"/>
      <c r="AI147" s="2830"/>
      <c r="AJ147" s="2830"/>
      <c r="AK147" s="2830"/>
      <c r="AL147" s="2830"/>
      <c r="AM147" s="2830"/>
      <c r="AN147" s="2830"/>
      <c r="AO147" s="2830"/>
      <c r="AP147" s="2830"/>
      <c r="AQ147" s="2830"/>
      <c r="AR147" s="2820"/>
      <c r="AS147" s="2820"/>
      <c r="AT147" s="2820"/>
      <c r="AU147" s="2820"/>
      <c r="AV147" s="2766"/>
      <c r="AY147" s="2766"/>
    </row>
    <row r="148" spans="1:51">
      <c r="A148" s="2832"/>
      <c r="K148" s="2820"/>
      <c r="L148" s="2820"/>
      <c r="M148" s="2830"/>
      <c r="N148" s="2830"/>
      <c r="O148" s="2830"/>
      <c r="P148" s="2830"/>
      <c r="Q148" s="2830"/>
      <c r="R148" s="2830"/>
      <c r="S148" s="2830"/>
      <c r="T148" s="2830"/>
      <c r="U148" s="2830"/>
      <c r="V148" s="2830"/>
      <c r="W148" s="2830"/>
      <c r="X148" s="2830"/>
      <c r="Y148" s="2830"/>
      <c r="Z148" s="2830"/>
      <c r="AA148" s="2830"/>
      <c r="AB148" s="2830"/>
      <c r="AC148" s="2830"/>
      <c r="AD148" s="2830"/>
      <c r="AE148" s="2830"/>
      <c r="AF148" s="2830"/>
      <c r="AG148" s="2830"/>
      <c r="AH148" s="2831"/>
      <c r="AI148" s="2830"/>
      <c r="AJ148" s="2830"/>
      <c r="AK148" s="2830"/>
      <c r="AL148" s="2830"/>
      <c r="AM148" s="2830"/>
      <c r="AN148" s="2830"/>
      <c r="AO148" s="2830"/>
      <c r="AP148" s="2830"/>
      <c r="AQ148" s="2830"/>
      <c r="AR148" s="2820"/>
      <c r="AS148" s="2820"/>
      <c r="AT148" s="2820"/>
      <c r="AU148" s="2820"/>
      <c r="AV148" s="2766"/>
      <c r="AY148" s="2766"/>
    </row>
    <row r="149" spans="1:51">
      <c r="A149" s="2832"/>
      <c r="K149" s="2820"/>
      <c r="L149" s="2820"/>
      <c r="M149" s="2830"/>
      <c r="N149" s="2830"/>
      <c r="O149" s="2830"/>
      <c r="P149" s="2830"/>
      <c r="Q149" s="2830"/>
      <c r="R149" s="2830"/>
      <c r="S149" s="2830"/>
      <c r="T149" s="2830"/>
      <c r="U149" s="2830"/>
      <c r="V149" s="2830"/>
      <c r="W149" s="2830"/>
      <c r="X149" s="2830"/>
      <c r="Y149" s="2830"/>
      <c r="Z149" s="2830"/>
      <c r="AA149" s="2830"/>
      <c r="AB149" s="2830"/>
      <c r="AC149" s="2830"/>
      <c r="AD149" s="2830"/>
      <c r="AE149" s="2830"/>
      <c r="AF149" s="2830"/>
      <c r="AG149" s="2830"/>
      <c r="AH149" s="2831"/>
      <c r="AI149" s="2830"/>
      <c r="AJ149" s="2830"/>
      <c r="AK149" s="2830"/>
      <c r="AL149" s="2830"/>
      <c r="AM149" s="2830"/>
      <c r="AN149" s="2830"/>
      <c r="AO149" s="2830"/>
      <c r="AP149" s="2830"/>
      <c r="AQ149" s="2830"/>
      <c r="AR149" s="2820"/>
      <c r="AS149" s="2820"/>
      <c r="AT149" s="2820"/>
      <c r="AU149" s="2820"/>
      <c r="AV149" s="2766"/>
      <c r="AY149" s="2766"/>
    </row>
    <row r="150" spans="1:51">
      <c r="A150" s="2832"/>
      <c r="K150" s="2820"/>
      <c r="L150" s="2820"/>
      <c r="M150" s="2830"/>
      <c r="N150" s="2830"/>
      <c r="O150" s="2830"/>
      <c r="P150" s="2830"/>
      <c r="Q150" s="2830"/>
      <c r="R150" s="2830"/>
      <c r="S150" s="2830"/>
      <c r="T150" s="2830"/>
      <c r="U150" s="2830"/>
      <c r="V150" s="2830"/>
      <c r="W150" s="2830"/>
      <c r="X150" s="2830"/>
      <c r="Y150" s="2830"/>
      <c r="Z150" s="2830"/>
      <c r="AA150" s="2830"/>
      <c r="AB150" s="2830"/>
      <c r="AC150" s="2830"/>
      <c r="AD150" s="2830"/>
      <c r="AE150" s="2830"/>
      <c r="AF150" s="2830"/>
      <c r="AG150" s="2830"/>
      <c r="AH150" s="2831"/>
      <c r="AI150" s="2830"/>
      <c r="AJ150" s="2830"/>
      <c r="AK150" s="2830"/>
      <c r="AL150" s="2830"/>
      <c r="AM150" s="2830"/>
      <c r="AN150" s="2830"/>
      <c r="AO150" s="2830"/>
      <c r="AP150" s="2830"/>
      <c r="AQ150" s="2830"/>
      <c r="AR150" s="2820"/>
      <c r="AS150" s="2820"/>
      <c r="AT150" s="2820"/>
      <c r="AU150" s="2820"/>
      <c r="AV150" s="2766"/>
      <c r="AY150" s="2766"/>
    </row>
    <row r="151" spans="1:51">
      <c r="A151" s="2832"/>
      <c r="K151" s="2820"/>
      <c r="L151" s="2820"/>
      <c r="M151" s="2830"/>
      <c r="N151" s="2830"/>
      <c r="O151" s="2830"/>
      <c r="P151" s="2830"/>
      <c r="Q151" s="2830"/>
      <c r="R151" s="2830"/>
      <c r="S151" s="2830"/>
      <c r="T151" s="2830"/>
      <c r="U151" s="2830"/>
      <c r="V151" s="2830"/>
      <c r="W151" s="2830"/>
      <c r="X151" s="2830"/>
      <c r="Y151" s="2830"/>
      <c r="Z151" s="2830"/>
      <c r="AA151" s="2830"/>
      <c r="AB151" s="2830"/>
      <c r="AC151" s="2830"/>
      <c r="AD151" s="2830"/>
      <c r="AE151" s="2830"/>
      <c r="AF151" s="2830"/>
      <c r="AG151" s="2830"/>
      <c r="AH151" s="2831"/>
      <c r="AI151" s="2830"/>
      <c r="AJ151" s="2830"/>
      <c r="AK151" s="2830"/>
      <c r="AL151" s="2830"/>
      <c r="AM151" s="2830"/>
      <c r="AN151" s="2830"/>
      <c r="AO151" s="2830"/>
      <c r="AP151" s="2830"/>
      <c r="AQ151" s="2830"/>
      <c r="AR151" s="2820"/>
      <c r="AS151" s="2820"/>
      <c r="AT151" s="2820"/>
      <c r="AU151" s="2820"/>
      <c r="AV151" s="2766"/>
      <c r="AY151" s="2766"/>
    </row>
    <row r="152" spans="1:51">
      <c r="A152" s="2832"/>
      <c r="K152" s="2820"/>
      <c r="L152" s="2820"/>
      <c r="M152" s="2830"/>
      <c r="N152" s="2830"/>
      <c r="O152" s="2830"/>
      <c r="P152" s="2830"/>
      <c r="Q152" s="2830"/>
      <c r="R152" s="2830"/>
      <c r="S152" s="2830"/>
      <c r="T152" s="2830"/>
      <c r="U152" s="2830"/>
      <c r="V152" s="2830"/>
      <c r="W152" s="2830"/>
      <c r="X152" s="2830"/>
      <c r="Y152" s="2830"/>
      <c r="Z152" s="2830"/>
      <c r="AA152" s="2830"/>
      <c r="AB152" s="2830"/>
      <c r="AC152" s="2830"/>
      <c r="AD152" s="2830"/>
      <c r="AE152" s="2830"/>
      <c r="AF152" s="2830"/>
      <c r="AG152" s="2830"/>
      <c r="AH152" s="2831"/>
      <c r="AI152" s="2830"/>
      <c r="AJ152" s="2830"/>
      <c r="AK152" s="2830"/>
      <c r="AL152" s="2830"/>
      <c r="AM152" s="2830"/>
      <c r="AN152" s="2830"/>
      <c r="AO152" s="2830"/>
      <c r="AP152" s="2830"/>
      <c r="AQ152" s="2830"/>
      <c r="AR152" s="2820"/>
      <c r="AS152" s="2820"/>
      <c r="AT152" s="2820"/>
      <c r="AU152" s="2820"/>
      <c r="AV152" s="2766"/>
      <c r="AY152" s="2766"/>
    </row>
    <row r="153" spans="1:51">
      <c r="A153" s="2832"/>
      <c r="K153" s="2820"/>
      <c r="L153" s="2820"/>
      <c r="M153" s="2830"/>
      <c r="N153" s="2830"/>
      <c r="O153" s="2830"/>
      <c r="P153" s="2830"/>
      <c r="Q153" s="2830"/>
      <c r="R153" s="2830"/>
      <c r="S153" s="2830"/>
      <c r="T153" s="2830"/>
      <c r="U153" s="2830"/>
      <c r="V153" s="2830"/>
      <c r="W153" s="2830"/>
      <c r="X153" s="2830"/>
      <c r="Y153" s="2830"/>
      <c r="Z153" s="2830"/>
      <c r="AA153" s="2830"/>
      <c r="AB153" s="2830"/>
      <c r="AC153" s="2830"/>
      <c r="AD153" s="2830"/>
      <c r="AE153" s="2830"/>
      <c r="AF153" s="2830"/>
      <c r="AG153" s="2830"/>
      <c r="AH153" s="2831"/>
      <c r="AI153" s="2830"/>
      <c r="AJ153" s="2830"/>
      <c r="AK153" s="2830"/>
      <c r="AL153" s="2830"/>
      <c r="AM153" s="2830"/>
      <c r="AN153" s="2830"/>
      <c r="AO153" s="2830"/>
      <c r="AP153" s="2830"/>
      <c r="AQ153" s="2830"/>
      <c r="AR153" s="2820"/>
      <c r="AS153" s="2820"/>
      <c r="AT153" s="2820"/>
      <c r="AU153" s="2820"/>
      <c r="AV153" s="2766"/>
      <c r="AY153" s="2766"/>
    </row>
    <row r="154" spans="1:51">
      <c r="A154" s="2832"/>
      <c r="K154" s="2820"/>
      <c r="L154" s="2820"/>
      <c r="M154" s="2830"/>
      <c r="N154" s="2830"/>
      <c r="O154" s="2830"/>
      <c r="P154" s="2830"/>
      <c r="Q154" s="2830"/>
      <c r="R154" s="2830"/>
      <c r="S154" s="2830"/>
      <c r="T154" s="2830"/>
      <c r="U154" s="2830"/>
      <c r="V154" s="2830"/>
      <c r="W154" s="2830"/>
      <c r="X154" s="2830"/>
      <c r="Y154" s="2830"/>
      <c r="Z154" s="2830"/>
      <c r="AA154" s="2830"/>
      <c r="AB154" s="2830"/>
      <c r="AC154" s="2830"/>
      <c r="AD154" s="2830"/>
      <c r="AE154" s="2830"/>
      <c r="AF154" s="2830"/>
      <c r="AG154" s="2830"/>
      <c r="AH154" s="2831"/>
      <c r="AI154" s="2830"/>
      <c r="AJ154" s="2830"/>
      <c r="AK154" s="2830"/>
      <c r="AL154" s="2830"/>
      <c r="AM154" s="2830"/>
      <c r="AN154" s="2830"/>
      <c r="AO154" s="2830"/>
      <c r="AP154" s="2830"/>
      <c r="AQ154" s="2830"/>
      <c r="AR154" s="2820"/>
      <c r="AS154" s="2820"/>
      <c r="AT154" s="2820"/>
      <c r="AU154" s="2820"/>
      <c r="AV154" s="2766"/>
      <c r="AY154" s="2766"/>
    </row>
    <row r="155" spans="1:51">
      <c r="A155" s="2832"/>
      <c r="K155" s="2820"/>
      <c r="L155" s="2820"/>
      <c r="M155" s="2830"/>
      <c r="N155" s="2830"/>
      <c r="O155" s="2830"/>
      <c r="P155" s="2830"/>
      <c r="Q155" s="2830"/>
      <c r="R155" s="2830"/>
      <c r="S155" s="2830"/>
      <c r="T155" s="2830"/>
      <c r="U155" s="2830"/>
      <c r="V155" s="2830"/>
      <c r="W155" s="2830"/>
      <c r="X155" s="2830"/>
      <c r="Y155" s="2830"/>
      <c r="Z155" s="2830"/>
      <c r="AA155" s="2830"/>
      <c r="AB155" s="2830"/>
      <c r="AC155" s="2830"/>
      <c r="AD155" s="2830"/>
      <c r="AE155" s="2830"/>
      <c r="AF155" s="2830"/>
      <c r="AG155" s="2830"/>
      <c r="AH155" s="2831"/>
      <c r="AI155" s="2830"/>
      <c r="AJ155" s="2830"/>
      <c r="AK155" s="2830"/>
      <c r="AL155" s="2830"/>
      <c r="AM155" s="2830"/>
      <c r="AN155" s="2830"/>
      <c r="AO155" s="2830"/>
      <c r="AP155" s="2830"/>
      <c r="AQ155" s="2830"/>
      <c r="AR155" s="2820"/>
      <c r="AS155" s="2820"/>
      <c r="AT155" s="2820"/>
      <c r="AU155" s="2820"/>
      <c r="AV155" s="2766"/>
      <c r="AY155" s="2766"/>
    </row>
    <row r="156" spans="1:51">
      <c r="A156" s="2832"/>
      <c r="K156" s="2820"/>
      <c r="L156" s="2820"/>
      <c r="M156" s="2830"/>
      <c r="N156" s="2830"/>
      <c r="O156" s="2830"/>
      <c r="P156" s="2830"/>
      <c r="Q156" s="2830"/>
      <c r="R156" s="2830"/>
      <c r="S156" s="2830"/>
      <c r="T156" s="2830"/>
      <c r="U156" s="2830"/>
      <c r="V156" s="2830"/>
      <c r="W156" s="2830"/>
      <c r="X156" s="2830"/>
      <c r="Y156" s="2830"/>
      <c r="Z156" s="2830"/>
      <c r="AA156" s="2830"/>
      <c r="AB156" s="2830"/>
      <c r="AC156" s="2830"/>
      <c r="AD156" s="2830"/>
      <c r="AE156" s="2830"/>
      <c r="AF156" s="2830"/>
      <c r="AG156" s="2830"/>
      <c r="AH156" s="2831"/>
      <c r="AI156" s="2830"/>
      <c r="AJ156" s="2830"/>
      <c r="AK156" s="2830"/>
      <c r="AL156" s="2830"/>
      <c r="AM156" s="2830"/>
      <c r="AN156" s="2830"/>
      <c r="AO156" s="2830"/>
      <c r="AP156" s="2830"/>
      <c r="AQ156" s="2830"/>
      <c r="AR156" s="2820"/>
      <c r="AS156" s="2820"/>
      <c r="AT156" s="2820"/>
      <c r="AU156" s="2820"/>
      <c r="AV156" s="2766"/>
      <c r="AY156" s="2766"/>
    </row>
    <row r="157" spans="1:51">
      <c r="A157" s="2832"/>
      <c r="K157" s="2820"/>
      <c r="L157" s="2820"/>
      <c r="M157" s="2830"/>
      <c r="N157" s="2830"/>
      <c r="O157" s="2830"/>
      <c r="P157" s="2830"/>
      <c r="Q157" s="2830"/>
      <c r="R157" s="2830"/>
      <c r="S157" s="2830"/>
      <c r="T157" s="2830"/>
      <c r="U157" s="2830"/>
      <c r="V157" s="2830"/>
      <c r="W157" s="2830"/>
      <c r="X157" s="2830"/>
      <c r="Y157" s="2830"/>
      <c r="Z157" s="2830"/>
      <c r="AA157" s="2830"/>
      <c r="AB157" s="2830"/>
      <c r="AC157" s="2830"/>
      <c r="AD157" s="2830"/>
      <c r="AE157" s="2830"/>
      <c r="AF157" s="2830"/>
      <c r="AG157" s="2830"/>
      <c r="AH157" s="2831"/>
      <c r="AI157" s="2830"/>
      <c r="AJ157" s="2830"/>
      <c r="AK157" s="2830"/>
      <c r="AL157" s="2830"/>
      <c r="AM157" s="2830"/>
      <c r="AN157" s="2830"/>
      <c r="AO157" s="2830"/>
      <c r="AP157" s="2830"/>
      <c r="AQ157" s="2830"/>
      <c r="AR157" s="2820"/>
      <c r="AS157" s="2820"/>
      <c r="AT157" s="2820"/>
      <c r="AU157" s="2820"/>
      <c r="AV157" s="2766"/>
      <c r="AY157" s="2766"/>
    </row>
    <row r="158" spans="1:51">
      <c r="A158" s="2832"/>
      <c r="K158" s="2820"/>
      <c r="L158" s="2820"/>
      <c r="M158" s="2830"/>
      <c r="N158" s="2830"/>
      <c r="O158" s="2830"/>
      <c r="P158" s="2830"/>
      <c r="Q158" s="2830"/>
      <c r="R158" s="2830"/>
      <c r="S158" s="2830"/>
      <c r="T158" s="2830"/>
      <c r="U158" s="2830"/>
      <c r="V158" s="2830"/>
      <c r="W158" s="2830"/>
      <c r="X158" s="2830"/>
      <c r="Y158" s="2830"/>
      <c r="Z158" s="2830"/>
      <c r="AA158" s="2830"/>
      <c r="AB158" s="2830"/>
      <c r="AC158" s="2830"/>
      <c r="AD158" s="2830"/>
      <c r="AE158" s="2830"/>
      <c r="AF158" s="2830"/>
      <c r="AG158" s="2830"/>
      <c r="AH158" s="2831"/>
      <c r="AI158" s="2830"/>
      <c r="AJ158" s="2830"/>
      <c r="AK158" s="2830"/>
      <c r="AL158" s="2830"/>
      <c r="AM158" s="2830"/>
      <c r="AN158" s="2830"/>
      <c r="AO158" s="2830"/>
      <c r="AP158" s="2830"/>
      <c r="AQ158" s="2830"/>
      <c r="AR158" s="2820"/>
      <c r="AS158" s="2820"/>
      <c r="AT158" s="2820"/>
      <c r="AU158" s="2820"/>
      <c r="AV158" s="2766"/>
      <c r="AY158" s="2766"/>
    </row>
    <row r="159" spans="1:51">
      <c r="A159" s="2832"/>
      <c r="K159" s="2820"/>
      <c r="L159" s="2820"/>
      <c r="M159" s="2830"/>
      <c r="N159" s="2830"/>
      <c r="O159" s="2830"/>
      <c r="P159" s="2830"/>
      <c r="Q159" s="2830"/>
      <c r="R159" s="2830"/>
      <c r="S159" s="2830"/>
      <c r="T159" s="2830"/>
      <c r="U159" s="2830"/>
      <c r="V159" s="2830"/>
      <c r="W159" s="2830"/>
      <c r="X159" s="2830"/>
      <c r="Y159" s="2830"/>
      <c r="Z159" s="2830"/>
      <c r="AA159" s="2830"/>
      <c r="AB159" s="2830"/>
      <c r="AC159" s="2830"/>
      <c r="AD159" s="2830"/>
      <c r="AE159" s="2830"/>
      <c r="AF159" s="2830"/>
      <c r="AG159" s="2830"/>
      <c r="AH159" s="2831"/>
      <c r="AI159" s="2830"/>
      <c r="AJ159" s="2830"/>
      <c r="AK159" s="2830"/>
      <c r="AL159" s="2830"/>
      <c r="AM159" s="2830"/>
      <c r="AN159" s="2830"/>
      <c r="AO159" s="2830"/>
      <c r="AP159" s="2830"/>
      <c r="AQ159" s="2830"/>
      <c r="AR159" s="2820"/>
      <c r="AS159" s="2820"/>
      <c r="AT159" s="2820"/>
      <c r="AU159" s="2820"/>
      <c r="AV159" s="2766"/>
      <c r="AY159" s="2766"/>
    </row>
    <row r="160" spans="1:51">
      <c r="A160" s="2832"/>
      <c r="K160" s="2820"/>
      <c r="L160" s="2820"/>
      <c r="M160" s="2830"/>
      <c r="N160" s="2830"/>
      <c r="O160" s="2830"/>
      <c r="P160" s="2830"/>
      <c r="Q160" s="2830"/>
      <c r="R160" s="2830"/>
      <c r="S160" s="2830"/>
      <c r="T160" s="2830"/>
      <c r="U160" s="2830"/>
      <c r="V160" s="2830"/>
      <c r="W160" s="2830"/>
      <c r="X160" s="2830"/>
      <c r="Y160" s="2830"/>
      <c r="Z160" s="2830"/>
      <c r="AA160" s="2830"/>
      <c r="AB160" s="2830"/>
      <c r="AC160" s="2830"/>
      <c r="AD160" s="2830"/>
      <c r="AE160" s="2830"/>
      <c r="AF160" s="2830"/>
      <c r="AG160" s="2830"/>
      <c r="AH160" s="2831"/>
      <c r="AI160" s="2830"/>
      <c r="AJ160" s="2830"/>
      <c r="AK160" s="2830"/>
      <c r="AL160" s="2830"/>
      <c r="AM160" s="2830"/>
      <c r="AN160" s="2830"/>
      <c r="AO160" s="2830"/>
      <c r="AP160" s="2830"/>
      <c r="AQ160" s="2830"/>
      <c r="AR160" s="2820"/>
      <c r="AS160" s="2820"/>
      <c r="AT160" s="2820"/>
      <c r="AU160" s="2820"/>
      <c r="AV160" s="2766"/>
      <c r="AY160" s="2766"/>
    </row>
    <row r="161" spans="1:51">
      <c r="A161" s="2832"/>
      <c r="K161" s="2820"/>
      <c r="L161" s="2820"/>
      <c r="M161" s="2830"/>
      <c r="N161" s="2830"/>
      <c r="O161" s="2830"/>
      <c r="P161" s="2830"/>
      <c r="Q161" s="2830"/>
      <c r="R161" s="2830"/>
      <c r="S161" s="2830"/>
      <c r="T161" s="2830"/>
      <c r="U161" s="2830"/>
      <c r="V161" s="2830"/>
      <c r="W161" s="2830"/>
      <c r="X161" s="2830"/>
      <c r="Y161" s="2830"/>
      <c r="Z161" s="2830"/>
      <c r="AA161" s="2830"/>
      <c r="AB161" s="2830"/>
      <c r="AC161" s="2830"/>
      <c r="AD161" s="2830"/>
      <c r="AE161" s="2830"/>
      <c r="AF161" s="2830"/>
      <c r="AG161" s="2830"/>
      <c r="AH161" s="2831"/>
      <c r="AI161" s="2830"/>
      <c r="AJ161" s="2830"/>
      <c r="AK161" s="2830"/>
      <c r="AL161" s="2830"/>
      <c r="AM161" s="2830"/>
      <c r="AN161" s="2830"/>
      <c r="AO161" s="2830"/>
      <c r="AP161" s="2830"/>
      <c r="AQ161" s="2830"/>
      <c r="AR161" s="2820"/>
      <c r="AS161" s="2820"/>
      <c r="AT161" s="2820"/>
      <c r="AU161" s="2820"/>
      <c r="AV161" s="2766"/>
      <c r="AY161" s="2766"/>
    </row>
    <row r="162" spans="1:51">
      <c r="A162" s="2832"/>
      <c r="K162" s="2820"/>
      <c r="L162" s="2820"/>
      <c r="M162" s="2830"/>
      <c r="N162" s="2830"/>
      <c r="O162" s="2830"/>
      <c r="P162" s="2830"/>
      <c r="Q162" s="2830"/>
      <c r="R162" s="2830"/>
      <c r="S162" s="2830"/>
      <c r="T162" s="2830"/>
      <c r="U162" s="2830"/>
      <c r="V162" s="2830"/>
      <c r="W162" s="2830"/>
      <c r="X162" s="2830"/>
      <c r="Y162" s="2830"/>
      <c r="Z162" s="2830"/>
      <c r="AA162" s="2830"/>
      <c r="AB162" s="2830"/>
      <c r="AC162" s="2830"/>
      <c r="AD162" s="2830"/>
      <c r="AE162" s="2830"/>
      <c r="AF162" s="2830"/>
      <c r="AG162" s="2830"/>
      <c r="AH162" s="2831"/>
      <c r="AI162" s="2830"/>
      <c r="AJ162" s="2830"/>
      <c r="AK162" s="2830"/>
      <c r="AL162" s="2830"/>
      <c r="AM162" s="2830"/>
      <c r="AN162" s="2830"/>
      <c r="AO162" s="2830"/>
      <c r="AP162" s="2830"/>
      <c r="AQ162" s="2830"/>
      <c r="AR162" s="2820"/>
      <c r="AS162" s="2820"/>
      <c r="AT162" s="2820"/>
      <c r="AU162" s="2820"/>
      <c r="AV162" s="2766"/>
      <c r="AY162" s="2766"/>
    </row>
    <row r="163" spans="1:51">
      <c r="A163" s="2832"/>
      <c r="K163" s="2820"/>
      <c r="L163" s="2820"/>
      <c r="M163" s="2830"/>
      <c r="N163" s="2830"/>
      <c r="O163" s="2830"/>
      <c r="P163" s="2830"/>
      <c r="Q163" s="2830"/>
      <c r="R163" s="2830"/>
      <c r="S163" s="2830"/>
      <c r="T163" s="2830"/>
      <c r="U163" s="2830"/>
      <c r="V163" s="2830"/>
      <c r="W163" s="2830"/>
      <c r="X163" s="2830"/>
      <c r="Y163" s="2830"/>
      <c r="Z163" s="2830"/>
      <c r="AA163" s="2830"/>
      <c r="AB163" s="2830"/>
      <c r="AC163" s="2830"/>
      <c r="AD163" s="2830"/>
      <c r="AE163" s="2830"/>
      <c r="AF163" s="2830"/>
      <c r="AG163" s="2830"/>
      <c r="AH163" s="2831"/>
      <c r="AI163" s="2830"/>
      <c r="AJ163" s="2830"/>
      <c r="AK163" s="2830"/>
      <c r="AL163" s="2830"/>
      <c r="AM163" s="2830"/>
      <c r="AN163" s="2830"/>
      <c r="AO163" s="2830"/>
      <c r="AP163" s="2830"/>
      <c r="AQ163" s="2830"/>
      <c r="AR163" s="2820"/>
      <c r="AS163" s="2820"/>
      <c r="AT163" s="2820"/>
      <c r="AU163" s="2820"/>
      <c r="AV163" s="2766"/>
      <c r="AY163" s="2766"/>
    </row>
    <row r="164" spans="1:51">
      <c r="A164" s="2832"/>
      <c r="K164" s="2820"/>
      <c r="L164" s="2820"/>
      <c r="M164" s="2830"/>
      <c r="N164" s="2830"/>
      <c r="O164" s="2830"/>
      <c r="P164" s="2830"/>
      <c r="Q164" s="2830"/>
      <c r="R164" s="2830"/>
      <c r="S164" s="2830"/>
      <c r="T164" s="2830"/>
      <c r="U164" s="2830"/>
      <c r="V164" s="2830"/>
      <c r="W164" s="2830"/>
      <c r="X164" s="2830"/>
      <c r="Y164" s="2830"/>
      <c r="Z164" s="2830"/>
      <c r="AA164" s="2830"/>
      <c r="AB164" s="2830"/>
      <c r="AC164" s="2830"/>
      <c r="AD164" s="2830"/>
      <c r="AE164" s="2830"/>
      <c r="AF164" s="2830"/>
      <c r="AG164" s="2830"/>
      <c r="AH164" s="2831"/>
      <c r="AI164" s="2830"/>
      <c r="AJ164" s="2830"/>
      <c r="AK164" s="2830"/>
      <c r="AL164" s="2830"/>
      <c r="AM164" s="2830"/>
      <c r="AN164" s="2830"/>
      <c r="AO164" s="2830"/>
      <c r="AP164" s="2830"/>
      <c r="AQ164" s="2830"/>
      <c r="AR164" s="2820"/>
      <c r="AS164" s="2820"/>
      <c r="AT164" s="2820"/>
      <c r="AU164" s="2820"/>
      <c r="AV164" s="2766"/>
      <c r="AY164" s="2766"/>
    </row>
    <row r="165" spans="1:51">
      <c r="A165" s="2832"/>
      <c r="K165" s="2820"/>
      <c r="L165" s="2820"/>
      <c r="M165" s="2830"/>
      <c r="N165" s="2830"/>
      <c r="O165" s="2830"/>
      <c r="P165" s="2830"/>
      <c r="Q165" s="2830"/>
      <c r="R165" s="2830"/>
      <c r="S165" s="2830"/>
      <c r="T165" s="2830"/>
      <c r="U165" s="2830"/>
      <c r="V165" s="2830"/>
      <c r="W165" s="2830"/>
      <c r="X165" s="2830"/>
      <c r="Y165" s="2830"/>
      <c r="Z165" s="2830"/>
      <c r="AA165" s="2830"/>
      <c r="AB165" s="2830"/>
      <c r="AC165" s="2830"/>
      <c r="AD165" s="2830"/>
      <c r="AE165" s="2830"/>
      <c r="AF165" s="2830"/>
      <c r="AG165" s="2830"/>
      <c r="AH165" s="2831"/>
      <c r="AI165" s="2830"/>
      <c r="AJ165" s="2830"/>
      <c r="AK165" s="2830"/>
      <c r="AL165" s="2830"/>
      <c r="AM165" s="2830"/>
      <c r="AN165" s="2830"/>
      <c r="AO165" s="2830"/>
      <c r="AP165" s="2830"/>
      <c r="AQ165" s="2830"/>
      <c r="AR165" s="2820"/>
      <c r="AS165" s="2820"/>
      <c r="AT165" s="2820"/>
      <c r="AU165" s="2820"/>
      <c r="AV165" s="2766"/>
      <c r="AY165" s="2766"/>
    </row>
    <row r="166" spans="1:51">
      <c r="A166" s="2832"/>
      <c r="K166" s="2820"/>
      <c r="L166" s="2820"/>
      <c r="M166" s="2830"/>
      <c r="N166" s="2830"/>
      <c r="O166" s="2830"/>
      <c r="P166" s="2830"/>
      <c r="Q166" s="2830"/>
      <c r="R166" s="2830"/>
      <c r="S166" s="2830"/>
      <c r="T166" s="2830"/>
      <c r="U166" s="2830"/>
      <c r="V166" s="2830"/>
      <c r="W166" s="2830"/>
      <c r="X166" s="2830"/>
      <c r="Y166" s="2830"/>
      <c r="Z166" s="2830"/>
      <c r="AA166" s="2830"/>
      <c r="AB166" s="2830"/>
      <c r="AC166" s="2830"/>
      <c r="AD166" s="2830"/>
      <c r="AE166" s="2830"/>
      <c r="AF166" s="2830"/>
      <c r="AG166" s="2830"/>
      <c r="AH166" s="2831"/>
      <c r="AI166" s="2830"/>
      <c r="AJ166" s="2830"/>
      <c r="AK166" s="2830"/>
      <c r="AL166" s="2830"/>
      <c r="AM166" s="2830"/>
      <c r="AN166" s="2830"/>
      <c r="AO166" s="2830"/>
      <c r="AP166" s="2830"/>
      <c r="AQ166" s="2830"/>
      <c r="AR166" s="2820"/>
      <c r="AS166" s="2820"/>
      <c r="AT166" s="2820"/>
      <c r="AU166" s="2820"/>
      <c r="AV166" s="2766"/>
      <c r="AY166" s="2766"/>
    </row>
    <row r="167" spans="1:51">
      <c r="A167" s="2832"/>
      <c r="K167" s="2820"/>
      <c r="L167" s="2820"/>
      <c r="M167" s="2830"/>
      <c r="N167" s="2830"/>
      <c r="O167" s="2830"/>
      <c r="P167" s="2830"/>
      <c r="Q167" s="2830"/>
      <c r="R167" s="2830"/>
      <c r="S167" s="2830"/>
      <c r="T167" s="2830"/>
      <c r="U167" s="2830"/>
      <c r="V167" s="2830"/>
      <c r="W167" s="2830"/>
      <c r="X167" s="2830"/>
      <c r="Y167" s="2830"/>
      <c r="Z167" s="2830"/>
      <c r="AA167" s="2830"/>
      <c r="AB167" s="2830"/>
      <c r="AC167" s="2830"/>
      <c r="AD167" s="2830"/>
      <c r="AE167" s="2830"/>
      <c r="AF167" s="2830"/>
      <c r="AG167" s="2830"/>
      <c r="AH167" s="2831"/>
      <c r="AI167" s="2830"/>
      <c r="AJ167" s="2830"/>
      <c r="AK167" s="2830"/>
      <c r="AL167" s="2830"/>
      <c r="AM167" s="2830"/>
      <c r="AN167" s="2830"/>
      <c r="AO167" s="2830"/>
      <c r="AP167" s="2830"/>
      <c r="AQ167" s="2830"/>
      <c r="AR167" s="2820"/>
      <c r="AS167" s="2820"/>
      <c r="AT167" s="2820"/>
      <c r="AU167" s="2820"/>
      <c r="AV167" s="2766"/>
      <c r="AY167" s="2766"/>
    </row>
    <row r="168" spans="1:51">
      <c r="A168" s="2832"/>
      <c r="K168" s="2820"/>
      <c r="L168" s="2820"/>
      <c r="M168" s="2830"/>
      <c r="N168" s="2830"/>
      <c r="O168" s="2830"/>
      <c r="P168" s="2830"/>
      <c r="Q168" s="2830"/>
      <c r="R168" s="2830"/>
      <c r="S168" s="2830"/>
      <c r="T168" s="2830"/>
      <c r="U168" s="2830"/>
      <c r="V168" s="2830"/>
      <c r="W168" s="2830"/>
      <c r="X168" s="2830"/>
      <c r="Y168" s="2830"/>
      <c r="Z168" s="2830"/>
      <c r="AA168" s="2830"/>
      <c r="AB168" s="2830"/>
      <c r="AC168" s="2830"/>
      <c r="AD168" s="2830"/>
      <c r="AE168" s="2830"/>
      <c r="AF168" s="2830"/>
      <c r="AG168" s="2830"/>
      <c r="AH168" s="2831"/>
      <c r="AI168" s="2830"/>
      <c r="AJ168" s="2830"/>
      <c r="AK168" s="2830"/>
      <c r="AL168" s="2830"/>
      <c r="AM168" s="2830"/>
      <c r="AN168" s="2830"/>
      <c r="AO168" s="2830"/>
      <c r="AP168" s="2830"/>
      <c r="AQ168" s="2830"/>
      <c r="AR168" s="2820"/>
      <c r="AS168" s="2820"/>
      <c r="AT168" s="2820"/>
      <c r="AU168" s="2820"/>
      <c r="AV168" s="2766"/>
      <c r="AY168" s="2766"/>
    </row>
    <row r="169" spans="1:51">
      <c r="A169" s="2832"/>
      <c r="K169" s="2820"/>
      <c r="L169" s="2820"/>
      <c r="M169" s="2830"/>
      <c r="N169" s="2830"/>
      <c r="O169" s="2830"/>
      <c r="P169" s="2830"/>
      <c r="Q169" s="2830"/>
      <c r="R169" s="2830"/>
      <c r="S169" s="2830"/>
      <c r="T169" s="2830"/>
      <c r="U169" s="2830"/>
      <c r="V169" s="2830"/>
      <c r="W169" s="2830"/>
      <c r="X169" s="2830"/>
      <c r="Y169" s="2830"/>
      <c r="Z169" s="2830"/>
      <c r="AA169" s="2830"/>
      <c r="AB169" s="2830"/>
      <c r="AC169" s="2830"/>
      <c r="AD169" s="2830"/>
      <c r="AE169" s="2830"/>
      <c r="AF169" s="2830"/>
      <c r="AG169" s="2830"/>
      <c r="AH169" s="2831"/>
      <c r="AI169" s="2830"/>
      <c r="AJ169" s="2830"/>
      <c r="AK169" s="2830"/>
      <c r="AL169" s="2830"/>
      <c r="AM169" s="2830"/>
      <c r="AN169" s="2830"/>
      <c r="AO169" s="2830"/>
      <c r="AP169" s="2830"/>
      <c r="AQ169" s="2830"/>
      <c r="AR169" s="2820"/>
      <c r="AS169" s="2820"/>
      <c r="AT169" s="2820"/>
      <c r="AU169" s="2820"/>
      <c r="AV169" s="2766"/>
      <c r="AY169" s="2766"/>
    </row>
    <row r="170" spans="1:51">
      <c r="A170" s="2832"/>
      <c r="K170" s="2820"/>
      <c r="L170" s="2820"/>
      <c r="M170" s="2830"/>
      <c r="N170" s="2830"/>
      <c r="O170" s="2830"/>
      <c r="P170" s="2830"/>
      <c r="Q170" s="2830"/>
      <c r="R170" s="2830"/>
      <c r="S170" s="2830"/>
      <c r="T170" s="2830"/>
      <c r="U170" s="2830"/>
      <c r="V170" s="2830"/>
      <c r="W170" s="2830"/>
      <c r="X170" s="2830"/>
      <c r="Y170" s="2830"/>
      <c r="Z170" s="2830"/>
      <c r="AA170" s="2830"/>
      <c r="AB170" s="2830"/>
      <c r="AC170" s="2830"/>
      <c r="AD170" s="2830"/>
      <c r="AE170" s="2830"/>
      <c r="AF170" s="2830"/>
      <c r="AG170" s="2830"/>
      <c r="AH170" s="2831"/>
      <c r="AI170" s="2830"/>
      <c r="AJ170" s="2830"/>
      <c r="AK170" s="2830"/>
      <c r="AL170" s="2830"/>
      <c r="AM170" s="2830"/>
      <c r="AN170" s="2830"/>
      <c r="AO170" s="2830"/>
      <c r="AP170" s="2830"/>
      <c r="AQ170" s="2830"/>
      <c r="AR170" s="2820"/>
      <c r="AS170" s="2820"/>
      <c r="AT170" s="2820"/>
      <c r="AU170" s="2820"/>
      <c r="AV170" s="2766"/>
      <c r="AY170" s="2766"/>
    </row>
    <row r="171" spans="1:51">
      <c r="A171" s="2832"/>
      <c r="K171" s="2820"/>
      <c r="L171" s="2820"/>
      <c r="M171" s="2830"/>
      <c r="N171" s="2830"/>
      <c r="O171" s="2830"/>
      <c r="P171" s="2830"/>
      <c r="Q171" s="2830"/>
      <c r="R171" s="2830"/>
      <c r="S171" s="2830"/>
      <c r="T171" s="2830"/>
      <c r="U171" s="2830"/>
      <c r="V171" s="2830"/>
      <c r="W171" s="2830"/>
      <c r="X171" s="2830"/>
      <c r="Y171" s="2830"/>
      <c r="Z171" s="2830"/>
      <c r="AA171" s="2830"/>
      <c r="AB171" s="2830"/>
      <c r="AC171" s="2830"/>
      <c r="AD171" s="2830"/>
      <c r="AE171" s="2830"/>
      <c r="AF171" s="2830"/>
      <c r="AG171" s="2830"/>
      <c r="AH171" s="2831"/>
      <c r="AI171" s="2830"/>
      <c r="AJ171" s="2830"/>
      <c r="AK171" s="2830"/>
      <c r="AL171" s="2830"/>
      <c r="AM171" s="2830"/>
      <c r="AN171" s="2830"/>
      <c r="AO171" s="2830"/>
      <c r="AP171" s="2830"/>
      <c r="AQ171" s="2830"/>
      <c r="AR171" s="2820"/>
      <c r="AS171" s="2820"/>
      <c r="AT171" s="2820"/>
      <c r="AU171" s="2820"/>
      <c r="AV171" s="2766"/>
      <c r="AY171" s="2766"/>
    </row>
    <row r="172" spans="1:51">
      <c r="A172" s="2832"/>
      <c r="K172" s="2820"/>
      <c r="L172" s="2820"/>
      <c r="M172" s="2830"/>
      <c r="N172" s="2830"/>
      <c r="O172" s="2830"/>
      <c r="P172" s="2830"/>
      <c r="Q172" s="2830"/>
      <c r="R172" s="2830"/>
      <c r="S172" s="2830"/>
      <c r="T172" s="2830"/>
      <c r="U172" s="2830"/>
      <c r="V172" s="2830"/>
      <c r="W172" s="2830"/>
      <c r="X172" s="2830"/>
      <c r="Y172" s="2830"/>
      <c r="Z172" s="2830"/>
      <c r="AA172" s="2830"/>
      <c r="AB172" s="2830"/>
      <c r="AC172" s="2830"/>
      <c r="AD172" s="2830"/>
      <c r="AE172" s="2830"/>
      <c r="AF172" s="2830"/>
      <c r="AG172" s="2830"/>
      <c r="AH172" s="2831"/>
      <c r="AI172" s="2830"/>
      <c r="AJ172" s="2830"/>
      <c r="AK172" s="2830"/>
      <c r="AL172" s="2830"/>
      <c r="AM172" s="2830"/>
      <c r="AN172" s="2830"/>
      <c r="AO172" s="2830"/>
      <c r="AP172" s="2830"/>
      <c r="AQ172" s="2830"/>
      <c r="AR172" s="2820"/>
      <c r="AS172" s="2820"/>
      <c r="AT172" s="2820"/>
      <c r="AU172" s="2820"/>
      <c r="AV172" s="2766"/>
      <c r="AY172" s="2766"/>
    </row>
    <row r="173" spans="1:51">
      <c r="A173" s="2832"/>
      <c r="K173" s="2820"/>
      <c r="L173" s="2820"/>
      <c r="M173" s="2830"/>
      <c r="N173" s="2830"/>
      <c r="O173" s="2830"/>
      <c r="P173" s="2830"/>
      <c r="Q173" s="2830"/>
      <c r="R173" s="2830"/>
      <c r="S173" s="2830"/>
      <c r="T173" s="2830"/>
      <c r="U173" s="2830"/>
      <c r="V173" s="2830"/>
      <c r="W173" s="2830"/>
      <c r="X173" s="2830"/>
      <c r="Y173" s="2830"/>
      <c r="Z173" s="2830"/>
      <c r="AA173" s="2830"/>
      <c r="AB173" s="2830"/>
      <c r="AC173" s="2830"/>
      <c r="AD173" s="2830"/>
      <c r="AE173" s="2830"/>
      <c r="AF173" s="2830"/>
      <c r="AG173" s="2830"/>
      <c r="AH173" s="2831"/>
      <c r="AI173" s="2830"/>
      <c r="AJ173" s="2830"/>
      <c r="AK173" s="2830"/>
      <c r="AL173" s="2830"/>
      <c r="AM173" s="2830"/>
      <c r="AN173" s="2830"/>
      <c r="AO173" s="2830"/>
      <c r="AP173" s="2830"/>
      <c r="AQ173" s="2830"/>
      <c r="AR173" s="2820"/>
      <c r="AS173" s="2820"/>
      <c r="AT173" s="2820"/>
      <c r="AU173" s="2820"/>
      <c r="AV173" s="2766"/>
      <c r="AY173" s="2766"/>
    </row>
    <row r="174" spans="1:51">
      <c r="A174" s="2832"/>
      <c r="K174" s="2820"/>
      <c r="L174" s="2820"/>
      <c r="M174" s="2830"/>
      <c r="N174" s="2830"/>
      <c r="O174" s="2830"/>
      <c r="P174" s="2830"/>
      <c r="Q174" s="2830"/>
      <c r="R174" s="2830"/>
      <c r="S174" s="2830"/>
      <c r="T174" s="2830"/>
      <c r="U174" s="2830"/>
      <c r="V174" s="2830"/>
      <c r="W174" s="2830"/>
      <c r="X174" s="2830"/>
      <c r="Y174" s="2830"/>
      <c r="Z174" s="2830"/>
      <c r="AA174" s="2830"/>
      <c r="AB174" s="2830"/>
      <c r="AC174" s="2830"/>
      <c r="AD174" s="2830"/>
      <c r="AE174" s="2830"/>
      <c r="AF174" s="2830"/>
      <c r="AG174" s="2830"/>
      <c r="AH174" s="2831"/>
      <c r="AI174" s="2830"/>
      <c r="AJ174" s="2830"/>
      <c r="AK174" s="2830"/>
      <c r="AL174" s="2830"/>
      <c r="AM174" s="2830"/>
      <c r="AN174" s="2830"/>
      <c r="AO174" s="2830"/>
      <c r="AP174" s="2830"/>
      <c r="AQ174" s="2830"/>
      <c r="AR174" s="2820"/>
      <c r="AS174" s="2820"/>
      <c r="AT174" s="2820"/>
      <c r="AU174" s="2820"/>
      <c r="AV174" s="2766"/>
      <c r="AY174" s="2766"/>
    </row>
    <row r="175" spans="1:51">
      <c r="A175" s="2832"/>
      <c r="K175" s="2820"/>
      <c r="L175" s="2820"/>
      <c r="M175" s="2830"/>
      <c r="N175" s="2830"/>
      <c r="O175" s="2830"/>
      <c r="P175" s="2830"/>
      <c r="Q175" s="2830"/>
      <c r="R175" s="2830"/>
      <c r="S175" s="2830"/>
      <c r="T175" s="2830"/>
      <c r="U175" s="2830"/>
      <c r="V175" s="2830"/>
      <c r="W175" s="2830"/>
      <c r="X175" s="2830"/>
      <c r="Y175" s="2830"/>
      <c r="Z175" s="2830"/>
      <c r="AA175" s="2830"/>
      <c r="AB175" s="2830"/>
      <c r="AC175" s="2830"/>
      <c r="AD175" s="2830"/>
      <c r="AE175" s="2830"/>
      <c r="AF175" s="2830"/>
      <c r="AG175" s="2830"/>
      <c r="AH175" s="2831"/>
      <c r="AI175" s="2830"/>
      <c r="AJ175" s="2830"/>
      <c r="AK175" s="2830"/>
      <c r="AL175" s="2830"/>
      <c r="AM175" s="2830"/>
      <c r="AN175" s="2830"/>
      <c r="AO175" s="2830"/>
      <c r="AP175" s="2830"/>
      <c r="AQ175" s="2830"/>
      <c r="AR175" s="2820"/>
      <c r="AS175" s="2820"/>
      <c r="AT175" s="2820"/>
      <c r="AU175" s="2820"/>
      <c r="AV175" s="2766"/>
      <c r="AY175" s="2766"/>
    </row>
    <row r="176" spans="1:51">
      <c r="A176" s="2832"/>
      <c r="K176" s="2820"/>
      <c r="L176" s="2820"/>
      <c r="M176" s="2830"/>
      <c r="N176" s="2830"/>
      <c r="O176" s="2830"/>
      <c r="P176" s="2830"/>
      <c r="Q176" s="2830"/>
      <c r="R176" s="2830"/>
      <c r="S176" s="2830"/>
      <c r="T176" s="2830"/>
      <c r="U176" s="2830"/>
      <c r="V176" s="2830"/>
      <c r="W176" s="2830"/>
      <c r="X176" s="2830"/>
      <c r="Y176" s="2830"/>
      <c r="Z176" s="2830"/>
      <c r="AA176" s="2830"/>
      <c r="AB176" s="2830"/>
      <c r="AC176" s="2830"/>
      <c r="AD176" s="2830"/>
      <c r="AE176" s="2830"/>
      <c r="AF176" s="2830"/>
      <c r="AG176" s="2830"/>
      <c r="AH176" s="2831"/>
      <c r="AI176" s="2830"/>
      <c r="AJ176" s="2830"/>
      <c r="AK176" s="2830"/>
      <c r="AL176" s="2830"/>
      <c r="AM176" s="2830"/>
      <c r="AN176" s="2830"/>
      <c r="AO176" s="2830"/>
      <c r="AP176" s="2830"/>
      <c r="AQ176" s="2830"/>
      <c r="AR176" s="2820"/>
      <c r="AS176" s="2820"/>
      <c r="AT176" s="2820"/>
      <c r="AU176" s="2820"/>
      <c r="AV176" s="2766"/>
      <c r="AY176" s="2766"/>
    </row>
    <row r="177" spans="1:51">
      <c r="A177" s="2832"/>
      <c r="K177" s="2820"/>
      <c r="L177" s="2820"/>
      <c r="M177" s="2830"/>
      <c r="N177" s="2830"/>
      <c r="O177" s="2830"/>
      <c r="P177" s="2830"/>
      <c r="Q177" s="2830"/>
      <c r="R177" s="2830"/>
      <c r="S177" s="2830"/>
      <c r="T177" s="2830"/>
      <c r="U177" s="2830"/>
      <c r="V177" s="2830"/>
      <c r="W177" s="2830"/>
      <c r="X177" s="2830"/>
      <c r="Y177" s="2830"/>
      <c r="Z177" s="2830"/>
      <c r="AA177" s="2830"/>
      <c r="AB177" s="2830"/>
      <c r="AC177" s="2830"/>
      <c r="AD177" s="2830"/>
      <c r="AE177" s="2830"/>
      <c r="AF177" s="2830"/>
      <c r="AG177" s="2830"/>
      <c r="AH177" s="2831"/>
      <c r="AI177" s="2830"/>
      <c r="AJ177" s="2830"/>
      <c r="AK177" s="2830"/>
      <c r="AL177" s="2830"/>
      <c r="AM177" s="2830"/>
      <c r="AN177" s="2830"/>
      <c r="AO177" s="2830"/>
      <c r="AP177" s="2830"/>
      <c r="AQ177" s="2830"/>
      <c r="AR177" s="2820"/>
      <c r="AS177" s="2820"/>
      <c r="AT177" s="2820"/>
      <c r="AU177" s="2820"/>
      <c r="AV177" s="2766"/>
      <c r="AY177" s="2766"/>
    </row>
    <row r="178" spans="1:51">
      <c r="A178" s="2832"/>
      <c r="K178" s="2820"/>
      <c r="L178" s="2820"/>
      <c r="M178" s="2830"/>
      <c r="N178" s="2830"/>
      <c r="O178" s="2830"/>
      <c r="P178" s="2830"/>
      <c r="Q178" s="2830"/>
      <c r="R178" s="2830"/>
      <c r="S178" s="2830"/>
      <c r="T178" s="2830"/>
      <c r="U178" s="2830"/>
      <c r="V178" s="2830"/>
      <c r="W178" s="2830"/>
      <c r="X178" s="2830"/>
      <c r="Y178" s="2830"/>
      <c r="Z178" s="2830"/>
      <c r="AA178" s="2830"/>
      <c r="AB178" s="2830"/>
      <c r="AC178" s="2830"/>
      <c r="AD178" s="2830"/>
      <c r="AE178" s="2830"/>
      <c r="AF178" s="2830"/>
      <c r="AG178" s="2830"/>
      <c r="AH178" s="2831"/>
      <c r="AI178" s="2830"/>
      <c r="AJ178" s="2830"/>
      <c r="AK178" s="2830"/>
      <c r="AL178" s="2830"/>
      <c r="AM178" s="2830"/>
      <c r="AN178" s="2830"/>
      <c r="AO178" s="2830"/>
      <c r="AP178" s="2830"/>
      <c r="AQ178" s="2830"/>
      <c r="AR178" s="2820"/>
      <c r="AS178" s="2820"/>
      <c r="AT178" s="2820"/>
      <c r="AU178" s="2820"/>
      <c r="AV178" s="2766"/>
      <c r="AY178" s="2766"/>
    </row>
    <row r="179" spans="1:51">
      <c r="A179" s="2832"/>
      <c r="K179" s="2820"/>
      <c r="L179" s="2820"/>
      <c r="M179" s="2830"/>
      <c r="N179" s="2830"/>
      <c r="O179" s="2830"/>
      <c r="P179" s="2830"/>
      <c r="Q179" s="2830"/>
      <c r="R179" s="2830"/>
      <c r="S179" s="2830"/>
      <c r="T179" s="2830"/>
      <c r="U179" s="2830"/>
      <c r="V179" s="2830"/>
      <c r="W179" s="2830"/>
      <c r="X179" s="2830"/>
      <c r="Y179" s="2830"/>
      <c r="Z179" s="2830"/>
      <c r="AA179" s="2830"/>
      <c r="AB179" s="2830"/>
      <c r="AC179" s="2830"/>
      <c r="AD179" s="2830"/>
      <c r="AE179" s="2830"/>
      <c r="AF179" s="2830"/>
      <c r="AG179" s="2830"/>
      <c r="AH179" s="2831"/>
      <c r="AI179" s="2830"/>
      <c r="AJ179" s="2830"/>
      <c r="AK179" s="2830"/>
      <c r="AL179" s="2830"/>
      <c r="AM179" s="2830"/>
      <c r="AN179" s="2830"/>
      <c r="AO179" s="2830"/>
      <c r="AP179" s="2830"/>
      <c r="AQ179" s="2830"/>
      <c r="AR179" s="2820"/>
      <c r="AS179" s="2820"/>
      <c r="AT179" s="2820"/>
      <c r="AU179" s="2820"/>
      <c r="AV179" s="2766"/>
      <c r="AY179" s="2766"/>
    </row>
    <row r="180" spans="1:51">
      <c r="A180" s="2832"/>
      <c r="K180" s="2820"/>
      <c r="L180" s="2820"/>
      <c r="M180" s="2830"/>
      <c r="N180" s="2830"/>
      <c r="O180" s="2830"/>
      <c r="P180" s="2830"/>
      <c r="Q180" s="2830"/>
      <c r="R180" s="2830"/>
      <c r="S180" s="2830"/>
      <c r="T180" s="2830"/>
      <c r="U180" s="2830"/>
      <c r="V180" s="2830"/>
      <c r="W180" s="2830"/>
      <c r="X180" s="2830"/>
      <c r="Y180" s="2830"/>
      <c r="Z180" s="2830"/>
      <c r="AA180" s="2830"/>
      <c r="AB180" s="2830"/>
      <c r="AC180" s="2830"/>
      <c r="AD180" s="2830"/>
      <c r="AE180" s="2830"/>
      <c r="AF180" s="2830"/>
      <c r="AG180" s="2830"/>
      <c r="AH180" s="2831"/>
      <c r="AI180" s="2830"/>
      <c r="AJ180" s="2830"/>
      <c r="AK180" s="2830"/>
      <c r="AL180" s="2830"/>
      <c r="AM180" s="2830"/>
      <c r="AN180" s="2830"/>
      <c r="AO180" s="2830"/>
      <c r="AP180" s="2830"/>
      <c r="AQ180" s="2830"/>
      <c r="AR180" s="2820"/>
      <c r="AS180" s="2820"/>
      <c r="AT180" s="2820"/>
      <c r="AU180" s="2820"/>
      <c r="AV180" s="2766"/>
      <c r="AY180" s="2766"/>
    </row>
    <row r="181" spans="1:51">
      <c r="A181" s="2832"/>
      <c r="K181" s="2820"/>
      <c r="L181" s="2820"/>
      <c r="M181" s="2830"/>
      <c r="N181" s="2830"/>
      <c r="O181" s="2830"/>
      <c r="P181" s="2830"/>
      <c r="Q181" s="2830"/>
      <c r="R181" s="2830"/>
      <c r="S181" s="2830"/>
      <c r="T181" s="2830"/>
      <c r="U181" s="2830"/>
      <c r="V181" s="2830"/>
      <c r="W181" s="2830"/>
      <c r="X181" s="2830"/>
      <c r="Y181" s="2830"/>
      <c r="Z181" s="2830"/>
      <c r="AA181" s="2830"/>
      <c r="AB181" s="2830"/>
      <c r="AC181" s="2830"/>
      <c r="AD181" s="2830"/>
      <c r="AE181" s="2830"/>
      <c r="AF181" s="2830"/>
      <c r="AG181" s="2830"/>
      <c r="AH181" s="2831"/>
      <c r="AI181" s="2830"/>
      <c r="AJ181" s="2830"/>
      <c r="AK181" s="2830"/>
      <c r="AL181" s="2830"/>
      <c r="AM181" s="2830"/>
      <c r="AN181" s="2830"/>
      <c r="AO181" s="2830"/>
      <c r="AP181" s="2830"/>
      <c r="AQ181" s="2830"/>
      <c r="AR181" s="2820"/>
      <c r="AS181" s="2820"/>
      <c r="AT181" s="2820"/>
      <c r="AU181" s="2820"/>
      <c r="AV181" s="2766"/>
      <c r="AY181" s="2766"/>
    </row>
    <row r="182" spans="1:51">
      <c r="A182" s="2832"/>
      <c r="K182" s="2820"/>
      <c r="L182" s="2820"/>
      <c r="M182" s="2830"/>
      <c r="N182" s="2830"/>
      <c r="O182" s="2830"/>
      <c r="P182" s="2830"/>
      <c r="Q182" s="2830"/>
      <c r="R182" s="2830"/>
      <c r="S182" s="2830"/>
      <c r="T182" s="2830"/>
      <c r="U182" s="2830"/>
      <c r="V182" s="2830"/>
      <c r="W182" s="2830"/>
      <c r="X182" s="2830"/>
      <c r="Y182" s="2830"/>
      <c r="Z182" s="2830"/>
      <c r="AA182" s="2830"/>
      <c r="AB182" s="2830"/>
      <c r="AC182" s="2830"/>
      <c r="AD182" s="2830"/>
      <c r="AE182" s="2830"/>
      <c r="AF182" s="2830"/>
      <c r="AG182" s="2830"/>
      <c r="AH182" s="2831"/>
      <c r="AI182" s="2830"/>
      <c r="AJ182" s="2830"/>
      <c r="AK182" s="2830"/>
      <c r="AL182" s="2830"/>
      <c r="AM182" s="2830"/>
      <c r="AN182" s="2830"/>
      <c r="AO182" s="2830"/>
      <c r="AP182" s="2830"/>
      <c r="AQ182" s="2830"/>
      <c r="AR182" s="2820"/>
      <c r="AS182" s="2820"/>
      <c r="AT182" s="2820"/>
      <c r="AU182" s="2820"/>
      <c r="AV182" s="2766"/>
      <c r="AY182" s="2766"/>
    </row>
    <row r="183" spans="1:51">
      <c r="A183" s="2832"/>
      <c r="K183" s="2820"/>
      <c r="L183" s="2820"/>
      <c r="M183" s="2830"/>
      <c r="N183" s="2830"/>
      <c r="O183" s="2830"/>
      <c r="P183" s="2830"/>
      <c r="Q183" s="2830"/>
      <c r="R183" s="2830"/>
      <c r="S183" s="2830"/>
      <c r="T183" s="2830"/>
      <c r="U183" s="2830"/>
      <c r="V183" s="2830"/>
      <c r="W183" s="2830"/>
      <c r="X183" s="2830"/>
      <c r="Y183" s="2830"/>
      <c r="Z183" s="2830"/>
      <c r="AA183" s="2830"/>
      <c r="AB183" s="2830"/>
      <c r="AC183" s="2830"/>
      <c r="AD183" s="2830"/>
      <c r="AE183" s="2830"/>
      <c r="AF183" s="2830"/>
      <c r="AG183" s="2830"/>
      <c r="AH183" s="2831"/>
      <c r="AI183" s="2830"/>
      <c r="AJ183" s="2830"/>
      <c r="AK183" s="2830"/>
      <c r="AL183" s="2830"/>
      <c r="AM183" s="2830"/>
      <c r="AN183" s="2830"/>
      <c r="AO183" s="2830"/>
      <c r="AP183" s="2830"/>
      <c r="AQ183" s="2830"/>
      <c r="AR183" s="2820"/>
      <c r="AS183" s="2820"/>
      <c r="AT183" s="2820"/>
      <c r="AU183" s="2820"/>
      <c r="AV183" s="2766"/>
      <c r="AY183" s="2766"/>
    </row>
    <row r="184" spans="1:51">
      <c r="A184" s="2832"/>
      <c r="K184" s="2820"/>
      <c r="L184" s="2820"/>
      <c r="M184" s="2830"/>
      <c r="N184" s="2830"/>
      <c r="O184" s="2830"/>
      <c r="P184" s="2830"/>
      <c r="Q184" s="2830"/>
      <c r="R184" s="2830"/>
      <c r="S184" s="2830"/>
      <c r="T184" s="2830"/>
      <c r="U184" s="2830"/>
      <c r="V184" s="2830"/>
      <c r="W184" s="2830"/>
      <c r="X184" s="2830"/>
      <c r="Y184" s="2830"/>
      <c r="Z184" s="2830"/>
      <c r="AA184" s="2830"/>
      <c r="AB184" s="2830"/>
      <c r="AC184" s="2830"/>
      <c r="AD184" s="2830"/>
      <c r="AE184" s="2830"/>
      <c r="AF184" s="2830"/>
      <c r="AG184" s="2830"/>
      <c r="AH184" s="2831"/>
      <c r="AI184" s="2830"/>
      <c r="AJ184" s="2830"/>
      <c r="AK184" s="2830"/>
      <c r="AL184" s="2830"/>
      <c r="AM184" s="2830"/>
      <c r="AN184" s="2830"/>
      <c r="AO184" s="2830"/>
      <c r="AP184" s="2830"/>
      <c r="AQ184" s="2830"/>
      <c r="AR184" s="2820"/>
      <c r="AS184" s="2820"/>
      <c r="AT184" s="2820"/>
      <c r="AU184" s="2820"/>
      <c r="AV184" s="2766"/>
      <c r="AY184" s="2766"/>
    </row>
    <row r="185" spans="1:51">
      <c r="A185" s="2832"/>
      <c r="K185" s="2820"/>
      <c r="L185" s="2820"/>
      <c r="M185" s="2830"/>
      <c r="N185" s="2830"/>
      <c r="O185" s="2830"/>
      <c r="P185" s="2830"/>
      <c r="Q185" s="2830"/>
      <c r="R185" s="2830"/>
      <c r="S185" s="2830"/>
      <c r="T185" s="2830"/>
      <c r="U185" s="2830"/>
      <c r="V185" s="2830"/>
      <c r="W185" s="2830"/>
      <c r="X185" s="2830"/>
      <c r="Y185" s="2830"/>
      <c r="Z185" s="2830"/>
      <c r="AA185" s="2830"/>
      <c r="AB185" s="2830"/>
      <c r="AC185" s="2830"/>
      <c r="AD185" s="2830"/>
      <c r="AE185" s="2830"/>
      <c r="AF185" s="2830"/>
      <c r="AG185" s="2830"/>
      <c r="AH185" s="2831"/>
      <c r="AI185" s="2830"/>
      <c r="AJ185" s="2830"/>
      <c r="AK185" s="2830"/>
      <c r="AL185" s="2830"/>
      <c r="AM185" s="2830"/>
      <c r="AN185" s="2830"/>
      <c r="AO185" s="2830"/>
      <c r="AP185" s="2830"/>
      <c r="AQ185" s="2830"/>
      <c r="AR185" s="2820"/>
      <c r="AS185" s="2820"/>
      <c r="AT185" s="2820"/>
      <c r="AU185" s="2820"/>
      <c r="AV185" s="2766"/>
      <c r="AY185" s="2766"/>
    </row>
    <row r="186" spans="1:51">
      <c r="A186" s="2832"/>
      <c r="K186" s="2820"/>
      <c r="L186" s="2820"/>
      <c r="M186" s="2830"/>
      <c r="N186" s="2830"/>
      <c r="O186" s="2830"/>
      <c r="P186" s="2830"/>
      <c r="Q186" s="2830"/>
      <c r="R186" s="2830"/>
      <c r="S186" s="2830"/>
      <c r="T186" s="2830"/>
      <c r="U186" s="2830"/>
      <c r="V186" s="2830"/>
      <c r="W186" s="2830"/>
      <c r="X186" s="2830"/>
      <c r="Y186" s="2830"/>
      <c r="Z186" s="2830"/>
      <c r="AA186" s="2830"/>
      <c r="AB186" s="2830"/>
      <c r="AC186" s="2830"/>
      <c r="AD186" s="2830"/>
      <c r="AE186" s="2830"/>
      <c r="AF186" s="2830"/>
      <c r="AG186" s="2830"/>
      <c r="AH186" s="2831"/>
      <c r="AI186" s="2830"/>
      <c r="AJ186" s="2830"/>
      <c r="AK186" s="2830"/>
      <c r="AL186" s="2830"/>
      <c r="AM186" s="2830"/>
      <c r="AN186" s="2830"/>
      <c r="AO186" s="2830"/>
      <c r="AP186" s="2830"/>
      <c r="AQ186" s="2830"/>
      <c r="AR186" s="2820"/>
      <c r="AS186" s="2820"/>
      <c r="AT186" s="2820"/>
      <c r="AU186" s="2820"/>
      <c r="AV186" s="2766"/>
      <c r="AY186" s="2766"/>
    </row>
    <row r="187" spans="1:51">
      <c r="A187" s="2832"/>
      <c r="K187" s="2820"/>
      <c r="L187" s="2820"/>
      <c r="M187" s="2830"/>
      <c r="N187" s="2830"/>
      <c r="O187" s="2830"/>
      <c r="P187" s="2830"/>
      <c r="Q187" s="2830"/>
      <c r="R187" s="2830"/>
      <c r="S187" s="2830"/>
      <c r="T187" s="2830"/>
      <c r="U187" s="2830"/>
      <c r="V187" s="2830"/>
      <c r="W187" s="2830"/>
      <c r="X187" s="2830"/>
      <c r="Y187" s="2830"/>
      <c r="Z187" s="2830"/>
      <c r="AA187" s="2830"/>
      <c r="AB187" s="2830"/>
      <c r="AC187" s="2830"/>
      <c r="AD187" s="2830"/>
      <c r="AE187" s="2830"/>
      <c r="AF187" s="2830"/>
      <c r="AG187" s="2830"/>
      <c r="AH187" s="2831"/>
      <c r="AI187" s="2830"/>
      <c r="AJ187" s="2830"/>
      <c r="AK187" s="2830"/>
      <c r="AL187" s="2830"/>
      <c r="AM187" s="2830"/>
      <c r="AN187" s="2830"/>
      <c r="AO187" s="2830"/>
      <c r="AP187" s="2830"/>
      <c r="AQ187" s="2830"/>
      <c r="AR187" s="2820"/>
      <c r="AS187" s="2820"/>
      <c r="AT187" s="2820"/>
      <c r="AU187" s="2820"/>
      <c r="AV187" s="2766"/>
      <c r="AY187" s="2766"/>
    </row>
    <row r="188" spans="1:51">
      <c r="A188" s="2832"/>
      <c r="K188" s="2820"/>
      <c r="L188" s="2820"/>
      <c r="M188" s="2830"/>
      <c r="N188" s="2830"/>
      <c r="O188" s="2830"/>
      <c r="P188" s="2830"/>
      <c r="Q188" s="2830"/>
      <c r="R188" s="2830"/>
      <c r="S188" s="2830"/>
      <c r="T188" s="2830"/>
      <c r="U188" s="2830"/>
      <c r="V188" s="2830"/>
      <c r="W188" s="2830"/>
      <c r="X188" s="2830"/>
      <c r="Y188" s="2830"/>
      <c r="Z188" s="2830"/>
      <c r="AA188" s="2830"/>
      <c r="AB188" s="2830"/>
      <c r="AC188" s="2830"/>
      <c r="AD188" s="2830"/>
      <c r="AE188" s="2830"/>
      <c r="AF188" s="2830"/>
      <c r="AG188" s="2830"/>
      <c r="AH188" s="2831"/>
      <c r="AI188" s="2830"/>
      <c r="AJ188" s="2830"/>
      <c r="AK188" s="2830"/>
      <c r="AL188" s="2830"/>
      <c r="AM188" s="2830"/>
      <c r="AN188" s="2830"/>
      <c r="AO188" s="2830"/>
      <c r="AP188" s="2830"/>
      <c r="AQ188" s="2830"/>
      <c r="AR188" s="2820"/>
      <c r="AS188" s="2820"/>
      <c r="AT188" s="2820"/>
      <c r="AU188" s="2820"/>
      <c r="AV188" s="2766"/>
      <c r="AY188" s="2766"/>
    </row>
    <row r="189" spans="1:51">
      <c r="A189" s="2832"/>
      <c r="K189" s="2820"/>
      <c r="L189" s="2820"/>
      <c r="M189" s="2830"/>
      <c r="N189" s="2830"/>
      <c r="O189" s="2830"/>
      <c r="P189" s="2830"/>
      <c r="Q189" s="2830"/>
      <c r="R189" s="2830"/>
      <c r="S189" s="2830"/>
      <c r="T189" s="2830"/>
      <c r="U189" s="2830"/>
      <c r="V189" s="2830"/>
      <c r="W189" s="2830"/>
      <c r="X189" s="2830"/>
      <c r="Y189" s="2830"/>
      <c r="Z189" s="2830"/>
      <c r="AA189" s="2830"/>
      <c r="AB189" s="2830"/>
      <c r="AC189" s="2830"/>
      <c r="AD189" s="2830"/>
      <c r="AE189" s="2830"/>
      <c r="AF189" s="2830"/>
      <c r="AG189" s="2830"/>
      <c r="AH189" s="2831"/>
      <c r="AI189" s="2830"/>
      <c r="AJ189" s="2830"/>
      <c r="AK189" s="2830"/>
      <c r="AL189" s="2830"/>
      <c r="AM189" s="2830"/>
      <c r="AN189" s="2830"/>
      <c r="AO189" s="2830"/>
      <c r="AP189" s="2830"/>
      <c r="AQ189" s="2830"/>
      <c r="AR189" s="2820"/>
      <c r="AS189" s="2820"/>
      <c r="AT189" s="2820"/>
      <c r="AU189" s="2820"/>
      <c r="AV189" s="2766"/>
      <c r="AY189" s="2766"/>
    </row>
    <row r="190" spans="1:51">
      <c r="A190" s="2832"/>
      <c r="K190" s="2820"/>
      <c r="L190" s="2820"/>
      <c r="M190" s="2830"/>
      <c r="N190" s="2830"/>
      <c r="O190" s="2830"/>
      <c r="P190" s="2830"/>
      <c r="Q190" s="2830"/>
      <c r="R190" s="2830"/>
      <c r="S190" s="2830"/>
      <c r="T190" s="2830"/>
      <c r="U190" s="2830"/>
      <c r="V190" s="2830"/>
      <c r="W190" s="2830"/>
      <c r="X190" s="2830"/>
      <c r="Y190" s="2830"/>
      <c r="Z190" s="2830"/>
      <c r="AA190" s="2830"/>
      <c r="AB190" s="2830"/>
      <c r="AC190" s="2830"/>
      <c r="AD190" s="2830"/>
      <c r="AE190" s="2830"/>
      <c r="AF190" s="2830"/>
      <c r="AG190" s="2830"/>
      <c r="AH190" s="2831"/>
      <c r="AI190" s="2830"/>
      <c r="AJ190" s="2830"/>
      <c r="AK190" s="2830"/>
      <c r="AL190" s="2830"/>
      <c r="AM190" s="2830"/>
      <c r="AN190" s="2830"/>
      <c r="AO190" s="2830"/>
      <c r="AP190" s="2830"/>
      <c r="AQ190" s="2830"/>
      <c r="AR190" s="2820"/>
      <c r="AS190" s="2820"/>
      <c r="AT190" s="2820"/>
      <c r="AU190" s="2820"/>
      <c r="AV190" s="2766"/>
      <c r="AY190" s="2766"/>
    </row>
    <row r="191" spans="1:51">
      <c r="A191" s="2832"/>
      <c r="K191" s="2820"/>
      <c r="L191" s="2820"/>
      <c r="M191" s="2830"/>
      <c r="N191" s="2830"/>
      <c r="O191" s="2830"/>
      <c r="P191" s="2830"/>
      <c r="Q191" s="2830"/>
      <c r="R191" s="2830"/>
      <c r="S191" s="2830"/>
      <c r="T191" s="2830"/>
      <c r="U191" s="2830"/>
      <c r="V191" s="2830"/>
      <c r="W191" s="2830"/>
      <c r="X191" s="2830"/>
      <c r="Y191" s="2830"/>
      <c r="Z191" s="2830"/>
      <c r="AA191" s="2830"/>
      <c r="AB191" s="2830"/>
      <c r="AC191" s="2830"/>
      <c r="AD191" s="2830"/>
      <c r="AE191" s="2830"/>
      <c r="AF191" s="2830"/>
      <c r="AG191" s="2830"/>
      <c r="AH191" s="2831"/>
      <c r="AI191" s="2830"/>
      <c r="AJ191" s="2830"/>
      <c r="AK191" s="2830"/>
      <c r="AL191" s="2830"/>
      <c r="AM191" s="2830"/>
      <c r="AN191" s="2830"/>
      <c r="AO191" s="2830"/>
      <c r="AP191" s="2830"/>
      <c r="AQ191" s="2830"/>
      <c r="AR191" s="2820"/>
      <c r="AS191" s="2820"/>
      <c r="AT191" s="2820"/>
      <c r="AU191" s="2820"/>
      <c r="AV191" s="2766"/>
      <c r="AY191" s="2766"/>
    </row>
    <row r="192" spans="1:51">
      <c r="A192" s="2832"/>
      <c r="K192" s="2820"/>
      <c r="L192" s="2820"/>
      <c r="M192" s="2830"/>
      <c r="N192" s="2830"/>
      <c r="O192" s="2830"/>
      <c r="P192" s="2830"/>
      <c r="Q192" s="2830"/>
      <c r="R192" s="2830"/>
      <c r="S192" s="2830"/>
      <c r="T192" s="2830"/>
      <c r="U192" s="2830"/>
      <c r="V192" s="2830"/>
      <c r="W192" s="2830"/>
      <c r="X192" s="2830"/>
      <c r="Y192" s="2830"/>
      <c r="Z192" s="2830"/>
      <c r="AA192" s="2830"/>
      <c r="AB192" s="2830"/>
      <c r="AC192" s="2830"/>
      <c r="AD192" s="2830"/>
      <c r="AE192" s="2830"/>
      <c r="AF192" s="2830"/>
      <c r="AG192" s="2830"/>
      <c r="AH192" s="2831"/>
      <c r="AI192" s="2830"/>
      <c r="AJ192" s="2830"/>
      <c r="AK192" s="2830"/>
      <c r="AL192" s="2830"/>
      <c r="AM192" s="2830"/>
      <c r="AN192" s="2830"/>
      <c r="AO192" s="2830"/>
      <c r="AP192" s="2830"/>
      <c r="AQ192" s="2830"/>
      <c r="AR192" s="2820"/>
      <c r="AS192" s="2820"/>
      <c r="AT192" s="2820"/>
      <c r="AU192" s="2820"/>
      <c r="AV192" s="2766"/>
      <c r="AY192" s="2766"/>
    </row>
    <row r="193" spans="1:51">
      <c r="A193" s="2832"/>
      <c r="K193" s="2820"/>
      <c r="L193" s="2820"/>
      <c r="M193" s="2830"/>
      <c r="N193" s="2830"/>
      <c r="O193" s="2830"/>
      <c r="P193" s="2830"/>
      <c r="Q193" s="2830"/>
      <c r="R193" s="2830"/>
      <c r="S193" s="2830"/>
      <c r="T193" s="2830"/>
      <c r="U193" s="2830"/>
      <c r="V193" s="2830"/>
      <c r="W193" s="2830"/>
      <c r="X193" s="2830"/>
      <c r="Y193" s="2830"/>
      <c r="Z193" s="2830"/>
      <c r="AA193" s="2830"/>
      <c r="AB193" s="2830"/>
      <c r="AC193" s="2830"/>
      <c r="AD193" s="2830"/>
      <c r="AE193" s="2830"/>
      <c r="AF193" s="2830"/>
      <c r="AG193" s="2830"/>
      <c r="AH193" s="2831"/>
      <c r="AI193" s="2830"/>
      <c r="AJ193" s="2830"/>
      <c r="AK193" s="2830"/>
      <c r="AL193" s="2830"/>
      <c r="AM193" s="2830"/>
      <c r="AN193" s="2830"/>
      <c r="AO193" s="2830"/>
      <c r="AP193" s="2830"/>
      <c r="AQ193" s="2830"/>
      <c r="AR193" s="2820"/>
      <c r="AS193" s="2820"/>
      <c r="AT193" s="2820"/>
      <c r="AU193" s="2820"/>
      <c r="AV193" s="2766"/>
      <c r="AY193" s="2766"/>
    </row>
    <row r="194" spans="1:51">
      <c r="A194" s="2832"/>
      <c r="K194" s="2820"/>
      <c r="L194" s="2820"/>
      <c r="M194" s="2830"/>
      <c r="N194" s="2830"/>
      <c r="O194" s="2830"/>
      <c r="P194" s="2830"/>
      <c r="Q194" s="2830"/>
      <c r="R194" s="2830"/>
      <c r="S194" s="2830"/>
      <c r="T194" s="2830"/>
      <c r="U194" s="2830"/>
      <c r="V194" s="2830"/>
      <c r="W194" s="2830"/>
      <c r="X194" s="2830"/>
      <c r="Y194" s="2830"/>
      <c r="Z194" s="2830"/>
      <c r="AA194" s="2830"/>
      <c r="AB194" s="2830"/>
      <c r="AC194" s="2830"/>
      <c r="AD194" s="2830"/>
      <c r="AE194" s="2830"/>
      <c r="AF194" s="2830"/>
      <c r="AG194" s="2830"/>
      <c r="AH194" s="2831"/>
      <c r="AI194" s="2830"/>
      <c r="AJ194" s="2830"/>
      <c r="AK194" s="2830"/>
      <c r="AL194" s="2830"/>
      <c r="AM194" s="2830"/>
      <c r="AN194" s="2830"/>
      <c r="AO194" s="2830"/>
      <c r="AP194" s="2830"/>
      <c r="AQ194" s="2830"/>
      <c r="AR194" s="2820"/>
      <c r="AS194" s="2820"/>
      <c r="AT194" s="2820"/>
      <c r="AU194" s="2820"/>
      <c r="AV194" s="2766"/>
      <c r="AY194" s="2766"/>
    </row>
    <row r="195" spans="1:51">
      <c r="A195" s="2832"/>
      <c r="K195" s="2820"/>
      <c r="L195" s="2820"/>
      <c r="M195" s="2830"/>
      <c r="N195" s="2830"/>
      <c r="O195" s="2830"/>
      <c r="P195" s="2830"/>
      <c r="Q195" s="2830"/>
      <c r="R195" s="2830"/>
      <c r="S195" s="2830"/>
      <c r="T195" s="2830"/>
      <c r="U195" s="2830"/>
      <c r="V195" s="2830"/>
      <c r="W195" s="2830"/>
      <c r="X195" s="2830"/>
      <c r="Y195" s="2830"/>
      <c r="Z195" s="2830"/>
      <c r="AA195" s="2830"/>
      <c r="AB195" s="2830"/>
      <c r="AC195" s="2830"/>
      <c r="AD195" s="2830"/>
      <c r="AE195" s="2830"/>
      <c r="AF195" s="2830"/>
      <c r="AG195" s="2830"/>
      <c r="AH195" s="2831"/>
      <c r="AI195" s="2830"/>
      <c r="AJ195" s="2830"/>
      <c r="AK195" s="2830"/>
      <c r="AL195" s="2830"/>
      <c r="AM195" s="2830"/>
      <c r="AN195" s="2830"/>
      <c r="AO195" s="2830"/>
      <c r="AP195" s="2830"/>
      <c r="AQ195" s="2830"/>
      <c r="AR195" s="2820"/>
      <c r="AS195" s="2820"/>
      <c r="AT195" s="2820"/>
      <c r="AU195" s="2820"/>
      <c r="AV195" s="2766"/>
      <c r="AY195" s="2766"/>
    </row>
    <row r="196" spans="1:51">
      <c r="A196" s="2832"/>
      <c r="K196" s="2820"/>
      <c r="L196" s="2820"/>
      <c r="M196" s="2830"/>
      <c r="N196" s="2830"/>
      <c r="O196" s="2830"/>
      <c r="P196" s="2830"/>
      <c r="Q196" s="2830"/>
      <c r="R196" s="2830"/>
      <c r="S196" s="2830"/>
      <c r="T196" s="2830"/>
      <c r="U196" s="2830"/>
      <c r="V196" s="2830"/>
      <c r="W196" s="2830"/>
      <c r="X196" s="2830"/>
      <c r="Y196" s="2830"/>
      <c r="Z196" s="2830"/>
      <c r="AA196" s="2830"/>
      <c r="AB196" s="2830"/>
      <c r="AC196" s="2830"/>
      <c r="AD196" s="2830"/>
      <c r="AE196" s="2830"/>
      <c r="AF196" s="2830"/>
      <c r="AG196" s="2830"/>
      <c r="AH196" s="2831"/>
      <c r="AI196" s="2830"/>
      <c r="AJ196" s="2830"/>
      <c r="AK196" s="2830"/>
      <c r="AL196" s="2830"/>
      <c r="AM196" s="2830"/>
      <c r="AN196" s="2830"/>
      <c r="AO196" s="2830"/>
      <c r="AP196" s="2830"/>
      <c r="AQ196" s="2830"/>
      <c r="AR196" s="2820"/>
      <c r="AS196" s="2820"/>
      <c r="AT196" s="2820"/>
      <c r="AU196" s="2820"/>
      <c r="AV196" s="2766"/>
      <c r="AY196" s="2766"/>
    </row>
    <row r="197" spans="1:51">
      <c r="A197" s="2832"/>
      <c r="K197" s="2820"/>
      <c r="L197" s="2820"/>
      <c r="M197" s="2830"/>
      <c r="N197" s="2830"/>
      <c r="O197" s="2830"/>
      <c r="P197" s="2830"/>
      <c r="Q197" s="2830"/>
      <c r="R197" s="2830"/>
      <c r="S197" s="2830"/>
      <c r="T197" s="2830"/>
      <c r="U197" s="2830"/>
      <c r="V197" s="2830"/>
      <c r="W197" s="2830"/>
      <c r="X197" s="2830"/>
      <c r="Y197" s="2830"/>
      <c r="Z197" s="2830"/>
      <c r="AA197" s="2830"/>
      <c r="AB197" s="2830"/>
      <c r="AC197" s="2830"/>
      <c r="AD197" s="2830"/>
      <c r="AE197" s="2830"/>
      <c r="AF197" s="2830"/>
      <c r="AG197" s="2830"/>
      <c r="AH197" s="2831"/>
      <c r="AI197" s="2830"/>
      <c r="AJ197" s="2830"/>
      <c r="AK197" s="2830"/>
      <c r="AL197" s="2830"/>
      <c r="AM197" s="2830"/>
      <c r="AN197" s="2830"/>
      <c r="AO197" s="2830"/>
      <c r="AP197" s="2830"/>
      <c r="AQ197" s="2830"/>
      <c r="AR197" s="2820"/>
      <c r="AS197" s="2820"/>
      <c r="AT197" s="2820"/>
      <c r="AU197" s="2820"/>
      <c r="AV197" s="2766"/>
      <c r="AY197" s="2766"/>
    </row>
    <row r="198" spans="1:51">
      <c r="A198" s="2832"/>
      <c r="K198" s="2820"/>
      <c r="L198" s="2820"/>
      <c r="M198" s="2830"/>
      <c r="N198" s="2830"/>
      <c r="O198" s="2830"/>
      <c r="P198" s="2830"/>
      <c r="Q198" s="2830"/>
      <c r="R198" s="2830"/>
      <c r="S198" s="2830"/>
      <c r="T198" s="2830"/>
      <c r="U198" s="2830"/>
      <c r="V198" s="2830"/>
      <c r="W198" s="2830"/>
      <c r="X198" s="2830"/>
      <c r="Y198" s="2830"/>
      <c r="Z198" s="2830"/>
      <c r="AA198" s="2830"/>
      <c r="AB198" s="2830"/>
      <c r="AC198" s="2830"/>
      <c r="AD198" s="2830"/>
      <c r="AE198" s="2830"/>
      <c r="AF198" s="2830"/>
      <c r="AG198" s="2830"/>
      <c r="AH198" s="2831"/>
      <c r="AI198" s="2830"/>
      <c r="AJ198" s="2830"/>
      <c r="AK198" s="2830"/>
      <c r="AL198" s="2830"/>
      <c r="AM198" s="2830"/>
      <c r="AN198" s="2830"/>
      <c r="AO198" s="2830"/>
      <c r="AP198" s="2830"/>
      <c r="AQ198" s="2830"/>
      <c r="AR198" s="2820"/>
      <c r="AS198" s="2820"/>
      <c r="AT198" s="2820"/>
      <c r="AU198" s="2820"/>
      <c r="AV198" s="2766"/>
      <c r="AY198" s="2766"/>
    </row>
    <row r="199" spans="1:51">
      <c r="A199" s="2832"/>
      <c r="K199" s="2820"/>
      <c r="L199" s="2820"/>
      <c r="M199" s="2830"/>
      <c r="N199" s="2830"/>
      <c r="O199" s="2830"/>
      <c r="P199" s="2830"/>
      <c r="Q199" s="2830"/>
      <c r="R199" s="2830"/>
      <c r="S199" s="2830"/>
      <c r="T199" s="2830"/>
      <c r="U199" s="2830"/>
      <c r="V199" s="2830"/>
      <c r="W199" s="2830"/>
      <c r="X199" s="2830"/>
      <c r="Y199" s="2830"/>
      <c r="Z199" s="2830"/>
      <c r="AA199" s="2830"/>
      <c r="AB199" s="2830"/>
      <c r="AC199" s="2830"/>
      <c r="AD199" s="2830"/>
      <c r="AE199" s="2830"/>
      <c r="AF199" s="2830"/>
      <c r="AG199" s="2830"/>
      <c r="AH199" s="2831"/>
      <c r="AI199" s="2830"/>
      <c r="AJ199" s="2830"/>
      <c r="AK199" s="2830"/>
      <c r="AL199" s="2830"/>
      <c r="AM199" s="2830"/>
      <c r="AN199" s="2830"/>
      <c r="AO199" s="2830"/>
      <c r="AP199" s="2830"/>
      <c r="AQ199" s="2830"/>
      <c r="AR199" s="2820"/>
      <c r="AS199" s="2820"/>
      <c r="AT199" s="2820"/>
      <c r="AU199" s="2820"/>
      <c r="AV199" s="2766"/>
      <c r="AY199" s="2766"/>
    </row>
    <row r="200" spans="1:51">
      <c r="A200" s="2832"/>
      <c r="K200" s="2820"/>
      <c r="L200" s="2820"/>
      <c r="M200" s="2830"/>
      <c r="N200" s="2830"/>
      <c r="O200" s="2830"/>
      <c r="P200" s="2830"/>
      <c r="Q200" s="2830"/>
      <c r="R200" s="2830"/>
      <c r="S200" s="2830"/>
      <c r="T200" s="2830"/>
      <c r="U200" s="2830"/>
      <c r="V200" s="2830"/>
      <c r="W200" s="2830"/>
      <c r="X200" s="2830"/>
      <c r="Y200" s="2830"/>
      <c r="Z200" s="2830"/>
      <c r="AA200" s="2830"/>
      <c r="AB200" s="2830"/>
      <c r="AC200" s="2830"/>
      <c r="AD200" s="2830"/>
      <c r="AE200" s="2830"/>
      <c r="AF200" s="2830"/>
      <c r="AG200" s="2830"/>
      <c r="AH200" s="2831"/>
      <c r="AI200" s="2830"/>
      <c r="AJ200" s="2830"/>
      <c r="AK200" s="2830"/>
      <c r="AL200" s="2830"/>
      <c r="AM200" s="2830"/>
      <c r="AN200" s="2830"/>
      <c r="AO200" s="2830"/>
      <c r="AP200" s="2830"/>
      <c r="AQ200" s="2830"/>
      <c r="AR200" s="2820"/>
      <c r="AS200" s="2820"/>
      <c r="AT200" s="2820"/>
      <c r="AU200" s="2820"/>
      <c r="AV200" s="2766"/>
      <c r="AY200" s="2766"/>
    </row>
    <row r="201" spans="1:51">
      <c r="A201" s="2832"/>
      <c r="K201" s="2820"/>
      <c r="L201" s="2820"/>
      <c r="M201" s="2830"/>
      <c r="N201" s="2830"/>
      <c r="O201" s="2830"/>
      <c r="P201" s="2830"/>
      <c r="Q201" s="2830"/>
      <c r="R201" s="2830"/>
      <c r="S201" s="2830"/>
      <c r="T201" s="2830"/>
      <c r="U201" s="2830"/>
      <c r="V201" s="2830"/>
      <c r="W201" s="2830"/>
      <c r="X201" s="2830"/>
      <c r="Y201" s="2830"/>
      <c r="Z201" s="2830"/>
      <c r="AA201" s="2830"/>
      <c r="AB201" s="2830"/>
      <c r="AC201" s="2830"/>
      <c r="AD201" s="2830"/>
      <c r="AE201" s="2830"/>
      <c r="AF201" s="2830"/>
      <c r="AG201" s="2830"/>
      <c r="AH201" s="2831"/>
      <c r="AI201" s="2830"/>
      <c r="AJ201" s="2830"/>
      <c r="AK201" s="2830"/>
      <c r="AL201" s="2830"/>
      <c r="AM201" s="2830"/>
      <c r="AN201" s="2830"/>
      <c r="AO201" s="2830"/>
      <c r="AP201" s="2830"/>
      <c r="AQ201" s="2830"/>
      <c r="AR201" s="2820"/>
      <c r="AS201" s="2820"/>
      <c r="AT201" s="2820"/>
      <c r="AU201" s="2820"/>
      <c r="AV201" s="2766"/>
      <c r="AY201" s="2766"/>
    </row>
    <row r="202" spans="1:51">
      <c r="A202" s="2832"/>
      <c r="K202" s="2820"/>
      <c r="L202" s="2820"/>
      <c r="M202" s="2830"/>
      <c r="N202" s="2830"/>
      <c r="O202" s="2830"/>
      <c r="P202" s="2830"/>
      <c r="Q202" s="2830"/>
      <c r="R202" s="2830"/>
      <c r="S202" s="2830"/>
      <c r="T202" s="2830"/>
      <c r="U202" s="2830"/>
      <c r="V202" s="2830"/>
      <c r="W202" s="2830"/>
      <c r="X202" s="2830"/>
      <c r="Y202" s="2830"/>
      <c r="Z202" s="2830"/>
      <c r="AA202" s="2830"/>
      <c r="AB202" s="2830"/>
      <c r="AC202" s="2830"/>
      <c r="AD202" s="2830"/>
      <c r="AE202" s="2830"/>
      <c r="AF202" s="2830"/>
      <c r="AG202" s="2830"/>
      <c r="AH202" s="2831"/>
      <c r="AI202" s="2830"/>
      <c r="AJ202" s="2830"/>
      <c r="AK202" s="2830"/>
      <c r="AL202" s="2830"/>
      <c r="AM202" s="2830"/>
      <c r="AN202" s="2830"/>
      <c r="AO202" s="2830"/>
      <c r="AP202" s="2830"/>
      <c r="AQ202" s="2830"/>
      <c r="AR202" s="2820"/>
      <c r="AS202" s="2820"/>
      <c r="AT202" s="2820"/>
      <c r="AU202" s="2820"/>
      <c r="AV202" s="2766"/>
      <c r="AY202" s="2766"/>
    </row>
    <row r="203" spans="1:51">
      <c r="A203" s="2832"/>
      <c r="K203" s="2820"/>
      <c r="L203" s="2820"/>
      <c r="M203" s="2830"/>
      <c r="N203" s="2830"/>
      <c r="O203" s="2830"/>
      <c r="P203" s="2830"/>
      <c r="Q203" s="2830"/>
      <c r="R203" s="2830"/>
      <c r="S203" s="2830"/>
      <c r="T203" s="2830"/>
      <c r="U203" s="2830"/>
      <c r="V203" s="2830"/>
      <c r="W203" s="2830"/>
      <c r="X203" s="2830"/>
      <c r="Y203" s="2830"/>
      <c r="Z203" s="2830"/>
      <c r="AA203" s="2830"/>
      <c r="AB203" s="2830"/>
      <c r="AC203" s="2830"/>
      <c r="AD203" s="2830"/>
      <c r="AE203" s="2830"/>
      <c r="AF203" s="2830"/>
      <c r="AG203" s="2830"/>
      <c r="AH203" s="2831"/>
      <c r="AI203" s="2830"/>
      <c r="AJ203" s="2830"/>
      <c r="AK203" s="2830"/>
      <c r="AL203" s="2830"/>
      <c r="AM203" s="2830"/>
      <c r="AN203" s="2830"/>
      <c r="AO203" s="2830"/>
      <c r="AP203" s="2830"/>
      <c r="AQ203" s="2830"/>
      <c r="AR203" s="2820"/>
      <c r="AS203" s="2820"/>
      <c r="AT203" s="2820"/>
      <c r="AU203" s="2820"/>
      <c r="AV203" s="2766"/>
      <c r="AY203" s="2766"/>
    </row>
    <row r="204" spans="1:51">
      <c r="A204" s="2832"/>
      <c r="K204" s="2820"/>
      <c r="L204" s="2820"/>
      <c r="M204" s="2830"/>
      <c r="N204" s="2830"/>
      <c r="O204" s="2830"/>
      <c r="P204" s="2830"/>
      <c r="Q204" s="2830"/>
      <c r="R204" s="2830"/>
      <c r="S204" s="2830"/>
      <c r="T204" s="2830"/>
      <c r="U204" s="2830"/>
      <c r="V204" s="2830"/>
      <c r="W204" s="2830"/>
      <c r="X204" s="2830"/>
      <c r="Y204" s="2830"/>
      <c r="Z204" s="2830"/>
      <c r="AA204" s="2830"/>
      <c r="AB204" s="2830"/>
      <c r="AC204" s="2830"/>
      <c r="AD204" s="2830"/>
      <c r="AE204" s="2830"/>
      <c r="AF204" s="2830"/>
      <c r="AG204" s="2830"/>
      <c r="AH204" s="2831"/>
      <c r="AI204" s="2830"/>
      <c r="AJ204" s="2830"/>
      <c r="AK204" s="2830"/>
      <c r="AL204" s="2830"/>
      <c r="AM204" s="2830"/>
      <c r="AN204" s="2830"/>
      <c r="AO204" s="2830"/>
      <c r="AP204" s="2830"/>
      <c r="AQ204" s="2830"/>
      <c r="AR204" s="2820"/>
      <c r="AS204" s="2820"/>
      <c r="AT204" s="2820"/>
      <c r="AU204" s="2820"/>
      <c r="AV204" s="2766"/>
      <c r="AY204" s="2766"/>
    </row>
    <row r="205" spans="1:51">
      <c r="A205" s="2832"/>
      <c r="K205" s="2820"/>
      <c r="L205" s="2820"/>
      <c r="M205" s="2830"/>
      <c r="N205" s="2830"/>
      <c r="O205" s="2830"/>
      <c r="P205" s="2830"/>
      <c r="Q205" s="2830"/>
      <c r="R205" s="2830"/>
      <c r="S205" s="2830"/>
      <c r="T205" s="2830"/>
      <c r="U205" s="2830"/>
      <c r="V205" s="2830"/>
      <c r="W205" s="2830"/>
      <c r="X205" s="2830"/>
      <c r="Y205" s="2830"/>
      <c r="Z205" s="2830"/>
      <c r="AA205" s="2830"/>
      <c r="AB205" s="2830"/>
      <c r="AC205" s="2830"/>
      <c r="AD205" s="2830"/>
      <c r="AE205" s="2830"/>
      <c r="AF205" s="2830"/>
      <c r="AG205" s="2830"/>
      <c r="AH205" s="2831"/>
      <c r="AI205" s="2830"/>
      <c r="AJ205" s="2830"/>
      <c r="AK205" s="2830"/>
      <c r="AL205" s="2830"/>
      <c r="AM205" s="2830"/>
      <c r="AN205" s="2830"/>
      <c r="AO205" s="2830"/>
      <c r="AP205" s="2830"/>
      <c r="AQ205" s="2830"/>
      <c r="AR205" s="2820"/>
      <c r="AS205" s="2820"/>
      <c r="AT205" s="2820"/>
      <c r="AU205" s="2820"/>
      <c r="AV205" s="2766"/>
      <c r="AY205" s="2766"/>
    </row>
    <row r="206" spans="1:51">
      <c r="A206" s="2832"/>
      <c r="K206" s="2820"/>
      <c r="L206" s="2820"/>
      <c r="M206" s="2830"/>
      <c r="N206" s="2830"/>
      <c r="O206" s="2830"/>
      <c r="P206" s="2830"/>
      <c r="Q206" s="2830"/>
      <c r="R206" s="2830"/>
      <c r="S206" s="2830"/>
      <c r="T206" s="2830"/>
      <c r="U206" s="2830"/>
      <c r="V206" s="2830"/>
      <c r="W206" s="2830"/>
      <c r="X206" s="2830"/>
      <c r="Y206" s="2830"/>
      <c r="Z206" s="2830"/>
      <c r="AA206" s="2830"/>
      <c r="AB206" s="2830"/>
      <c r="AC206" s="2830"/>
      <c r="AD206" s="2830"/>
      <c r="AE206" s="2830"/>
      <c r="AF206" s="2830"/>
      <c r="AG206" s="2830"/>
      <c r="AH206" s="2831"/>
      <c r="AI206" s="2830"/>
      <c r="AJ206" s="2830"/>
      <c r="AK206" s="2830"/>
      <c r="AL206" s="2830"/>
      <c r="AM206" s="2830"/>
      <c r="AN206" s="2830"/>
      <c r="AO206" s="2830"/>
      <c r="AP206" s="2830"/>
      <c r="AQ206" s="2830"/>
      <c r="AR206" s="2820"/>
      <c r="AS206" s="2820"/>
      <c r="AT206" s="2820"/>
      <c r="AU206" s="2820"/>
      <c r="AV206" s="2766"/>
      <c r="AY206" s="2766"/>
    </row>
    <row r="207" spans="1:51">
      <c r="A207" s="2832"/>
      <c r="K207" s="2820"/>
      <c r="L207" s="2820"/>
      <c r="M207" s="2830"/>
      <c r="N207" s="2830"/>
      <c r="O207" s="2830"/>
      <c r="P207" s="2830"/>
      <c r="Q207" s="2830"/>
      <c r="R207" s="2830"/>
      <c r="S207" s="2830"/>
      <c r="T207" s="2830"/>
      <c r="U207" s="2830"/>
      <c r="V207" s="2830"/>
      <c r="W207" s="2830"/>
      <c r="X207" s="2830"/>
      <c r="Y207" s="2830"/>
      <c r="Z207" s="2830"/>
      <c r="AA207" s="2830"/>
      <c r="AB207" s="2830"/>
      <c r="AC207" s="2830"/>
      <c r="AD207" s="2830"/>
      <c r="AE207" s="2830"/>
      <c r="AF207" s="2830"/>
      <c r="AG207" s="2830"/>
      <c r="AH207" s="2831"/>
      <c r="AI207" s="2830"/>
      <c r="AJ207" s="2830"/>
      <c r="AK207" s="2830"/>
      <c r="AL207" s="2830"/>
      <c r="AM207" s="2830"/>
      <c r="AN207" s="2830"/>
      <c r="AO207" s="2830"/>
      <c r="AP207" s="2830"/>
      <c r="AQ207" s="2830"/>
      <c r="AR207" s="2820"/>
      <c r="AS207" s="2820"/>
      <c r="AT207" s="2820"/>
      <c r="AU207" s="2820"/>
      <c r="AV207" s="2766"/>
      <c r="AY207" s="2766"/>
    </row>
    <row r="208" spans="1:51">
      <c r="A208" s="2832"/>
      <c r="K208" s="2820"/>
      <c r="L208" s="2820"/>
      <c r="M208" s="2830"/>
      <c r="N208" s="2830"/>
      <c r="O208" s="2830"/>
      <c r="P208" s="2830"/>
      <c r="Q208" s="2830"/>
      <c r="R208" s="2830"/>
      <c r="S208" s="2830"/>
      <c r="T208" s="2830"/>
      <c r="U208" s="2830"/>
      <c r="V208" s="2830"/>
      <c r="W208" s="2830"/>
      <c r="X208" s="2830"/>
      <c r="Y208" s="2830"/>
      <c r="Z208" s="2830"/>
      <c r="AA208" s="2830"/>
      <c r="AB208" s="2830"/>
      <c r="AC208" s="2830"/>
      <c r="AD208" s="2830"/>
      <c r="AE208" s="2830"/>
      <c r="AF208" s="2830"/>
      <c r="AG208" s="2830"/>
      <c r="AH208" s="2831"/>
      <c r="AI208" s="2830"/>
      <c r="AJ208" s="2830"/>
      <c r="AK208" s="2830"/>
      <c r="AL208" s="2830"/>
      <c r="AM208" s="2830"/>
      <c r="AN208" s="2830"/>
      <c r="AO208" s="2830"/>
      <c r="AP208" s="2830"/>
      <c r="AQ208" s="2830"/>
      <c r="AR208" s="2820"/>
      <c r="AS208" s="2820"/>
      <c r="AT208" s="2820"/>
      <c r="AU208" s="2820"/>
      <c r="AV208" s="2766"/>
      <c r="AY208" s="2766"/>
    </row>
    <row r="209" spans="1:51">
      <c r="A209" s="2832"/>
      <c r="K209" s="2820"/>
      <c r="L209" s="2820"/>
      <c r="M209" s="2830"/>
      <c r="N209" s="2830"/>
      <c r="O209" s="2830"/>
      <c r="P209" s="2830"/>
      <c r="Q209" s="2830"/>
      <c r="R209" s="2830"/>
      <c r="S209" s="2830"/>
      <c r="T209" s="2830"/>
      <c r="U209" s="2830"/>
      <c r="V209" s="2830"/>
      <c r="W209" s="2830"/>
      <c r="X209" s="2830"/>
      <c r="Y209" s="2830"/>
      <c r="Z209" s="2830"/>
      <c r="AA209" s="2830"/>
      <c r="AB209" s="2830"/>
      <c r="AC209" s="2830"/>
      <c r="AD209" s="2830"/>
      <c r="AE209" s="2830"/>
      <c r="AF209" s="2830"/>
      <c r="AG209" s="2830"/>
      <c r="AH209" s="2831"/>
      <c r="AI209" s="2830"/>
      <c r="AJ209" s="2830"/>
      <c r="AK209" s="2830"/>
      <c r="AL209" s="2830"/>
      <c r="AM209" s="2830"/>
      <c r="AN209" s="2830"/>
      <c r="AO209" s="2830"/>
      <c r="AP209" s="2830"/>
      <c r="AQ209" s="2830"/>
      <c r="AR209" s="2820"/>
      <c r="AS209" s="2820"/>
      <c r="AT209" s="2820"/>
      <c r="AU209" s="2820"/>
      <c r="AV209" s="2766"/>
      <c r="AY209" s="2766"/>
    </row>
    <row r="210" spans="1:51">
      <c r="A210" s="2832"/>
      <c r="K210" s="2820"/>
      <c r="L210" s="2820"/>
      <c r="M210" s="2830"/>
      <c r="N210" s="2830"/>
      <c r="O210" s="2830"/>
      <c r="P210" s="2830"/>
      <c r="Q210" s="2830"/>
      <c r="R210" s="2830"/>
      <c r="S210" s="2830"/>
      <c r="T210" s="2830"/>
      <c r="U210" s="2830"/>
      <c r="V210" s="2830"/>
      <c r="W210" s="2830"/>
      <c r="X210" s="2830"/>
      <c r="Y210" s="2830"/>
      <c r="Z210" s="2830"/>
      <c r="AA210" s="2830"/>
      <c r="AB210" s="2830"/>
      <c r="AC210" s="2830"/>
      <c r="AD210" s="2830"/>
      <c r="AE210" s="2830"/>
      <c r="AF210" s="2830"/>
      <c r="AG210" s="2830"/>
      <c r="AH210" s="2831"/>
      <c r="AI210" s="2830"/>
      <c r="AJ210" s="2830"/>
      <c r="AK210" s="2830"/>
      <c r="AL210" s="2830"/>
      <c r="AM210" s="2830"/>
      <c r="AN210" s="2830"/>
      <c r="AO210" s="2830"/>
      <c r="AP210" s="2830"/>
      <c r="AQ210" s="2830"/>
      <c r="AR210" s="2820"/>
      <c r="AS210" s="2820"/>
      <c r="AT210" s="2820"/>
      <c r="AU210" s="2820"/>
      <c r="AV210" s="2766"/>
      <c r="AY210" s="2766"/>
    </row>
    <row r="211" spans="1:51">
      <c r="A211" s="2832"/>
      <c r="K211" s="2820"/>
      <c r="L211" s="2820"/>
      <c r="M211" s="2830"/>
      <c r="N211" s="2830"/>
      <c r="O211" s="2830"/>
      <c r="P211" s="2830"/>
      <c r="Q211" s="2830"/>
      <c r="R211" s="2830"/>
      <c r="S211" s="2830"/>
      <c r="T211" s="2830"/>
      <c r="U211" s="2830"/>
      <c r="V211" s="2830"/>
      <c r="W211" s="2830"/>
      <c r="X211" s="2830"/>
      <c r="Y211" s="2830"/>
      <c r="Z211" s="2830"/>
      <c r="AA211" s="2830"/>
      <c r="AB211" s="2830"/>
      <c r="AC211" s="2830"/>
      <c r="AD211" s="2830"/>
      <c r="AE211" s="2830"/>
      <c r="AF211" s="2830"/>
      <c r="AG211" s="2830"/>
      <c r="AH211" s="2831"/>
      <c r="AI211" s="2830"/>
      <c r="AJ211" s="2830"/>
      <c r="AK211" s="2830"/>
      <c r="AL211" s="2830"/>
      <c r="AM211" s="2830"/>
      <c r="AN211" s="2830"/>
      <c r="AO211" s="2830"/>
      <c r="AP211" s="2830"/>
      <c r="AQ211" s="2830"/>
      <c r="AR211" s="2820"/>
      <c r="AS211" s="2820"/>
      <c r="AT211" s="2820"/>
      <c r="AU211" s="2820"/>
      <c r="AV211" s="2766"/>
      <c r="AY211" s="2766"/>
    </row>
    <row r="212" spans="1:51">
      <c r="A212" s="2832"/>
      <c r="K212" s="2820"/>
      <c r="L212" s="2820"/>
      <c r="M212" s="2830"/>
      <c r="N212" s="2830"/>
      <c r="O212" s="2830"/>
      <c r="P212" s="2830"/>
      <c r="Q212" s="2830"/>
      <c r="R212" s="2830"/>
      <c r="S212" s="2830"/>
      <c r="T212" s="2830"/>
      <c r="U212" s="2830"/>
      <c r="V212" s="2830"/>
      <c r="W212" s="2830"/>
      <c r="X212" s="2830"/>
      <c r="Y212" s="2830"/>
      <c r="Z212" s="2830"/>
      <c r="AA212" s="2830"/>
      <c r="AB212" s="2830"/>
      <c r="AC212" s="2830"/>
      <c r="AD212" s="2830"/>
      <c r="AE212" s="2830"/>
      <c r="AF212" s="2830"/>
      <c r="AG212" s="2830"/>
      <c r="AH212" s="2831"/>
      <c r="AI212" s="2830"/>
      <c r="AJ212" s="2830"/>
      <c r="AK212" s="2830"/>
      <c r="AL212" s="2830"/>
      <c r="AM212" s="2830"/>
      <c r="AN212" s="2830"/>
      <c r="AO212" s="2830"/>
      <c r="AP212" s="2830"/>
      <c r="AQ212" s="2830"/>
      <c r="AR212" s="2820"/>
      <c r="AS212" s="2820"/>
      <c r="AT212" s="2820"/>
      <c r="AU212" s="2820"/>
      <c r="AV212" s="2766"/>
      <c r="AY212" s="2766"/>
    </row>
    <row r="213" spans="1:51">
      <c r="A213" s="2832"/>
      <c r="K213" s="2820"/>
      <c r="L213" s="2820"/>
      <c r="M213" s="2830"/>
      <c r="N213" s="2830"/>
      <c r="O213" s="2830"/>
      <c r="P213" s="2830"/>
      <c r="Q213" s="2830"/>
      <c r="R213" s="2830"/>
      <c r="S213" s="2830"/>
      <c r="T213" s="2830"/>
      <c r="U213" s="2830"/>
      <c r="V213" s="2830"/>
      <c r="W213" s="2830"/>
      <c r="X213" s="2830"/>
      <c r="Y213" s="2830"/>
      <c r="Z213" s="2830"/>
      <c r="AA213" s="2830"/>
      <c r="AB213" s="2830"/>
      <c r="AC213" s="2830"/>
      <c r="AD213" s="2830"/>
      <c r="AE213" s="2830"/>
      <c r="AF213" s="2830"/>
      <c r="AG213" s="2830"/>
      <c r="AH213" s="2831"/>
      <c r="AI213" s="2830"/>
      <c r="AJ213" s="2830"/>
      <c r="AK213" s="2830"/>
      <c r="AL213" s="2830"/>
      <c r="AM213" s="2830"/>
      <c r="AN213" s="2830"/>
      <c r="AO213" s="2830"/>
      <c r="AP213" s="2830"/>
      <c r="AQ213" s="2830"/>
      <c r="AR213" s="2820"/>
      <c r="AS213" s="2820"/>
      <c r="AT213" s="2820"/>
      <c r="AU213" s="2820"/>
      <c r="AV213" s="2766"/>
      <c r="AY213" s="2766"/>
    </row>
    <row r="214" spans="1:51">
      <c r="A214" s="2832"/>
      <c r="K214" s="2820"/>
      <c r="L214" s="2820"/>
      <c r="M214" s="2830"/>
      <c r="N214" s="2830"/>
      <c r="O214" s="2830"/>
      <c r="P214" s="2830"/>
      <c r="Q214" s="2830"/>
      <c r="R214" s="2830"/>
      <c r="S214" s="2830"/>
      <c r="T214" s="2830"/>
      <c r="U214" s="2830"/>
      <c r="V214" s="2830"/>
      <c r="W214" s="2830"/>
      <c r="X214" s="2830"/>
      <c r="Y214" s="2830"/>
      <c r="Z214" s="2830"/>
      <c r="AA214" s="2830"/>
      <c r="AB214" s="2830"/>
      <c r="AC214" s="2830"/>
      <c r="AD214" s="2830"/>
      <c r="AE214" s="2830"/>
      <c r="AF214" s="2830"/>
      <c r="AG214" s="2830"/>
      <c r="AH214" s="2831"/>
      <c r="AI214" s="2830"/>
      <c r="AJ214" s="2830"/>
      <c r="AK214" s="2830"/>
      <c r="AL214" s="2830"/>
      <c r="AM214" s="2830"/>
      <c r="AN214" s="2830"/>
      <c r="AO214" s="2830"/>
      <c r="AP214" s="2830"/>
      <c r="AQ214" s="2830"/>
      <c r="AR214" s="2820"/>
      <c r="AS214" s="2820"/>
      <c r="AT214" s="2820"/>
      <c r="AU214" s="2820"/>
      <c r="AV214" s="2766"/>
      <c r="AY214" s="2766"/>
    </row>
    <row r="215" spans="1:51">
      <c r="K215" s="2820"/>
      <c r="L215" s="2820"/>
      <c r="M215" s="2830"/>
      <c r="N215" s="2830"/>
      <c r="O215" s="2830"/>
      <c r="P215" s="2830"/>
      <c r="Q215" s="2830"/>
      <c r="R215" s="2830"/>
      <c r="S215" s="2830"/>
      <c r="T215" s="2830"/>
      <c r="U215" s="2830"/>
      <c r="V215" s="2830"/>
      <c r="W215" s="2830"/>
      <c r="X215" s="2830"/>
      <c r="Y215" s="2830"/>
      <c r="Z215" s="2830"/>
      <c r="AA215" s="2830"/>
      <c r="AB215" s="2830"/>
      <c r="AC215" s="2830"/>
      <c r="AD215" s="2830"/>
      <c r="AE215" s="2830"/>
      <c r="AF215" s="2830"/>
      <c r="AG215" s="2830"/>
      <c r="AH215" s="2831"/>
      <c r="AI215" s="2830"/>
      <c r="AJ215" s="2830"/>
      <c r="AK215" s="2830"/>
      <c r="AL215" s="2830"/>
      <c r="AM215" s="2830"/>
      <c r="AN215" s="2830"/>
      <c r="AO215" s="2830"/>
      <c r="AP215" s="2830"/>
      <c r="AQ215" s="2830"/>
      <c r="AR215" s="2820"/>
      <c r="AS215" s="2820"/>
      <c r="AT215" s="2820"/>
      <c r="AU215" s="2820"/>
      <c r="AV215" s="2766"/>
      <c r="AY215" s="2766"/>
    </row>
    <row r="216" spans="1:51">
      <c r="K216" s="2820"/>
      <c r="L216" s="2820"/>
      <c r="M216" s="2830"/>
      <c r="N216" s="2830"/>
      <c r="O216" s="2830"/>
      <c r="P216" s="2830"/>
      <c r="Q216" s="2830"/>
      <c r="R216" s="2830"/>
      <c r="S216" s="2830"/>
      <c r="T216" s="2830"/>
      <c r="U216" s="2830"/>
      <c r="V216" s="2830"/>
      <c r="W216" s="2830"/>
      <c r="X216" s="2830"/>
      <c r="Y216" s="2830"/>
      <c r="Z216" s="2830"/>
      <c r="AA216" s="2830"/>
      <c r="AB216" s="2830"/>
      <c r="AC216" s="2830"/>
      <c r="AD216" s="2830"/>
      <c r="AE216" s="2830"/>
      <c r="AF216" s="2830"/>
      <c r="AG216" s="2830"/>
      <c r="AH216" s="2831"/>
      <c r="AI216" s="2830"/>
      <c r="AJ216" s="2830"/>
      <c r="AK216" s="2830"/>
      <c r="AL216" s="2830"/>
      <c r="AM216" s="2830"/>
      <c r="AN216" s="2830"/>
      <c r="AO216" s="2830"/>
      <c r="AP216" s="2830"/>
      <c r="AQ216" s="2830"/>
      <c r="AR216" s="2820"/>
      <c r="AS216" s="2820"/>
      <c r="AT216" s="2820"/>
      <c r="AU216" s="2820"/>
      <c r="AV216" s="2766"/>
      <c r="AY216" s="2766"/>
    </row>
    <row r="217" spans="1:51">
      <c r="K217" s="2820"/>
      <c r="L217" s="2820"/>
      <c r="M217" s="2830"/>
      <c r="N217" s="2830"/>
      <c r="O217" s="2830"/>
      <c r="P217" s="2830"/>
      <c r="Q217" s="2830"/>
      <c r="R217" s="2830"/>
      <c r="S217" s="2830"/>
      <c r="T217" s="2830"/>
      <c r="U217" s="2830"/>
      <c r="V217" s="2830"/>
      <c r="W217" s="2830"/>
      <c r="X217" s="2830"/>
      <c r="Y217" s="2830"/>
      <c r="Z217" s="2830"/>
      <c r="AA217" s="2830"/>
      <c r="AB217" s="2830"/>
      <c r="AC217" s="2830"/>
      <c r="AD217" s="2830"/>
      <c r="AE217" s="2830"/>
      <c r="AF217" s="2830"/>
      <c r="AG217" s="2830"/>
      <c r="AH217" s="2831"/>
      <c r="AI217" s="2830"/>
      <c r="AJ217" s="2830"/>
      <c r="AK217" s="2830"/>
      <c r="AL217" s="2830"/>
      <c r="AM217" s="2830"/>
      <c r="AN217" s="2830"/>
      <c r="AO217" s="2830"/>
      <c r="AP217" s="2830"/>
      <c r="AQ217" s="2830"/>
      <c r="AR217" s="2820"/>
      <c r="AS217" s="2820"/>
      <c r="AT217" s="2820"/>
      <c r="AU217" s="2820"/>
      <c r="AV217" s="2766"/>
      <c r="AY217" s="2766"/>
    </row>
    <row r="218" spans="1:51">
      <c r="K218" s="2820"/>
      <c r="L218" s="2820"/>
      <c r="M218" s="2830"/>
      <c r="N218" s="2830"/>
      <c r="O218" s="2830"/>
      <c r="P218" s="2830"/>
      <c r="Q218" s="2830"/>
      <c r="R218" s="2830"/>
      <c r="S218" s="2830"/>
      <c r="T218" s="2830"/>
      <c r="U218" s="2830"/>
      <c r="V218" s="2830"/>
      <c r="W218" s="2830"/>
      <c r="X218" s="2830"/>
      <c r="Y218" s="2830"/>
      <c r="Z218" s="2830"/>
      <c r="AA218" s="2830"/>
      <c r="AB218" s="2830"/>
      <c r="AC218" s="2830"/>
      <c r="AD218" s="2830"/>
      <c r="AE218" s="2830"/>
      <c r="AF218" s="2830"/>
      <c r="AG218" s="2830"/>
      <c r="AH218" s="2831"/>
      <c r="AI218" s="2830"/>
      <c r="AJ218" s="2830"/>
      <c r="AK218" s="2830"/>
      <c r="AL218" s="2830"/>
      <c r="AM218" s="2830"/>
      <c r="AN218" s="2830"/>
      <c r="AO218" s="2830"/>
      <c r="AP218" s="2830"/>
      <c r="AQ218" s="2830"/>
      <c r="AR218" s="2820"/>
      <c r="AS218" s="2820"/>
      <c r="AT218" s="2820"/>
      <c r="AU218" s="2820"/>
      <c r="AV218" s="2766"/>
      <c r="AY218" s="2766"/>
    </row>
    <row r="219" spans="1:51">
      <c r="K219" s="2820"/>
      <c r="L219" s="2820"/>
      <c r="M219" s="2830"/>
      <c r="N219" s="2830"/>
      <c r="O219" s="2830"/>
      <c r="P219" s="2830"/>
      <c r="Q219" s="2830"/>
      <c r="R219" s="2830"/>
      <c r="S219" s="2830"/>
      <c r="T219" s="2830"/>
      <c r="U219" s="2830"/>
      <c r="V219" s="2830"/>
      <c r="W219" s="2830"/>
      <c r="X219" s="2830"/>
      <c r="Y219" s="2830"/>
      <c r="Z219" s="2830"/>
      <c r="AA219" s="2830"/>
      <c r="AB219" s="2830"/>
      <c r="AC219" s="2830"/>
      <c r="AD219" s="2830"/>
      <c r="AE219" s="2830"/>
      <c r="AF219" s="2830"/>
      <c r="AG219" s="2830"/>
      <c r="AH219" s="2831"/>
      <c r="AI219" s="2830"/>
      <c r="AJ219" s="2830"/>
      <c r="AK219" s="2830"/>
      <c r="AL219" s="2830"/>
      <c r="AM219" s="2830"/>
      <c r="AN219" s="2830"/>
      <c r="AO219" s="2830"/>
      <c r="AP219" s="2830"/>
      <c r="AQ219" s="2830"/>
      <c r="AR219" s="2820"/>
      <c r="AS219" s="2820"/>
      <c r="AT219" s="2820"/>
      <c r="AU219" s="2820"/>
      <c r="AV219" s="2766"/>
      <c r="AY219" s="2766"/>
    </row>
    <row r="220" spans="1:51">
      <c r="K220" s="2820"/>
      <c r="L220" s="2820"/>
      <c r="M220" s="2830"/>
      <c r="N220" s="2830"/>
      <c r="O220" s="2830"/>
      <c r="P220" s="2830"/>
      <c r="Q220" s="2830"/>
      <c r="R220" s="2830"/>
      <c r="S220" s="2830"/>
      <c r="T220" s="2830"/>
      <c r="U220" s="2830"/>
      <c r="V220" s="2830"/>
      <c r="W220" s="2830"/>
      <c r="X220" s="2830"/>
      <c r="Y220" s="2830"/>
      <c r="Z220" s="2830"/>
      <c r="AA220" s="2830"/>
      <c r="AB220" s="2830"/>
      <c r="AC220" s="2830"/>
      <c r="AD220" s="2830"/>
      <c r="AE220" s="2830"/>
      <c r="AF220" s="2830"/>
      <c r="AG220" s="2830"/>
      <c r="AH220" s="2831"/>
      <c r="AI220" s="2830"/>
      <c r="AJ220" s="2830"/>
      <c r="AK220" s="2830"/>
      <c r="AL220" s="2830"/>
      <c r="AM220" s="2830"/>
      <c r="AN220" s="2830"/>
      <c r="AO220" s="2830"/>
      <c r="AP220" s="2830"/>
      <c r="AQ220" s="2830"/>
      <c r="AR220" s="2820"/>
      <c r="AS220" s="2820"/>
      <c r="AT220" s="2820"/>
      <c r="AU220" s="2820"/>
      <c r="AV220" s="2766"/>
      <c r="AY220" s="2766"/>
    </row>
    <row r="221" spans="1:51">
      <c r="K221" s="2820"/>
      <c r="L221" s="2820"/>
      <c r="M221" s="2830"/>
      <c r="N221" s="2830"/>
      <c r="O221" s="2830"/>
      <c r="P221" s="2830"/>
      <c r="Q221" s="2830"/>
      <c r="R221" s="2830"/>
      <c r="S221" s="2830"/>
      <c r="T221" s="2830"/>
      <c r="U221" s="2830"/>
      <c r="V221" s="2830"/>
      <c r="W221" s="2830"/>
      <c r="X221" s="2830"/>
      <c r="Y221" s="2830"/>
      <c r="Z221" s="2830"/>
      <c r="AA221" s="2830"/>
      <c r="AB221" s="2830"/>
      <c r="AC221" s="2830"/>
      <c r="AD221" s="2830"/>
      <c r="AE221" s="2830"/>
      <c r="AF221" s="2830"/>
      <c r="AG221" s="2830"/>
      <c r="AH221" s="2831"/>
      <c r="AI221" s="2830"/>
      <c r="AJ221" s="2830"/>
      <c r="AK221" s="2830"/>
      <c r="AL221" s="2830"/>
      <c r="AM221" s="2830"/>
      <c r="AN221" s="2830"/>
      <c r="AO221" s="2830"/>
      <c r="AP221" s="2830"/>
      <c r="AQ221" s="2830"/>
      <c r="AR221" s="2820"/>
      <c r="AS221" s="2820"/>
      <c r="AT221" s="2820"/>
      <c r="AU221" s="2820"/>
      <c r="AV221" s="2766"/>
      <c r="AY221" s="2766"/>
    </row>
    <row r="222" spans="1:51">
      <c r="K222" s="2820"/>
      <c r="L222" s="2820"/>
      <c r="M222" s="2830"/>
      <c r="N222" s="2830"/>
      <c r="O222" s="2830"/>
      <c r="P222" s="2830"/>
      <c r="Q222" s="2830"/>
      <c r="R222" s="2830"/>
      <c r="S222" s="2830"/>
      <c r="T222" s="2830"/>
      <c r="U222" s="2830"/>
      <c r="V222" s="2830"/>
      <c r="W222" s="2830"/>
      <c r="X222" s="2830"/>
      <c r="Y222" s="2830"/>
      <c r="Z222" s="2830"/>
      <c r="AA222" s="2830"/>
      <c r="AB222" s="2830"/>
      <c r="AC222" s="2830"/>
      <c r="AD222" s="2830"/>
      <c r="AE222" s="2830"/>
      <c r="AF222" s="2830"/>
      <c r="AG222" s="2830"/>
      <c r="AH222" s="2831"/>
      <c r="AI222" s="2830"/>
      <c r="AJ222" s="2830"/>
      <c r="AK222" s="2830"/>
      <c r="AL222" s="2830"/>
      <c r="AM222" s="2830"/>
      <c r="AN222" s="2830"/>
      <c r="AO222" s="2830"/>
      <c r="AP222" s="2830"/>
      <c r="AQ222" s="2830"/>
      <c r="AR222" s="2820"/>
      <c r="AS222" s="2820"/>
      <c r="AT222" s="2820"/>
      <c r="AU222" s="2820"/>
      <c r="AV222" s="2766"/>
      <c r="AY222" s="2766"/>
    </row>
    <row r="223" spans="1:51">
      <c r="K223" s="2820"/>
      <c r="L223" s="2820"/>
      <c r="M223" s="2830"/>
      <c r="N223" s="2830"/>
      <c r="O223" s="2830"/>
      <c r="P223" s="2830"/>
      <c r="Q223" s="2830"/>
      <c r="R223" s="2830"/>
      <c r="S223" s="2830"/>
      <c r="T223" s="2830"/>
      <c r="U223" s="2830"/>
      <c r="V223" s="2830"/>
      <c r="W223" s="2830"/>
      <c r="X223" s="2830"/>
      <c r="Y223" s="2830"/>
      <c r="Z223" s="2830"/>
      <c r="AA223" s="2830"/>
      <c r="AB223" s="2830"/>
      <c r="AC223" s="2830"/>
      <c r="AD223" s="2830"/>
      <c r="AE223" s="2830"/>
      <c r="AF223" s="2830"/>
      <c r="AG223" s="2830"/>
      <c r="AH223" s="2831"/>
      <c r="AI223" s="2830"/>
      <c r="AJ223" s="2830"/>
      <c r="AK223" s="2830"/>
      <c r="AL223" s="2830"/>
      <c r="AM223" s="2830"/>
      <c r="AN223" s="2830"/>
      <c r="AO223" s="2830"/>
      <c r="AP223" s="2830"/>
      <c r="AQ223" s="2830"/>
      <c r="AR223" s="2820"/>
      <c r="AS223" s="2820"/>
      <c r="AT223" s="2820"/>
      <c r="AU223" s="2820"/>
      <c r="AV223" s="2766"/>
      <c r="AY223" s="2766"/>
    </row>
    <row r="224" spans="1:51">
      <c r="A224" s="2766"/>
      <c r="E224" s="2766"/>
      <c r="F224" s="2766"/>
      <c r="G224" s="2766"/>
      <c r="H224" s="2766"/>
      <c r="I224" s="2766"/>
      <c r="J224" s="2766"/>
      <c r="K224" s="2820"/>
      <c r="L224" s="2820"/>
      <c r="M224" s="2830"/>
      <c r="N224" s="2830"/>
      <c r="O224" s="2830"/>
      <c r="P224" s="2830"/>
      <c r="Q224" s="2830"/>
      <c r="R224" s="2830"/>
      <c r="S224" s="2830"/>
      <c r="T224" s="2830"/>
      <c r="U224" s="2830"/>
      <c r="V224" s="2830"/>
      <c r="W224" s="2830"/>
      <c r="X224" s="2830"/>
      <c r="Y224" s="2830"/>
      <c r="Z224" s="2830"/>
      <c r="AA224" s="2830"/>
      <c r="AB224" s="2830"/>
      <c r="AC224" s="2830"/>
      <c r="AD224" s="2830"/>
      <c r="AE224" s="2830"/>
      <c r="AF224" s="2830"/>
      <c r="AG224" s="2830"/>
      <c r="AH224" s="2831"/>
      <c r="AI224" s="2830"/>
      <c r="AJ224" s="2830"/>
      <c r="AK224" s="2830"/>
      <c r="AL224" s="2830"/>
      <c r="AM224" s="2830"/>
      <c r="AN224" s="2830"/>
      <c r="AO224" s="2830"/>
      <c r="AP224" s="2830"/>
      <c r="AQ224" s="2830"/>
      <c r="AR224" s="2820"/>
      <c r="AS224" s="2820"/>
      <c r="AT224" s="2820"/>
      <c r="AU224" s="2820"/>
      <c r="AV224" s="2766"/>
      <c r="AY224" s="2766"/>
    </row>
    <row r="225" spans="1:51">
      <c r="A225" s="2766"/>
      <c r="E225" s="2766"/>
      <c r="F225" s="2766"/>
      <c r="G225" s="2766"/>
      <c r="H225" s="2766"/>
      <c r="I225" s="2766"/>
      <c r="J225" s="2766"/>
      <c r="K225" s="2820"/>
      <c r="L225" s="2820"/>
      <c r="M225" s="2830"/>
      <c r="N225" s="2830"/>
      <c r="O225" s="2830"/>
      <c r="P225" s="2830"/>
      <c r="Q225" s="2830"/>
      <c r="R225" s="2830"/>
      <c r="S225" s="2830"/>
      <c r="T225" s="2830"/>
      <c r="U225" s="2830"/>
      <c r="V225" s="2830"/>
      <c r="W225" s="2830"/>
      <c r="X225" s="2830"/>
      <c r="Y225" s="2830"/>
      <c r="Z225" s="2830"/>
      <c r="AA225" s="2830"/>
      <c r="AB225" s="2830"/>
      <c r="AC225" s="2830"/>
      <c r="AD225" s="2830"/>
      <c r="AE225" s="2830"/>
      <c r="AF225" s="2830"/>
      <c r="AG225" s="2830"/>
      <c r="AH225" s="2831"/>
      <c r="AI225" s="2830"/>
      <c r="AJ225" s="2830"/>
      <c r="AK225" s="2830"/>
      <c r="AL225" s="2830"/>
      <c r="AM225" s="2830"/>
      <c r="AN225" s="2830"/>
      <c r="AO225" s="2830"/>
      <c r="AP225" s="2830"/>
      <c r="AQ225" s="2830"/>
      <c r="AR225" s="2820"/>
      <c r="AS225" s="2820"/>
      <c r="AT225" s="2820"/>
      <c r="AU225" s="2820"/>
      <c r="AV225" s="2766"/>
      <c r="AY225" s="2766"/>
    </row>
    <row r="226" spans="1:51">
      <c r="A226" s="2766"/>
      <c r="E226" s="2766"/>
      <c r="F226" s="2766"/>
      <c r="G226" s="2766"/>
      <c r="H226" s="2766"/>
      <c r="I226" s="2766"/>
      <c r="J226" s="2766"/>
      <c r="K226" s="2820"/>
      <c r="L226" s="2820"/>
      <c r="M226" s="2830"/>
      <c r="N226" s="2830"/>
      <c r="O226" s="2830"/>
      <c r="P226" s="2830"/>
      <c r="Q226" s="2830"/>
      <c r="R226" s="2830"/>
      <c r="S226" s="2830"/>
      <c r="T226" s="2830"/>
      <c r="U226" s="2830"/>
      <c r="V226" s="2830"/>
      <c r="W226" s="2830"/>
      <c r="X226" s="2830"/>
      <c r="Y226" s="2830"/>
      <c r="Z226" s="2830"/>
      <c r="AA226" s="2830"/>
      <c r="AB226" s="2830"/>
      <c r="AC226" s="2830"/>
      <c r="AD226" s="2830"/>
      <c r="AE226" s="2830"/>
      <c r="AF226" s="2830"/>
      <c r="AG226" s="2830"/>
      <c r="AH226" s="2831"/>
      <c r="AI226" s="2830"/>
      <c r="AJ226" s="2830"/>
      <c r="AK226" s="2830"/>
      <c r="AL226" s="2830"/>
      <c r="AM226" s="2830"/>
      <c r="AN226" s="2830"/>
      <c r="AO226" s="2830"/>
      <c r="AP226" s="2830"/>
      <c r="AQ226" s="2830"/>
      <c r="AR226" s="2820"/>
      <c r="AS226" s="2820"/>
      <c r="AT226" s="2820"/>
      <c r="AU226" s="2820"/>
      <c r="AV226" s="2766"/>
      <c r="AY226" s="2766"/>
    </row>
    <row r="227" spans="1:51">
      <c r="A227" s="2766"/>
      <c r="E227" s="2766"/>
      <c r="F227" s="2766"/>
      <c r="G227" s="2766"/>
      <c r="H227" s="2766"/>
      <c r="I227" s="2766"/>
      <c r="J227" s="2766"/>
      <c r="K227" s="2820"/>
      <c r="L227" s="2820"/>
      <c r="M227" s="2830"/>
      <c r="N227" s="2830"/>
      <c r="O227" s="2830"/>
      <c r="P227" s="2830"/>
      <c r="Q227" s="2830"/>
      <c r="R227" s="2830"/>
      <c r="S227" s="2830"/>
      <c r="T227" s="2830"/>
      <c r="U227" s="2830"/>
      <c r="V227" s="2830"/>
      <c r="W227" s="2830"/>
      <c r="X227" s="2830"/>
      <c r="Y227" s="2830"/>
      <c r="Z227" s="2830"/>
      <c r="AA227" s="2830"/>
      <c r="AB227" s="2830"/>
      <c r="AC227" s="2830"/>
      <c r="AD227" s="2830"/>
      <c r="AE227" s="2830"/>
      <c r="AF227" s="2830"/>
      <c r="AG227" s="2830"/>
      <c r="AH227" s="2831"/>
      <c r="AI227" s="2830"/>
      <c r="AJ227" s="2830"/>
      <c r="AK227" s="2830"/>
      <c r="AL227" s="2830"/>
      <c r="AM227" s="2830"/>
      <c r="AN227" s="2830"/>
      <c r="AO227" s="2830"/>
      <c r="AP227" s="2830"/>
      <c r="AQ227" s="2830"/>
      <c r="AR227" s="2820"/>
      <c r="AS227" s="2820"/>
      <c r="AT227" s="2820"/>
      <c r="AU227" s="2820"/>
      <c r="AV227" s="2766"/>
      <c r="AY227" s="2766"/>
    </row>
    <row r="228" spans="1:51">
      <c r="A228" s="2766"/>
      <c r="E228" s="2766"/>
      <c r="F228" s="2766"/>
      <c r="G228" s="2766"/>
      <c r="H228" s="2766"/>
      <c r="I228" s="2766"/>
      <c r="J228" s="2766"/>
      <c r="K228" s="2820"/>
      <c r="L228" s="2820"/>
      <c r="M228" s="2830"/>
      <c r="N228" s="2830"/>
      <c r="O228" s="2830"/>
      <c r="P228" s="2830"/>
      <c r="Q228" s="2830"/>
      <c r="R228" s="2830"/>
      <c r="S228" s="2830"/>
      <c r="T228" s="2830"/>
      <c r="U228" s="2830"/>
      <c r="V228" s="2830"/>
      <c r="W228" s="2830"/>
      <c r="X228" s="2830"/>
      <c r="Y228" s="2830"/>
      <c r="Z228" s="2830"/>
      <c r="AA228" s="2830"/>
      <c r="AB228" s="2830"/>
      <c r="AC228" s="2830"/>
      <c r="AD228" s="2830"/>
      <c r="AE228" s="2830"/>
      <c r="AF228" s="2830"/>
      <c r="AG228" s="2830"/>
      <c r="AH228" s="2831"/>
      <c r="AI228" s="2830"/>
      <c r="AJ228" s="2830"/>
      <c r="AK228" s="2830"/>
      <c r="AL228" s="2830"/>
      <c r="AM228" s="2830"/>
      <c r="AN228" s="2830"/>
      <c r="AO228" s="2830"/>
      <c r="AP228" s="2830"/>
      <c r="AQ228" s="2830"/>
      <c r="AR228" s="2820"/>
      <c r="AS228" s="2820"/>
      <c r="AT228" s="2820"/>
      <c r="AU228" s="2820"/>
      <c r="AV228" s="2766"/>
      <c r="AY228" s="2766"/>
    </row>
    <row r="229" spans="1:51">
      <c r="A229" s="2766"/>
      <c r="E229" s="2766"/>
      <c r="F229" s="2766"/>
      <c r="G229" s="2766"/>
      <c r="H229" s="2766"/>
      <c r="I229" s="2766"/>
      <c r="J229" s="2766"/>
      <c r="K229" s="2820"/>
      <c r="L229" s="2820"/>
      <c r="M229" s="2830"/>
      <c r="N229" s="2830"/>
      <c r="O229" s="2830"/>
      <c r="P229" s="2830"/>
      <c r="Q229" s="2830"/>
      <c r="R229" s="2830"/>
      <c r="S229" s="2830"/>
      <c r="T229" s="2830"/>
      <c r="U229" s="2830"/>
      <c r="V229" s="2830"/>
      <c r="W229" s="2830"/>
      <c r="X229" s="2830"/>
      <c r="Y229" s="2830"/>
      <c r="Z229" s="2830"/>
      <c r="AA229" s="2830"/>
      <c r="AB229" s="2830"/>
      <c r="AC229" s="2830"/>
      <c r="AD229" s="2830"/>
      <c r="AE229" s="2830"/>
      <c r="AF229" s="2830"/>
      <c r="AG229" s="2830"/>
      <c r="AH229" s="2831"/>
      <c r="AI229" s="2830"/>
      <c r="AJ229" s="2830"/>
      <c r="AK229" s="2830"/>
      <c r="AL229" s="2830"/>
      <c r="AM229" s="2830"/>
      <c r="AN229" s="2830"/>
      <c r="AO229" s="2830"/>
      <c r="AP229" s="2830"/>
      <c r="AQ229" s="2830"/>
      <c r="AR229" s="2820"/>
      <c r="AS229" s="2820"/>
      <c r="AT229" s="2820"/>
      <c r="AU229" s="2820"/>
      <c r="AV229" s="2766"/>
      <c r="AY229" s="2766"/>
    </row>
    <row r="230" spans="1:51">
      <c r="A230" s="2766"/>
      <c r="E230" s="2766"/>
      <c r="F230" s="2766"/>
      <c r="G230" s="2766"/>
      <c r="H230" s="2766"/>
      <c r="I230" s="2766"/>
      <c r="J230" s="2766"/>
      <c r="K230" s="2820"/>
      <c r="L230" s="2820"/>
      <c r="M230" s="2830"/>
      <c r="N230" s="2830"/>
      <c r="O230" s="2830"/>
      <c r="P230" s="2830"/>
      <c r="Q230" s="2830"/>
      <c r="R230" s="2830"/>
      <c r="S230" s="2830"/>
      <c r="T230" s="2830"/>
      <c r="U230" s="2830"/>
      <c r="V230" s="2830"/>
      <c r="W230" s="2830"/>
      <c r="X230" s="2830"/>
      <c r="Y230" s="2830"/>
      <c r="Z230" s="2830"/>
      <c r="AA230" s="2830"/>
      <c r="AB230" s="2830"/>
      <c r="AC230" s="2830"/>
      <c r="AD230" s="2830"/>
      <c r="AE230" s="2830"/>
      <c r="AF230" s="2830"/>
      <c r="AG230" s="2830"/>
      <c r="AH230" s="2831"/>
      <c r="AI230" s="2830"/>
      <c r="AJ230" s="2830"/>
      <c r="AK230" s="2830"/>
      <c r="AL230" s="2830"/>
      <c r="AM230" s="2830"/>
      <c r="AN230" s="2830"/>
      <c r="AO230" s="2830"/>
      <c r="AP230" s="2830"/>
      <c r="AQ230" s="2830"/>
      <c r="AR230" s="2820"/>
      <c r="AS230" s="2820"/>
      <c r="AT230" s="2820"/>
      <c r="AU230" s="2820"/>
      <c r="AV230" s="2766"/>
      <c r="AY230" s="2766"/>
    </row>
    <row r="231" spans="1:51">
      <c r="A231" s="2766"/>
      <c r="E231" s="2766"/>
      <c r="F231" s="2766"/>
      <c r="G231" s="2766"/>
      <c r="H231" s="2766"/>
      <c r="I231" s="2766"/>
      <c r="J231" s="2766"/>
      <c r="K231" s="2820"/>
      <c r="L231" s="2820"/>
      <c r="M231" s="2830"/>
      <c r="N231" s="2830"/>
      <c r="O231" s="2830"/>
      <c r="P231" s="2830"/>
      <c r="Q231" s="2830"/>
      <c r="R231" s="2830"/>
      <c r="S231" s="2830"/>
      <c r="T231" s="2830"/>
      <c r="U231" s="2830"/>
      <c r="V231" s="2830"/>
      <c r="W231" s="2830"/>
      <c r="X231" s="2830"/>
      <c r="Y231" s="2830"/>
      <c r="Z231" s="2830"/>
      <c r="AA231" s="2830"/>
      <c r="AB231" s="2830"/>
      <c r="AC231" s="2830"/>
      <c r="AD231" s="2830"/>
      <c r="AE231" s="2830"/>
      <c r="AF231" s="2830"/>
      <c r="AG231" s="2830"/>
      <c r="AH231" s="2831"/>
      <c r="AI231" s="2830"/>
      <c r="AJ231" s="2830"/>
      <c r="AK231" s="2830"/>
      <c r="AL231" s="2830"/>
      <c r="AM231" s="2830"/>
      <c r="AN231" s="2830"/>
      <c r="AO231" s="2830"/>
      <c r="AP231" s="2830"/>
      <c r="AQ231" s="2830"/>
      <c r="AR231" s="2820"/>
      <c r="AS231" s="2820"/>
      <c r="AT231" s="2820"/>
      <c r="AU231" s="2820"/>
      <c r="AV231" s="2766"/>
      <c r="AY231" s="2766"/>
    </row>
    <row r="232" spans="1:51">
      <c r="A232" s="2766"/>
      <c r="E232" s="2766"/>
      <c r="F232" s="2766"/>
      <c r="G232" s="2766"/>
      <c r="H232" s="2766"/>
      <c r="I232" s="2766"/>
      <c r="J232" s="2766"/>
      <c r="K232" s="2820"/>
      <c r="L232" s="2820"/>
      <c r="M232" s="2830"/>
      <c r="N232" s="2830"/>
      <c r="O232" s="2830"/>
      <c r="P232" s="2830"/>
      <c r="Q232" s="2830"/>
      <c r="R232" s="2830"/>
      <c r="S232" s="2830"/>
      <c r="T232" s="2830"/>
      <c r="U232" s="2830"/>
      <c r="V232" s="2830"/>
      <c r="W232" s="2830"/>
      <c r="X232" s="2830"/>
      <c r="Y232" s="2830"/>
      <c r="Z232" s="2830"/>
      <c r="AA232" s="2830"/>
      <c r="AB232" s="2830"/>
      <c r="AC232" s="2830"/>
      <c r="AD232" s="2830"/>
      <c r="AE232" s="2830"/>
      <c r="AF232" s="2830"/>
      <c r="AG232" s="2830"/>
      <c r="AH232" s="2831"/>
      <c r="AI232" s="2830"/>
      <c r="AJ232" s="2830"/>
      <c r="AK232" s="2830"/>
      <c r="AL232" s="2830"/>
      <c r="AM232" s="2830"/>
      <c r="AN232" s="2830"/>
      <c r="AO232" s="2830"/>
      <c r="AP232" s="2830"/>
      <c r="AQ232" s="2830"/>
      <c r="AR232" s="2820"/>
      <c r="AS232" s="2820"/>
      <c r="AT232" s="2820"/>
      <c r="AU232" s="2820"/>
      <c r="AV232" s="2766"/>
      <c r="AY232" s="2766"/>
    </row>
    <row r="233" spans="1:51">
      <c r="A233" s="2766"/>
      <c r="E233" s="2766"/>
      <c r="F233" s="2766"/>
      <c r="G233" s="2766"/>
      <c r="H233" s="2766"/>
      <c r="I233" s="2766"/>
      <c r="J233" s="2766"/>
      <c r="K233" s="2820"/>
      <c r="L233" s="2820"/>
      <c r="M233" s="2830"/>
      <c r="N233" s="2830"/>
      <c r="O233" s="2830"/>
      <c r="P233" s="2830"/>
      <c r="Q233" s="2830"/>
      <c r="R233" s="2830"/>
      <c r="S233" s="2830"/>
      <c r="T233" s="2830"/>
      <c r="U233" s="2830"/>
      <c r="V233" s="2830"/>
      <c r="W233" s="2830"/>
      <c r="X233" s="2830"/>
      <c r="Y233" s="2830"/>
      <c r="Z233" s="2830"/>
      <c r="AA233" s="2830"/>
      <c r="AB233" s="2830"/>
      <c r="AC233" s="2830"/>
      <c r="AD233" s="2830"/>
      <c r="AE233" s="2830"/>
      <c r="AF233" s="2830"/>
      <c r="AG233" s="2830"/>
      <c r="AH233" s="2831"/>
      <c r="AI233" s="2830"/>
      <c r="AJ233" s="2830"/>
      <c r="AK233" s="2830"/>
      <c r="AL233" s="2830"/>
      <c r="AM233" s="2830"/>
      <c r="AN233" s="2830"/>
      <c r="AO233" s="2830"/>
      <c r="AP233" s="2830"/>
      <c r="AQ233" s="2830"/>
      <c r="AR233" s="2820"/>
      <c r="AS233" s="2820"/>
      <c r="AT233" s="2820"/>
      <c r="AU233" s="2820"/>
      <c r="AV233" s="2766"/>
      <c r="AY233" s="2766"/>
    </row>
    <row r="234" spans="1:51">
      <c r="A234" s="2766"/>
      <c r="E234" s="2766"/>
      <c r="F234" s="2766"/>
      <c r="G234" s="2766"/>
      <c r="H234" s="2766"/>
      <c r="I234" s="2766"/>
      <c r="J234" s="2766"/>
      <c r="K234" s="2820"/>
      <c r="L234" s="2820"/>
      <c r="M234" s="2830"/>
      <c r="N234" s="2830"/>
      <c r="O234" s="2830"/>
      <c r="P234" s="2830"/>
      <c r="Q234" s="2830"/>
      <c r="R234" s="2830"/>
      <c r="S234" s="2830"/>
      <c r="T234" s="2830"/>
      <c r="U234" s="2830"/>
      <c r="V234" s="2830"/>
      <c r="W234" s="2830"/>
      <c r="X234" s="2830"/>
      <c r="Y234" s="2830"/>
      <c r="Z234" s="2830"/>
      <c r="AA234" s="2830"/>
      <c r="AB234" s="2830"/>
      <c r="AC234" s="2830"/>
      <c r="AD234" s="2830"/>
      <c r="AE234" s="2830"/>
      <c r="AF234" s="2830"/>
      <c r="AG234" s="2830"/>
      <c r="AH234" s="2831"/>
      <c r="AI234" s="2830"/>
      <c r="AJ234" s="2830"/>
      <c r="AK234" s="2830"/>
      <c r="AL234" s="2830"/>
      <c r="AM234" s="2830"/>
      <c r="AN234" s="2830"/>
      <c r="AO234" s="2830"/>
      <c r="AP234" s="2830"/>
      <c r="AQ234" s="2830"/>
      <c r="AR234" s="2820"/>
      <c r="AS234" s="2820"/>
      <c r="AT234" s="2820"/>
      <c r="AU234" s="2820"/>
      <c r="AV234" s="2766"/>
      <c r="AY234" s="2766"/>
    </row>
    <row r="235" spans="1:51">
      <c r="A235" s="2766"/>
      <c r="E235" s="2766"/>
      <c r="F235" s="2766"/>
      <c r="G235" s="2766"/>
      <c r="H235" s="2766"/>
      <c r="I235" s="2766"/>
      <c r="J235" s="2766"/>
      <c r="K235" s="2820"/>
      <c r="L235" s="2820"/>
      <c r="M235" s="2830"/>
      <c r="N235" s="2830"/>
      <c r="O235" s="2830"/>
      <c r="P235" s="2830"/>
      <c r="Q235" s="2830"/>
      <c r="R235" s="2830"/>
      <c r="S235" s="2830"/>
      <c r="T235" s="2830"/>
      <c r="U235" s="2830"/>
      <c r="V235" s="2830"/>
      <c r="W235" s="2830"/>
      <c r="X235" s="2830"/>
      <c r="Y235" s="2830"/>
      <c r="Z235" s="2830"/>
      <c r="AA235" s="2830"/>
      <c r="AB235" s="2830"/>
      <c r="AC235" s="2830"/>
      <c r="AD235" s="2830"/>
      <c r="AE235" s="2830"/>
      <c r="AF235" s="2830"/>
      <c r="AG235" s="2830"/>
      <c r="AH235" s="2831"/>
      <c r="AI235" s="2830"/>
      <c r="AJ235" s="2830"/>
      <c r="AK235" s="2830"/>
      <c r="AL235" s="2830"/>
      <c r="AM235" s="2830"/>
      <c r="AN235" s="2830"/>
      <c r="AO235" s="2830"/>
      <c r="AP235" s="2830"/>
      <c r="AQ235" s="2830"/>
      <c r="AR235" s="2820"/>
      <c r="AS235" s="2820"/>
      <c r="AT235" s="2820"/>
      <c r="AU235" s="2820"/>
      <c r="AV235" s="2766"/>
      <c r="AY235" s="2766"/>
    </row>
    <row r="236" spans="1:51">
      <c r="A236" s="2766"/>
      <c r="E236" s="2766"/>
      <c r="F236" s="2766"/>
      <c r="G236" s="2766"/>
      <c r="H236" s="2766"/>
      <c r="I236" s="2766"/>
      <c r="J236" s="2766"/>
      <c r="K236" s="2820"/>
      <c r="L236" s="2820"/>
      <c r="M236" s="2830"/>
      <c r="N236" s="2830"/>
      <c r="O236" s="2830"/>
      <c r="P236" s="2830"/>
      <c r="Q236" s="2830"/>
      <c r="R236" s="2830"/>
      <c r="S236" s="2830"/>
      <c r="T236" s="2830"/>
      <c r="U236" s="2830"/>
      <c r="V236" s="2830"/>
      <c r="W236" s="2830"/>
      <c r="X236" s="2830"/>
      <c r="Y236" s="2830"/>
      <c r="Z236" s="2830"/>
      <c r="AA236" s="2830"/>
      <c r="AB236" s="2830"/>
      <c r="AC236" s="2830"/>
      <c r="AD236" s="2830"/>
      <c r="AE236" s="2830"/>
      <c r="AF236" s="2830"/>
      <c r="AG236" s="2830"/>
      <c r="AH236" s="2831"/>
      <c r="AI236" s="2830"/>
      <c r="AJ236" s="2830"/>
      <c r="AK236" s="2830"/>
      <c r="AL236" s="2830"/>
      <c r="AM236" s="2830"/>
      <c r="AN236" s="2830"/>
      <c r="AO236" s="2830"/>
      <c r="AP236" s="2830"/>
      <c r="AQ236" s="2830"/>
      <c r="AR236" s="2820"/>
      <c r="AS236" s="2820"/>
      <c r="AT236" s="2820"/>
      <c r="AU236" s="2820"/>
      <c r="AV236" s="2766"/>
      <c r="AY236" s="2766"/>
    </row>
    <row r="237" spans="1:51">
      <c r="A237" s="2766"/>
      <c r="E237" s="2766"/>
      <c r="F237" s="2766"/>
      <c r="G237" s="2766"/>
      <c r="H237" s="2766"/>
      <c r="I237" s="2766"/>
      <c r="J237" s="2766"/>
      <c r="K237" s="2820"/>
      <c r="L237" s="2820"/>
      <c r="M237" s="2830"/>
      <c r="N237" s="2830"/>
      <c r="O237" s="2830"/>
      <c r="P237" s="2830"/>
      <c r="Q237" s="2830"/>
      <c r="R237" s="2830"/>
      <c r="S237" s="2830"/>
      <c r="T237" s="2830"/>
      <c r="U237" s="2830"/>
      <c r="V237" s="2830"/>
      <c r="W237" s="2830"/>
      <c r="X237" s="2830"/>
      <c r="Y237" s="2830"/>
      <c r="Z237" s="2830"/>
      <c r="AA237" s="2830"/>
      <c r="AB237" s="2830"/>
      <c r="AC237" s="2830"/>
      <c r="AD237" s="2830"/>
      <c r="AE237" s="2830"/>
      <c r="AF237" s="2830"/>
      <c r="AG237" s="2830"/>
      <c r="AH237" s="2831"/>
      <c r="AI237" s="2830"/>
      <c r="AJ237" s="2830"/>
      <c r="AK237" s="2830"/>
      <c r="AL237" s="2830"/>
      <c r="AM237" s="2830"/>
      <c r="AN237" s="2830"/>
      <c r="AO237" s="2830"/>
      <c r="AP237" s="2830"/>
      <c r="AQ237" s="2830"/>
      <c r="AR237" s="2820"/>
      <c r="AS237" s="2820"/>
      <c r="AT237" s="2820"/>
      <c r="AU237" s="2820"/>
      <c r="AV237" s="2766"/>
      <c r="AY237" s="2766"/>
    </row>
    <row r="238" spans="1:51">
      <c r="A238" s="2766"/>
      <c r="E238" s="2766"/>
      <c r="F238" s="2766"/>
      <c r="G238" s="2766"/>
      <c r="H238" s="2766"/>
      <c r="I238" s="2766"/>
      <c r="J238" s="2766"/>
      <c r="K238" s="2820"/>
      <c r="L238" s="2820"/>
      <c r="M238" s="2830"/>
      <c r="N238" s="2830"/>
      <c r="O238" s="2830"/>
      <c r="P238" s="2830"/>
      <c r="Q238" s="2830"/>
      <c r="R238" s="2830"/>
      <c r="S238" s="2830"/>
      <c r="T238" s="2830"/>
      <c r="U238" s="2830"/>
      <c r="V238" s="2830"/>
      <c r="W238" s="2830"/>
      <c r="X238" s="2830"/>
      <c r="Y238" s="2830"/>
      <c r="Z238" s="2830"/>
      <c r="AA238" s="2830"/>
      <c r="AB238" s="2830"/>
      <c r="AC238" s="2830"/>
      <c r="AD238" s="2830"/>
      <c r="AE238" s="2830"/>
      <c r="AF238" s="2830"/>
      <c r="AG238" s="2830"/>
      <c r="AH238" s="2831"/>
      <c r="AI238" s="2830"/>
      <c r="AJ238" s="2830"/>
      <c r="AK238" s="2830"/>
      <c r="AL238" s="2830"/>
      <c r="AM238" s="2830"/>
      <c r="AN238" s="2830"/>
      <c r="AO238" s="2830"/>
      <c r="AP238" s="2830"/>
      <c r="AQ238" s="2830"/>
      <c r="AR238" s="2820"/>
      <c r="AS238" s="2820"/>
      <c r="AT238" s="2820"/>
      <c r="AU238" s="2820"/>
      <c r="AV238" s="2766"/>
      <c r="AY238" s="2766"/>
    </row>
    <row r="239" spans="1:51">
      <c r="A239" s="2766"/>
      <c r="E239" s="2766"/>
      <c r="F239" s="2766"/>
      <c r="G239" s="2766"/>
      <c r="H239" s="2766"/>
      <c r="I239" s="2766"/>
      <c r="J239" s="2766"/>
      <c r="K239" s="2820"/>
      <c r="L239" s="2820"/>
      <c r="M239" s="2830"/>
      <c r="N239" s="2830"/>
      <c r="O239" s="2830"/>
      <c r="P239" s="2830"/>
      <c r="Q239" s="2830"/>
      <c r="R239" s="2830"/>
      <c r="S239" s="2830"/>
      <c r="T239" s="2830"/>
      <c r="U239" s="2830"/>
      <c r="V239" s="2830"/>
      <c r="W239" s="2830"/>
      <c r="X239" s="2830"/>
      <c r="Y239" s="2830"/>
      <c r="Z239" s="2830"/>
      <c r="AA239" s="2830"/>
      <c r="AB239" s="2830"/>
      <c r="AC239" s="2830"/>
      <c r="AD239" s="2830"/>
      <c r="AE239" s="2830"/>
      <c r="AF239" s="2830"/>
      <c r="AG239" s="2830"/>
      <c r="AH239" s="2831"/>
      <c r="AI239" s="2830"/>
      <c r="AJ239" s="2830"/>
      <c r="AK239" s="2830"/>
      <c r="AL239" s="2830"/>
      <c r="AM239" s="2830"/>
      <c r="AN239" s="2830"/>
      <c r="AO239" s="2830"/>
      <c r="AP239" s="2830"/>
      <c r="AQ239" s="2830"/>
      <c r="AR239" s="2820"/>
      <c r="AS239" s="2820"/>
      <c r="AT239" s="2820"/>
      <c r="AU239" s="2820"/>
      <c r="AV239" s="2766"/>
      <c r="AY239" s="2766"/>
    </row>
    <row r="240" spans="1:51">
      <c r="A240" s="2766"/>
      <c r="E240" s="2766"/>
      <c r="F240" s="2766"/>
      <c r="G240" s="2766"/>
      <c r="H240" s="2766"/>
      <c r="I240" s="2766"/>
      <c r="J240" s="2766"/>
      <c r="K240" s="2820"/>
      <c r="L240" s="2820"/>
      <c r="M240" s="2830"/>
      <c r="N240" s="2830"/>
      <c r="O240" s="2830"/>
      <c r="P240" s="2830"/>
      <c r="Q240" s="2830"/>
      <c r="R240" s="2830"/>
      <c r="S240" s="2830"/>
      <c r="T240" s="2830"/>
      <c r="U240" s="2830"/>
      <c r="V240" s="2830"/>
      <c r="W240" s="2830"/>
      <c r="X240" s="2830"/>
      <c r="Y240" s="2830"/>
      <c r="Z240" s="2830"/>
      <c r="AA240" s="2830"/>
      <c r="AB240" s="2830"/>
      <c r="AC240" s="2830"/>
      <c r="AD240" s="2830"/>
      <c r="AE240" s="2830"/>
      <c r="AF240" s="2830"/>
      <c r="AG240" s="2830"/>
      <c r="AH240" s="2831"/>
      <c r="AI240" s="2830"/>
      <c r="AJ240" s="2830"/>
      <c r="AK240" s="2830"/>
      <c r="AL240" s="2830"/>
      <c r="AM240" s="2830"/>
      <c r="AN240" s="2830"/>
      <c r="AO240" s="2830"/>
      <c r="AP240" s="2830"/>
      <c r="AQ240" s="2830"/>
      <c r="AR240" s="2820"/>
      <c r="AS240" s="2820"/>
      <c r="AT240" s="2820"/>
      <c r="AU240" s="2820"/>
      <c r="AV240" s="2766"/>
      <c r="AY240" s="2766"/>
    </row>
    <row r="241" spans="1:51">
      <c r="A241" s="2766"/>
      <c r="E241" s="2766"/>
      <c r="F241" s="2766"/>
      <c r="G241" s="2766"/>
      <c r="H241" s="2766"/>
      <c r="I241" s="2766"/>
      <c r="J241" s="2766"/>
      <c r="K241" s="2820"/>
      <c r="L241" s="2820"/>
      <c r="M241" s="2830"/>
      <c r="N241" s="2830"/>
      <c r="O241" s="2830"/>
      <c r="P241" s="2830"/>
      <c r="Q241" s="2830"/>
      <c r="R241" s="2830"/>
      <c r="S241" s="2830"/>
      <c r="T241" s="2830"/>
      <c r="U241" s="2830"/>
      <c r="V241" s="2830"/>
      <c r="W241" s="2830"/>
      <c r="X241" s="2830"/>
      <c r="Y241" s="2830"/>
      <c r="Z241" s="2830"/>
      <c r="AA241" s="2830"/>
      <c r="AB241" s="2830"/>
      <c r="AC241" s="2830"/>
      <c r="AD241" s="2830"/>
      <c r="AE241" s="2830"/>
      <c r="AF241" s="2830"/>
      <c r="AG241" s="2830"/>
      <c r="AH241" s="2831"/>
      <c r="AI241" s="2830"/>
      <c r="AJ241" s="2830"/>
      <c r="AK241" s="2830"/>
      <c r="AL241" s="2830"/>
      <c r="AM241" s="2830"/>
      <c r="AN241" s="2830"/>
      <c r="AO241" s="2830"/>
      <c r="AP241" s="2830"/>
      <c r="AQ241" s="2830"/>
      <c r="AR241" s="2820"/>
      <c r="AS241" s="2820"/>
      <c r="AT241" s="2820"/>
      <c r="AU241" s="2820"/>
      <c r="AV241" s="2766"/>
      <c r="AY241" s="2766"/>
    </row>
    <row r="242" spans="1:51">
      <c r="A242" s="2766"/>
      <c r="E242" s="2766"/>
      <c r="F242" s="2766"/>
      <c r="G242" s="2766"/>
      <c r="H242" s="2766"/>
      <c r="I242" s="2766"/>
      <c r="J242" s="2766"/>
      <c r="K242" s="2820"/>
      <c r="L242" s="2820"/>
      <c r="M242" s="2830"/>
      <c r="N242" s="2830"/>
      <c r="O242" s="2830"/>
      <c r="P242" s="2830"/>
      <c r="Q242" s="2830"/>
      <c r="R242" s="2830"/>
      <c r="S242" s="2830"/>
      <c r="T242" s="2830"/>
      <c r="U242" s="2830"/>
      <c r="V242" s="2830"/>
      <c r="W242" s="2830"/>
      <c r="X242" s="2830"/>
      <c r="Y242" s="2830"/>
      <c r="Z242" s="2830"/>
      <c r="AA242" s="2830"/>
      <c r="AB242" s="2830"/>
      <c r="AC242" s="2830"/>
      <c r="AD242" s="2830"/>
      <c r="AE242" s="2830"/>
      <c r="AF242" s="2830"/>
      <c r="AG242" s="2830"/>
      <c r="AH242" s="2831"/>
      <c r="AI242" s="2830"/>
      <c r="AJ242" s="2830"/>
      <c r="AK242" s="2830"/>
      <c r="AL242" s="2830"/>
      <c r="AM242" s="2830"/>
      <c r="AN242" s="2830"/>
      <c r="AO242" s="2830"/>
      <c r="AP242" s="2830"/>
      <c r="AQ242" s="2830"/>
      <c r="AR242" s="2820"/>
      <c r="AS242" s="2820"/>
      <c r="AT242" s="2820"/>
      <c r="AU242" s="2820"/>
      <c r="AV242" s="2766"/>
      <c r="AY242" s="2766"/>
    </row>
    <row r="243" spans="1:51">
      <c r="A243" s="2766"/>
      <c r="E243" s="2766"/>
      <c r="F243" s="2766"/>
      <c r="G243" s="2766"/>
      <c r="H243" s="2766"/>
      <c r="I243" s="2766"/>
      <c r="J243" s="2766"/>
      <c r="K243" s="2820"/>
      <c r="L243" s="2820"/>
      <c r="M243" s="2830"/>
      <c r="N243" s="2830"/>
      <c r="O243" s="2830"/>
      <c r="P243" s="2830"/>
      <c r="Q243" s="2830"/>
      <c r="R243" s="2830"/>
      <c r="S243" s="2830"/>
      <c r="T243" s="2830"/>
      <c r="U243" s="2830"/>
      <c r="V243" s="2830"/>
      <c r="W243" s="2830"/>
      <c r="X243" s="2830"/>
      <c r="Y243" s="2830"/>
      <c r="Z243" s="2830"/>
      <c r="AA243" s="2830"/>
      <c r="AB243" s="2830"/>
      <c r="AC243" s="2830"/>
      <c r="AD243" s="2830"/>
      <c r="AE243" s="2830"/>
      <c r="AF243" s="2830"/>
      <c r="AG243" s="2830"/>
      <c r="AH243" s="2831"/>
      <c r="AI243" s="2830"/>
      <c r="AJ243" s="2830"/>
      <c r="AK243" s="2830"/>
      <c r="AL243" s="2830"/>
      <c r="AM243" s="2830"/>
      <c r="AN243" s="2830"/>
      <c r="AO243" s="2830"/>
      <c r="AP243" s="2830"/>
      <c r="AQ243" s="2830"/>
      <c r="AR243" s="2820"/>
      <c r="AS243" s="2820"/>
      <c r="AT243" s="2820"/>
      <c r="AU243" s="2820"/>
      <c r="AV243" s="2766"/>
      <c r="AY243" s="2766"/>
    </row>
    <row r="244" spans="1:51">
      <c r="A244" s="2766"/>
      <c r="E244" s="2766"/>
      <c r="F244" s="2766"/>
      <c r="G244" s="2766"/>
      <c r="H244" s="2766"/>
      <c r="I244" s="2766"/>
      <c r="J244" s="2766"/>
      <c r="K244" s="2820"/>
      <c r="L244" s="2820"/>
      <c r="M244" s="2830"/>
      <c r="N244" s="2830"/>
      <c r="O244" s="2830"/>
      <c r="P244" s="2830"/>
      <c r="Q244" s="2830"/>
      <c r="R244" s="2830"/>
      <c r="S244" s="2830"/>
      <c r="T244" s="2830"/>
      <c r="U244" s="2830"/>
      <c r="V244" s="2830"/>
      <c r="W244" s="2830"/>
      <c r="X244" s="2830"/>
      <c r="Y244" s="2830"/>
      <c r="Z244" s="2830"/>
      <c r="AA244" s="2830"/>
      <c r="AB244" s="2830"/>
      <c r="AC244" s="2830"/>
      <c r="AD244" s="2830"/>
      <c r="AE244" s="2830"/>
      <c r="AF244" s="2830"/>
      <c r="AG244" s="2830"/>
      <c r="AH244" s="2831"/>
      <c r="AI244" s="2830"/>
      <c r="AJ244" s="2830"/>
      <c r="AK244" s="2830"/>
      <c r="AL244" s="2830"/>
      <c r="AM244" s="2830"/>
      <c r="AN244" s="2830"/>
      <c r="AO244" s="2830"/>
      <c r="AP244" s="2830"/>
      <c r="AQ244" s="2830"/>
      <c r="AR244" s="2820"/>
      <c r="AS244" s="2820"/>
      <c r="AT244" s="2820"/>
      <c r="AU244" s="2820"/>
      <c r="AV244" s="2766"/>
      <c r="AY244" s="2766"/>
    </row>
    <row r="245" spans="1:51">
      <c r="A245" s="2766"/>
      <c r="E245" s="2766"/>
      <c r="F245" s="2766"/>
      <c r="G245" s="2766"/>
      <c r="H245" s="2766"/>
      <c r="I245" s="2766"/>
      <c r="J245" s="2766"/>
      <c r="K245" s="2820"/>
      <c r="L245" s="2820"/>
      <c r="M245" s="2830"/>
      <c r="N245" s="2830"/>
      <c r="O245" s="2830"/>
      <c r="P245" s="2830"/>
      <c r="Q245" s="2830"/>
      <c r="R245" s="2830"/>
      <c r="S245" s="2830"/>
      <c r="T245" s="2830"/>
      <c r="U245" s="2830"/>
      <c r="V245" s="2830"/>
      <c r="W245" s="2830"/>
      <c r="X245" s="2830"/>
      <c r="Y245" s="2830"/>
      <c r="Z245" s="2830"/>
      <c r="AA245" s="2830"/>
      <c r="AB245" s="2830"/>
      <c r="AC245" s="2830"/>
      <c r="AD245" s="2830"/>
      <c r="AE245" s="2830"/>
      <c r="AF245" s="2830"/>
      <c r="AG245" s="2830"/>
      <c r="AH245" s="2831"/>
      <c r="AI245" s="2830"/>
      <c r="AJ245" s="2830"/>
      <c r="AK245" s="2830"/>
      <c r="AL245" s="2830"/>
      <c r="AM245" s="2830"/>
      <c r="AN245" s="2830"/>
      <c r="AO245" s="2830"/>
      <c r="AP245" s="2830"/>
      <c r="AQ245" s="2830"/>
      <c r="AR245" s="2820"/>
      <c r="AS245" s="2820"/>
      <c r="AT245" s="2820"/>
      <c r="AU245" s="2820"/>
      <c r="AV245" s="2766"/>
      <c r="AY245" s="2766"/>
    </row>
    <row r="246" spans="1:51">
      <c r="A246" s="2766"/>
      <c r="E246" s="2766"/>
      <c r="F246" s="2766"/>
      <c r="G246" s="2766"/>
      <c r="H246" s="2766"/>
      <c r="I246" s="2766"/>
      <c r="J246" s="2766"/>
      <c r="K246" s="2820"/>
      <c r="L246" s="2820"/>
      <c r="M246" s="2830"/>
      <c r="N246" s="2830"/>
      <c r="O246" s="2830"/>
      <c r="P246" s="2830"/>
      <c r="Q246" s="2830"/>
      <c r="R246" s="2830"/>
      <c r="S246" s="2830"/>
      <c r="T246" s="2830"/>
      <c r="U246" s="2830"/>
      <c r="V246" s="2830"/>
      <c r="W246" s="2830"/>
      <c r="X246" s="2830"/>
      <c r="Y246" s="2830"/>
      <c r="Z246" s="2830"/>
      <c r="AA246" s="2830"/>
      <c r="AB246" s="2830"/>
      <c r="AC246" s="2830"/>
      <c r="AD246" s="2830"/>
      <c r="AE246" s="2830"/>
      <c r="AF246" s="2830"/>
      <c r="AG246" s="2830"/>
      <c r="AH246" s="2831"/>
      <c r="AI246" s="2830"/>
      <c r="AJ246" s="2830"/>
      <c r="AK246" s="2830"/>
      <c r="AL246" s="2830"/>
      <c r="AM246" s="2830"/>
      <c r="AN246" s="2830"/>
      <c r="AO246" s="2830"/>
      <c r="AP246" s="2830"/>
      <c r="AQ246" s="2830"/>
      <c r="AR246" s="2820"/>
      <c r="AS246" s="2820"/>
      <c r="AT246" s="2820"/>
      <c r="AU246" s="2820"/>
      <c r="AV246" s="2766"/>
      <c r="AY246" s="2766"/>
    </row>
    <row r="247" spans="1:51">
      <c r="A247" s="2766"/>
      <c r="E247" s="2766"/>
      <c r="F247" s="2766"/>
      <c r="G247" s="2766"/>
      <c r="H247" s="2766"/>
      <c r="I247" s="2766"/>
      <c r="J247" s="2766"/>
      <c r="K247" s="2820"/>
      <c r="L247" s="2820"/>
      <c r="M247" s="2830"/>
      <c r="N247" s="2830"/>
      <c r="O247" s="2830"/>
      <c r="P247" s="2830"/>
      <c r="Q247" s="2830"/>
      <c r="R247" s="2830"/>
      <c r="S247" s="2830"/>
      <c r="T247" s="2830"/>
      <c r="U247" s="2830"/>
      <c r="V247" s="2830"/>
      <c r="W247" s="2830"/>
      <c r="X247" s="2830"/>
      <c r="Y247" s="2830"/>
      <c r="Z247" s="2830"/>
      <c r="AA247" s="2830"/>
      <c r="AB247" s="2830"/>
      <c r="AC247" s="2830"/>
      <c r="AD247" s="2830"/>
      <c r="AE247" s="2830"/>
      <c r="AF247" s="2830"/>
      <c r="AG247" s="2830"/>
      <c r="AH247" s="2831"/>
      <c r="AI247" s="2830"/>
      <c r="AJ247" s="2830"/>
      <c r="AK247" s="2830"/>
      <c r="AL247" s="2830"/>
      <c r="AM247" s="2830"/>
      <c r="AN247" s="2830"/>
      <c r="AO247" s="2830"/>
      <c r="AP247" s="2830"/>
      <c r="AQ247" s="2830"/>
      <c r="AR247" s="2820"/>
      <c r="AS247" s="2820"/>
      <c r="AT247" s="2820"/>
      <c r="AU247" s="2820"/>
      <c r="AV247" s="2766"/>
      <c r="AY247" s="2766"/>
    </row>
    <row r="248" spans="1:51">
      <c r="A248" s="2766"/>
      <c r="E248" s="2766"/>
      <c r="F248" s="2766"/>
      <c r="G248" s="2766"/>
      <c r="H248" s="2766"/>
      <c r="I248" s="2766"/>
      <c r="J248" s="2766"/>
      <c r="K248" s="2820"/>
      <c r="L248" s="2820"/>
      <c r="M248" s="2830"/>
      <c r="N248" s="2830"/>
      <c r="O248" s="2830"/>
      <c r="P248" s="2830"/>
      <c r="Q248" s="2830"/>
      <c r="R248" s="2830"/>
      <c r="S248" s="2830"/>
      <c r="T248" s="2830"/>
      <c r="U248" s="2830"/>
      <c r="V248" s="2830"/>
      <c r="W248" s="2830"/>
      <c r="X248" s="2830"/>
      <c r="Y248" s="2830"/>
      <c r="Z248" s="2830"/>
      <c r="AA248" s="2830"/>
      <c r="AB248" s="2830"/>
      <c r="AC248" s="2830"/>
      <c r="AD248" s="2830"/>
      <c r="AE248" s="2830"/>
      <c r="AF248" s="2830"/>
      <c r="AG248" s="2830"/>
      <c r="AH248" s="2831"/>
      <c r="AI248" s="2830"/>
      <c r="AJ248" s="2830"/>
      <c r="AK248" s="2830"/>
      <c r="AL248" s="2830"/>
      <c r="AM248" s="2830"/>
      <c r="AN248" s="2830"/>
      <c r="AO248" s="2830"/>
      <c r="AP248" s="2830"/>
      <c r="AQ248" s="2830"/>
      <c r="AR248" s="2820"/>
      <c r="AS248" s="2820"/>
      <c r="AT248" s="2820"/>
      <c r="AU248" s="2820"/>
      <c r="AV248" s="2766"/>
      <c r="AY248" s="2766"/>
    </row>
    <row r="249" spans="1:51">
      <c r="A249" s="2766"/>
      <c r="E249" s="2766"/>
      <c r="F249" s="2766"/>
      <c r="G249" s="2766"/>
      <c r="H249" s="2766"/>
      <c r="I249" s="2766"/>
      <c r="J249" s="2766"/>
      <c r="K249" s="2820"/>
      <c r="L249" s="2820"/>
      <c r="M249" s="2830"/>
      <c r="N249" s="2830"/>
      <c r="O249" s="2830"/>
      <c r="P249" s="2830"/>
      <c r="Q249" s="2830"/>
      <c r="R249" s="2830"/>
      <c r="S249" s="2830"/>
      <c r="T249" s="2830"/>
      <c r="U249" s="2830"/>
      <c r="V249" s="2830"/>
      <c r="W249" s="2830"/>
      <c r="X249" s="2830"/>
      <c r="Y249" s="2830"/>
      <c r="Z249" s="2830"/>
      <c r="AA249" s="2830"/>
      <c r="AB249" s="2830"/>
      <c r="AC249" s="2830"/>
      <c r="AD249" s="2830"/>
      <c r="AE249" s="2830"/>
      <c r="AF249" s="2830"/>
      <c r="AG249" s="2830"/>
      <c r="AH249" s="2831"/>
      <c r="AI249" s="2830"/>
      <c r="AJ249" s="2830"/>
      <c r="AK249" s="2830"/>
      <c r="AL249" s="2830"/>
      <c r="AM249" s="2830"/>
      <c r="AN249" s="2830"/>
      <c r="AO249" s="2830"/>
      <c r="AP249" s="2830"/>
      <c r="AQ249" s="2830"/>
      <c r="AR249" s="2820"/>
      <c r="AS249" s="2820"/>
      <c r="AT249" s="2820"/>
      <c r="AU249" s="2820"/>
      <c r="AV249" s="2766"/>
      <c r="AY249" s="2766"/>
    </row>
    <row r="250" spans="1:51">
      <c r="A250" s="2766"/>
      <c r="E250" s="2766"/>
      <c r="F250" s="2766"/>
      <c r="G250" s="2766"/>
      <c r="H250" s="2766"/>
      <c r="I250" s="2766"/>
      <c r="J250" s="2766"/>
      <c r="K250" s="2820"/>
      <c r="L250" s="2820"/>
      <c r="M250" s="2830"/>
      <c r="N250" s="2830"/>
      <c r="O250" s="2830"/>
      <c r="P250" s="2830"/>
      <c r="Q250" s="2830"/>
      <c r="R250" s="2830"/>
      <c r="S250" s="2830"/>
      <c r="T250" s="2830"/>
      <c r="U250" s="2830"/>
      <c r="V250" s="2830"/>
      <c r="W250" s="2830"/>
      <c r="X250" s="2830"/>
      <c r="Y250" s="2830"/>
      <c r="Z250" s="2830"/>
      <c r="AA250" s="2830"/>
      <c r="AB250" s="2830"/>
      <c r="AC250" s="2830"/>
      <c r="AD250" s="2830"/>
      <c r="AE250" s="2830"/>
      <c r="AF250" s="2830"/>
      <c r="AG250" s="2830"/>
      <c r="AH250" s="2831"/>
      <c r="AI250" s="2830"/>
      <c r="AJ250" s="2830"/>
      <c r="AK250" s="2830"/>
      <c r="AL250" s="2830"/>
      <c r="AM250" s="2830"/>
      <c r="AN250" s="2830"/>
      <c r="AO250" s="2830"/>
      <c r="AP250" s="2830"/>
      <c r="AQ250" s="2830"/>
      <c r="AR250" s="2820"/>
      <c r="AS250" s="2820"/>
      <c r="AT250" s="2820"/>
      <c r="AU250" s="2820"/>
      <c r="AV250" s="2766"/>
      <c r="AY250" s="2766"/>
    </row>
    <row r="251" spans="1:51">
      <c r="A251" s="2766"/>
      <c r="E251" s="2766"/>
      <c r="F251" s="2766"/>
      <c r="G251" s="2766"/>
      <c r="H251" s="2766"/>
      <c r="I251" s="2766"/>
      <c r="J251" s="2766"/>
      <c r="K251" s="2820"/>
      <c r="L251" s="2820"/>
      <c r="M251" s="2830"/>
      <c r="N251" s="2830"/>
      <c r="O251" s="2830"/>
      <c r="P251" s="2830"/>
      <c r="Q251" s="2830"/>
      <c r="R251" s="2830"/>
      <c r="S251" s="2830"/>
      <c r="T251" s="2830"/>
      <c r="U251" s="2830"/>
      <c r="V251" s="2830"/>
      <c r="W251" s="2830"/>
      <c r="X251" s="2830"/>
      <c r="Y251" s="2830"/>
      <c r="Z251" s="2830"/>
      <c r="AA251" s="2830"/>
      <c r="AB251" s="2830"/>
      <c r="AC251" s="2830"/>
      <c r="AD251" s="2830"/>
      <c r="AE251" s="2830"/>
      <c r="AF251" s="2830"/>
      <c r="AG251" s="2830"/>
      <c r="AH251" s="2831"/>
      <c r="AI251" s="2830"/>
      <c r="AJ251" s="2830"/>
      <c r="AK251" s="2830"/>
      <c r="AL251" s="2830"/>
      <c r="AM251" s="2830"/>
      <c r="AN251" s="2830"/>
      <c r="AO251" s="2830"/>
      <c r="AP251" s="2830"/>
      <c r="AQ251" s="2830"/>
      <c r="AR251" s="2820"/>
      <c r="AS251" s="2820"/>
      <c r="AT251" s="2820"/>
      <c r="AU251" s="2820"/>
      <c r="AV251" s="2766"/>
      <c r="AY251" s="2766"/>
    </row>
    <row r="252" spans="1:51">
      <c r="A252" s="2766"/>
      <c r="E252" s="2766"/>
      <c r="F252" s="2766"/>
      <c r="G252" s="2766"/>
      <c r="H252" s="2766"/>
      <c r="I252" s="2766"/>
      <c r="J252" s="2766"/>
      <c r="K252" s="2820"/>
      <c r="L252" s="2820"/>
      <c r="M252" s="2830"/>
      <c r="N252" s="2830"/>
      <c r="O252" s="2830"/>
      <c r="P252" s="2830"/>
      <c r="Q252" s="2830"/>
      <c r="R252" s="2830"/>
      <c r="S252" s="2830"/>
      <c r="T252" s="2830"/>
      <c r="U252" s="2830"/>
      <c r="V252" s="2830"/>
      <c r="W252" s="2830"/>
      <c r="X252" s="2830"/>
      <c r="Y252" s="2830"/>
      <c r="Z252" s="2830"/>
      <c r="AA252" s="2830"/>
      <c r="AB252" s="2830"/>
      <c r="AC252" s="2830"/>
      <c r="AD252" s="2830"/>
      <c r="AE252" s="2830"/>
      <c r="AF252" s="2830"/>
      <c r="AG252" s="2830"/>
      <c r="AH252" s="2831"/>
      <c r="AI252" s="2830"/>
      <c r="AJ252" s="2830"/>
      <c r="AK252" s="2830"/>
      <c r="AL252" s="2830"/>
      <c r="AM252" s="2830"/>
      <c r="AN252" s="2830"/>
      <c r="AO252" s="2830"/>
      <c r="AP252" s="2830"/>
      <c r="AQ252" s="2830"/>
      <c r="AR252" s="2820"/>
      <c r="AS252" s="2820"/>
      <c r="AT252" s="2820"/>
      <c r="AU252" s="2820"/>
      <c r="AV252" s="2766"/>
      <c r="AY252" s="2766"/>
    </row>
    <row r="253" spans="1:51">
      <c r="A253" s="2766"/>
      <c r="E253" s="2766"/>
      <c r="F253" s="2766"/>
      <c r="G253" s="2766"/>
      <c r="H253" s="2766"/>
      <c r="I253" s="2766"/>
      <c r="J253" s="2766"/>
      <c r="K253" s="2820"/>
      <c r="L253" s="2820"/>
      <c r="M253" s="2830"/>
      <c r="N253" s="2830"/>
      <c r="O253" s="2830"/>
      <c r="P253" s="2830"/>
      <c r="Q253" s="2830"/>
      <c r="R253" s="2830"/>
      <c r="S253" s="2830"/>
      <c r="T253" s="2830"/>
      <c r="U253" s="2830"/>
      <c r="V253" s="2830"/>
      <c r="W253" s="2830"/>
      <c r="X253" s="2830"/>
      <c r="Y253" s="2830"/>
      <c r="Z253" s="2830"/>
      <c r="AA253" s="2830"/>
      <c r="AB253" s="2830"/>
      <c r="AC253" s="2830"/>
      <c r="AD253" s="2830"/>
      <c r="AE253" s="2830"/>
      <c r="AF253" s="2830"/>
      <c r="AG253" s="2830"/>
      <c r="AH253" s="2831"/>
      <c r="AI253" s="2830"/>
      <c r="AJ253" s="2830"/>
      <c r="AK253" s="2830"/>
      <c r="AL253" s="2830"/>
      <c r="AM253" s="2830"/>
      <c r="AN253" s="2830"/>
      <c r="AO253" s="2830"/>
      <c r="AP253" s="2830"/>
      <c r="AQ253" s="2830"/>
      <c r="AR253" s="2820"/>
      <c r="AS253" s="2820"/>
      <c r="AT253" s="2820"/>
      <c r="AU253" s="2820"/>
      <c r="AV253" s="2766"/>
      <c r="AY253" s="2766"/>
    </row>
    <row r="254" spans="1:51">
      <c r="A254" s="2766"/>
      <c r="E254" s="2766"/>
      <c r="F254" s="2766"/>
      <c r="G254" s="2766"/>
      <c r="H254" s="2766"/>
      <c r="I254" s="2766"/>
      <c r="J254" s="2766"/>
      <c r="K254" s="2820"/>
      <c r="L254" s="2820"/>
      <c r="M254" s="2830"/>
      <c r="N254" s="2830"/>
      <c r="O254" s="2830"/>
      <c r="P254" s="2830"/>
      <c r="Q254" s="2830"/>
      <c r="R254" s="2830"/>
      <c r="S254" s="2830"/>
      <c r="T254" s="2830"/>
      <c r="U254" s="2830"/>
      <c r="V254" s="2830"/>
      <c r="W254" s="2830"/>
      <c r="X254" s="2830"/>
      <c r="Y254" s="2830"/>
      <c r="Z254" s="2830"/>
      <c r="AA254" s="2830"/>
      <c r="AB254" s="2830"/>
      <c r="AC254" s="2830"/>
      <c r="AD254" s="2830"/>
      <c r="AE254" s="2830"/>
      <c r="AF254" s="2830"/>
      <c r="AG254" s="2830"/>
      <c r="AH254" s="2831"/>
      <c r="AI254" s="2830"/>
      <c r="AJ254" s="2830"/>
      <c r="AK254" s="2830"/>
      <c r="AL254" s="2830"/>
      <c r="AM254" s="2830"/>
      <c r="AN254" s="2830"/>
      <c r="AO254" s="2830"/>
      <c r="AP254" s="2830"/>
      <c r="AQ254" s="2830"/>
      <c r="AR254" s="2820"/>
      <c r="AS254" s="2820"/>
      <c r="AT254" s="2820"/>
      <c r="AU254" s="2820"/>
      <c r="AV254" s="2766"/>
      <c r="AY254" s="2766"/>
    </row>
    <row r="255" spans="1:51">
      <c r="A255" s="2766"/>
      <c r="E255" s="2766"/>
      <c r="F255" s="2766"/>
      <c r="G255" s="2766"/>
      <c r="H255" s="2766"/>
      <c r="I255" s="2766"/>
      <c r="J255" s="2766"/>
      <c r="K255" s="2820"/>
      <c r="L255" s="2820"/>
      <c r="M255" s="2830"/>
      <c r="N255" s="2830"/>
      <c r="O255" s="2830"/>
      <c r="P255" s="2830"/>
      <c r="Q255" s="2830"/>
      <c r="R255" s="2830"/>
      <c r="S255" s="2830"/>
      <c r="T255" s="2830"/>
      <c r="U255" s="2830"/>
      <c r="V255" s="2830"/>
      <c r="W255" s="2830"/>
      <c r="X255" s="2830"/>
      <c r="Y255" s="2830"/>
      <c r="Z255" s="2830"/>
      <c r="AA255" s="2830"/>
      <c r="AB255" s="2830"/>
      <c r="AC255" s="2830"/>
      <c r="AD255" s="2830"/>
      <c r="AE255" s="2830"/>
      <c r="AF255" s="2830"/>
      <c r="AG255" s="2830"/>
      <c r="AH255" s="2831"/>
      <c r="AI255" s="2830"/>
      <c r="AJ255" s="2830"/>
      <c r="AK255" s="2830"/>
      <c r="AL255" s="2830"/>
      <c r="AM255" s="2830"/>
      <c r="AN255" s="2830"/>
      <c r="AO255" s="2830"/>
      <c r="AP255" s="2830"/>
      <c r="AQ255" s="2830"/>
      <c r="AR255" s="2820"/>
      <c r="AS255" s="2820"/>
      <c r="AT255" s="2820"/>
      <c r="AU255" s="2820"/>
      <c r="AV255" s="2766"/>
      <c r="AY255" s="2766"/>
    </row>
    <row r="256" spans="1:51">
      <c r="A256" s="2766"/>
      <c r="E256" s="2766"/>
      <c r="F256" s="2766"/>
      <c r="G256" s="2766"/>
      <c r="H256" s="2766"/>
      <c r="I256" s="2766"/>
      <c r="J256" s="2766"/>
      <c r="K256" s="2820"/>
      <c r="L256" s="2820"/>
      <c r="M256" s="2830"/>
      <c r="N256" s="2830"/>
      <c r="O256" s="2830"/>
      <c r="P256" s="2830"/>
      <c r="Q256" s="2830"/>
      <c r="R256" s="2830"/>
      <c r="S256" s="2830"/>
      <c r="T256" s="2830"/>
      <c r="U256" s="2830"/>
      <c r="V256" s="2830"/>
      <c r="W256" s="2830"/>
      <c r="X256" s="2830"/>
      <c r="Y256" s="2830"/>
      <c r="Z256" s="2830"/>
      <c r="AA256" s="2830"/>
      <c r="AB256" s="2830"/>
      <c r="AC256" s="2830"/>
      <c r="AD256" s="2830"/>
      <c r="AE256" s="2830"/>
      <c r="AF256" s="2830"/>
      <c r="AG256" s="2830"/>
      <c r="AH256" s="2831"/>
      <c r="AI256" s="2830"/>
      <c r="AJ256" s="2830"/>
      <c r="AK256" s="2830"/>
      <c r="AL256" s="2830"/>
      <c r="AM256" s="2830"/>
      <c r="AN256" s="2830"/>
      <c r="AO256" s="2830"/>
      <c r="AP256" s="2830"/>
      <c r="AQ256" s="2830"/>
      <c r="AR256" s="2820"/>
      <c r="AS256" s="2820"/>
      <c r="AT256" s="2820"/>
      <c r="AU256" s="2820"/>
      <c r="AV256" s="2766"/>
      <c r="AY256" s="2766"/>
    </row>
    <row r="257" spans="1:51">
      <c r="A257" s="2766"/>
      <c r="E257" s="2766"/>
      <c r="F257" s="2766"/>
      <c r="G257" s="2766"/>
      <c r="H257" s="2766"/>
      <c r="I257" s="2766"/>
      <c r="J257" s="2766"/>
      <c r="K257" s="2820"/>
      <c r="L257" s="2820"/>
      <c r="M257" s="2830"/>
      <c r="N257" s="2830"/>
      <c r="O257" s="2830"/>
      <c r="P257" s="2830"/>
      <c r="Q257" s="2830"/>
      <c r="R257" s="2830"/>
      <c r="S257" s="2830"/>
      <c r="T257" s="2830"/>
      <c r="U257" s="2830"/>
      <c r="V257" s="2830"/>
      <c r="W257" s="2830"/>
      <c r="X257" s="2830"/>
      <c r="Y257" s="2830"/>
      <c r="Z257" s="2830"/>
      <c r="AA257" s="2830"/>
      <c r="AB257" s="2830"/>
      <c r="AC257" s="2830"/>
      <c r="AD257" s="2830"/>
      <c r="AE257" s="2830"/>
      <c r="AF257" s="2830"/>
      <c r="AG257" s="2830"/>
      <c r="AH257" s="2831"/>
      <c r="AI257" s="2830"/>
      <c r="AJ257" s="2830"/>
      <c r="AK257" s="2830"/>
      <c r="AL257" s="2830"/>
      <c r="AM257" s="2830"/>
      <c r="AN257" s="2830"/>
      <c r="AO257" s="2830"/>
      <c r="AP257" s="2830"/>
      <c r="AQ257" s="2830"/>
      <c r="AR257" s="2820"/>
      <c r="AS257" s="2820"/>
      <c r="AT257" s="2820"/>
      <c r="AU257" s="2820"/>
      <c r="AV257" s="2766"/>
      <c r="AY257" s="2766"/>
    </row>
    <row r="258" spans="1:51">
      <c r="A258" s="2766"/>
      <c r="E258" s="2766"/>
      <c r="F258" s="2766"/>
      <c r="G258" s="2766"/>
      <c r="H258" s="2766"/>
      <c r="I258" s="2766"/>
      <c r="J258" s="2766"/>
      <c r="K258" s="2820"/>
      <c r="L258" s="2820"/>
      <c r="M258" s="2830"/>
      <c r="N258" s="2830"/>
      <c r="O258" s="2830"/>
      <c r="P258" s="2830"/>
      <c r="Q258" s="2830"/>
      <c r="R258" s="2830"/>
      <c r="S258" s="2830"/>
      <c r="T258" s="2830"/>
      <c r="U258" s="2830"/>
      <c r="V258" s="2830"/>
      <c r="W258" s="2830"/>
      <c r="X258" s="2830"/>
      <c r="Y258" s="2830"/>
      <c r="Z258" s="2830"/>
      <c r="AA258" s="2830"/>
      <c r="AB258" s="2830"/>
      <c r="AC258" s="2830"/>
      <c r="AD258" s="2830"/>
      <c r="AE258" s="2830"/>
      <c r="AF258" s="2830"/>
      <c r="AG258" s="2830"/>
      <c r="AH258" s="2831"/>
      <c r="AI258" s="2830"/>
      <c r="AJ258" s="2830"/>
      <c r="AK258" s="2830"/>
      <c r="AL258" s="2830"/>
      <c r="AM258" s="2830"/>
      <c r="AN258" s="2830"/>
      <c r="AO258" s="2830"/>
      <c r="AP258" s="2830"/>
      <c r="AQ258" s="2830"/>
      <c r="AR258" s="2820"/>
      <c r="AS258" s="2820"/>
      <c r="AT258" s="2820"/>
      <c r="AU258" s="2820"/>
      <c r="AV258" s="2766"/>
      <c r="AY258" s="2766"/>
    </row>
    <row r="259" spans="1:51">
      <c r="A259" s="2766"/>
      <c r="E259" s="2766"/>
      <c r="F259" s="2766"/>
      <c r="G259" s="2766"/>
      <c r="H259" s="2766"/>
      <c r="I259" s="2766"/>
      <c r="J259" s="2766"/>
      <c r="K259" s="2820"/>
      <c r="L259" s="2820"/>
      <c r="M259" s="2830"/>
      <c r="N259" s="2830"/>
      <c r="O259" s="2830"/>
      <c r="P259" s="2830"/>
      <c r="Q259" s="2830"/>
      <c r="R259" s="2830"/>
      <c r="S259" s="2830"/>
      <c r="T259" s="2830"/>
      <c r="U259" s="2830"/>
      <c r="V259" s="2830"/>
      <c r="W259" s="2830"/>
      <c r="X259" s="2830"/>
      <c r="Y259" s="2830"/>
      <c r="Z259" s="2830"/>
      <c r="AA259" s="2830"/>
      <c r="AB259" s="2830"/>
      <c r="AC259" s="2830"/>
      <c r="AD259" s="2830"/>
      <c r="AE259" s="2830"/>
      <c r="AF259" s="2830"/>
      <c r="AG259" s="2830"/>
      <c r="AH259" s="2831"/>
      <c r="AI259" s="2830"/>
      <c r="AJ259" s="2830"/>
      <c r="AK259" s="2830"/>
      <c r="AL259" s="2830"/>
      <c r="AM259" s="2830"/>
      <c r="AN259" s="2830"/>
      <c r="AO259" s="2830"/>
      <c r="AP259" s="2830"/>
      <c r="AQ259" s="2830"/>
      <c r="AR259" s="2820"/>
      <c r="AS259" s="2820"/>
      <c r="AT259" s="2820"/>
      <c r="AU259" s="2820"/>
      <c r="AV259" s="2766"/>
      <c r="AY259" s="2766"/>
    </row>
    <row r="260" spans="1:51">
      <c r="A260" s="2766"/>
      <c r="E260" s="2766"/>
      <c r="F260" s="2766"/>
      <c r="G260" s="2766"/>
      <c r="H260" s="2766"/>
      <c r="I260" s="2766"/>
      <c r="J260" s="2766"/>
      <c r="K260" s="2820"/>
      <c r="L260" s="2820"/>
      <c r="M260" s="2830"/>
      <c r="N260" s="2830"/>
      <c r="O260" s="2830"/>
      <c r="P260" s="2830"/>
      <c r="Q260" s="2830"/>
      <c r="R260" s="2830"/>
      <c r="S260" s="2830"/>
      <c r="T260" s="2830"/>
      <c r="U260" s="2830"/>
      <c r="V260" s="2830"/>
      <c r="W260" s="2830"/>
      <c r="X260" s="2830"/>
      <c r="Y260" s="2830"/>
      <c r="Z260" s="2830"/>
      <c r="AA260" s="2830"/>
      <c r="AB260" s="2830"/>
      <c r="AC260" s="2830"/>
      <c r="AD260" s="2830"/>
      <c r="AE260" s="2830"/>
      <c r="AF260" s="2830"/>
      <c r="AG260" s="2830"/>
      <c r="AH260" s="2831"/>
      <c r="AI260" s="2830"/>
      <c r="AJ260" s="2830"/>
      <c r="AK260" s="2830"/>
      <c r="AL260" s="2830"/>
      <c r="AM260" s="2830"/>
      <c r="AN260" s="2830"/>
      <c r="AO260" s="2830"/>
      <c r="AP260" s="2830"/>
      <c r="AQ260" s="2830"/>
      <c r="AR260" s="2820"/>
      <c r="AS260" s="2820"/>
      <c r="AT260" s="2820"/>
      <c r="AU260" s="2820"/>
      <c r="AV260" s="2766"/>
      <c r="AY260" s="2766"/>
    </row>
    <row r="261" spans="1:51">
      <c r="A261" s="2766"/>
      <c r="E261" s="2766"/>
      <c r="F261" s="2766"/>
      <c r="G261" s="2766"/>
      <c r="H261" s="2766"/>
      <c r="I261" s="2766"/>
      <c r="J261" s="2766"/>
      <c r="K261" s="2820"/>
      <c r="L261" s="2820"/>
      <c r="M261" s="2830"/>
      <c r="N261" s="2830"/>
      <c r="O261" s="2830"/>
      <c r="P261" s="2830"/>
      <c r="Q261" s="2830"/>
      <c r="R261" s="2830"/>
      <c r="S261" s="2830"/>
      <c r="T261" s="2830"/>
      <c r="U261" s="2830"/>
      <c r="V261" s="2830"/>
      <c r="W261" s="2830"/>
      <c r="X261" s="2830"/>
      <c r="Y261" s="2830"/>
      <c r="Z261" s="2830"/>
      <c r="AA261" s="2830"/>
      <c r="AB261" s="2830"/>
      <c r="AC261" s="2830"/>
      <c r="AD261" s="2830"/>
      <c r="AE261" s="2830"/>
      <c r="AF261" s="2830"/>
      <c r="AG261" s="2830"/>
      <c r="AH261" s="2831"/>
      <c r="AI261" s="2830"/>
      <c r="AJ261" s="2830"/>
      <c r="AK261" s="2830"/>
      <c r="AL261" s="2830"/>
      <c r="AM261" s="2830"/>
      <c r="AN261" s="2830"/>
      <c r="AO261" s="2830"/>
      <c r="AP261" s="2830"/>
      <c r="AQ261" s="2830"/>
      <c r="AR261" s="2820"/>
      <c r="AS261" s="2820"/>
      <c r="AT261" s="2820"/>
      <c r="AU261" s="2820"/>
      <c r="AV261" s="2766"/>
      <c r="AY261" s="2766"/>
    </row>
    <row r="262" spans="1:51">
      <c r="A262" s="2766"/>
      <c r="E262" s="2766"/>
      <c r="F262" s="2766"/>
      <c r="G262" s="2766"/>
      <c r="H262" s="2766"/>
      <c r="I262" s="2766"/>
      <c r="J262" s="2766"/>
      <c r="K262" s="2820"/>
      <c r="L262" s="2820"/>
      <c r="M262" s="2830"/>
      <c r="N262" s="2830"/>
      <c r="O262" s="2830"/>
      <c r="P262" s="2830"/>
      <c r="Q262" s="2830"/>
      <c r="R262" s="2830"/>
      <c r="S262" s="2830"/>
      <c r="T262" s="2830"/>
      <c r="U262" s="2830"/>
      <c r="V262" s="2830"/>
      <c r="W262" s="2830"/>
      <c r="X262" s="2830"/>
      <c r="Y262" s="2830"/>
      <c r="Z262" s="2830"/>
      <c r="AA262" s="2830"/>
      <c r="AB262" s="2830"/>
      <c r="AC262" s="2830"/>
      <c r="AD262" s="2830"/>
      <c r="AE262" s="2830"/>
      <c r="AF262" s="2830"/>
      <c r="AG262" s="2830"/>
      <c r="AH262" s="2831"/>
      <c r="AI262" s="2830"/>
      <c r="AJ262" s="2830"/>
      <c r="AK262" s="2830"/>
      <c r="AL262" s="2830"/>
      <c r="AM262" s="2830"/>
      <c r="AN262" s="2830"/>
      <c r="AO262" s="2830"/>
      <c r="AP262" s="2830"/>
      <c r="AQ262" s="2830"/>
      <c r="AR262" s="2820"/>
      <c r="AS262" s="2820"/>
      <c r="AT262" s="2820"/>
      <c r="AU262" s="2820"/>
      <c r="AV262" s="2766"/>
      <c r="AY262" s="2766"/>
    </row>
    <row r="263" spans="1:51">
      <c r="A263" s="2766"/>
      <c r="E263" s="2766"/>
      <c r="F263" s="2766"/>
      <c r="G263" s="2766"/>
      <c r="H263" s="2766"/>
      <c r="I263" s="2766"/>
      <c r="J263" s="2766"/>
      <c r="K263" s="2820"/>
      <c r="L263" s="2820"/>
      <c r="M263" s="2830"/>
      <c r="N263" s="2830"/>
      <c r="O263" s="2830"/>
      <c r="P263" s="2830"/>
      <c r="Q263" s="2830"/>
      <c r="R263" s="2830"/>
      <c r="S263" s="2830"/>
      <c r="T263" s="2830"/>
      <c r="U263" s="2830"/>
      <c r="V263" s="2830"/>
      <c r="W263" s="2830"/>
      <c r="X263" s="2830"/>
      <c r="Y263" s="2830"/>
      <c r="Z263" s="2830"/>
      <c r="AA263" s="2830"/>
      <c r="AB263" s="2830"/>
      <c r="AC263" s="2830"/>
      <c r="AD263" s="2830"/>
      <c r="AE263" s="2830"/>
      <c r="AF263" s="2830"/>
      <c r="AG263" s="2830"/>
      <c r="AH263" s="2831"/>
      <c r="AI263" s="2830"/>
      <c r="AJ263" s="2830"/>
      <c r="AK263" s="2830"/>
      <c r="AL263" s="2830"/>
      <c r="AM263" s="2830"/>
      <c r="AN263" s="2830"/>
      <c r="AO263" s="2830"/>
      <c r="AP263" s="2830"/>
      <c r="AQ263" s="2830"/>
      <c r="AR263" s="2820"/>
      <c r="AS263" s="2820"/>
      <c r="AT263" s="2820"/>
      <c r="AU263" s="2820"/>
      <c r="AV263" s="2766"/>
      <c r="AY263" s="2766"/>
    </row>
    <row r="264" spans="1:51">
      <c r="A264" s="2766"/>
      <c r="E264" s="2766"/>
      <c r="F264" s="2766"/>
      <c r="G264" s="2766"/>
      <c r="H264" s="2766"/>
      <c r="I264" s="2766"/>
      <c r="J264" s="2766"/>
      <c r="K264" s="2820"/>
      <c r="L264" s="2820"/>
      <c r="M264" s="2830"/>
      <c r="N264" s="2830"/>
      <c r="O264" s="2830"/>
      <c r="P264" s="2830"/>
      <c r="Q264" s="2830"/>
      <c r="R264" s="2830"/>
      <c r="S264" s="2830"/>
      <c r="T264" s="2830"/>
      <c r="U264" s="2830"/>
      <c r="V264" s="2830"/>
      <c r="W264" s="2830"/>
      <c r="X264" s="2830"/>
      <c r="Y264" s="2830"/>
      <c r="Z264" s="2830"/>
      <c r="AA264" s="2830"/>
      <c r="AB264" s="2830"/>
      <c r="AC264" s="2830"/>
      <c r="AD264" s="2830"/>
      <c r="AE264" s="2830"/>
      <c r="AF264" s="2830"/>
      <c r="AG264" s="2830"/>
      <c r="AH264" s="2831"/>
      <c r="AI264" s="2830"/>
      <c r="AJ264" s="2830"/>
      <c r="AK264" s="2830"/>
      <c r="AL264" s="2830"/>
      <c r="AM264" s="2830"/>
      <c r="AN264" s="2830"/>
      <c r="AO264" s="2830"/>
      <c r="AP264" s="2830"/>
      <c r="AQ264" s="2830"/>
      <c r="AR264" s="2820"/>
      <c r="AS264" s="2820"/>
      <c r="AT264" s="2820"/>
      <c r="AU264" s="2820"/>
      <c r="AV264" s="2766"/>
      <c r="AY264" s="2766"/>
    </row>
    <row r="265" spans="1:51">
      <c r="A265" s="2766"/>
      <c r="E265" s="2766"/>
      <c r="F265" s="2766"/>
      <c r="G265" s="2766"/>
      <c r="H265" s="2766"/>
      <c r="I265" s="2766"/>
      <c r="J265" s="2766"/>
      <c r="K265" s="2820"/>
      <c r="L265" s="2820"/>
      <c r="M265" s="2830"/>
      <c r="N265" s="2830"/>
      <c r="O265" s="2830"/>
      <c r="P265" s="2830"/>
      <c r="Q265" s="2830"/>
      <c r="R265" s="2830"/>
      <c r="S265" s="2830"/>
      <c r="T265" s="2830"/>
      <c r="U265" s="2830"/>
      <c r="V265" s="2830"/>
      <c r="W265" s="2830"/>
      <c r="X265" s="2830"/>
      <c r="Y265" s="2830"/>
      <c r="Z265" s="2830"/>
      <c r="AA265" s="2830"/>
      <c r="AB265" s="2830"/>
      <c r="AC265" s="2830"/>
      <c r="AD265" s="2830"/>
      <c r="AE265" s="2830"/>
      <c r="AF265" s="2830"/>
      <c r="AG265" s="2830"/>
      <c r="AH265" s="2831"/>
      <c r="AI265" s="2830"/>
      <c r="AJ265" s="2830"/>
      <c r="AK265" s="2830"/>
      <c r="AL265" s="2830"/>
      <c r="AM265" s="2830"/>
      <c r="AN265" s="2830"/>
      <c r="AO265" s="2830"/>
      <c r="AP265" s="2830"/>
      <c r="AQ265" s="2830"/>
      <c r="AR265" s="2820"/>
      <c r="AS265" s="2820"/>
      <c r="AT265" s="2820"/>
      <c r="AU265" s="2820"/>
      <c r="AV265" s="2766"/>
      <c r="AY265" s="2766"/>
    </row>
    <row r="266" spans="1:51">
      <c r="A266" s="2766"/>
      <c r="E266" s="2766"/>
      <c r="F266" s="2766"/>
      <c r="G266" s="2766"/>
      <c r="H266" s="2766"/>
      <c r="I266" s="2766"/>
      <c r="J266" s="2766"/>
      <c r="K266" s="2820"/>
      <c r="L266" s="2820"/>
      <c r="M266" s="2830"/>
      <c r="N266" s="2830"/>
      <c r="O266" s="2830"/>
      <c r="P266" s="2830"/>
      <c r="Q266" s="2830"/>
      <c r="R266" s="2830"/>
      <c r="S266" s="2830"/>
      <c r="T266" s="2830"/>
      <c r="U266" s="2830"/>
      <c r="V266" s="2830"/>
      <c r="W266" s="2830"/>
      <c r="X266" s="2830"/>
      <c r="Y266" s="2830"/>
      <c r="Z266" s="2830"/>
      <c r="AA266" s="2830"/>
      <c r="AB266" s="2830"/>
      <c r="AC266" s="2830"/>
      <c r="AD266" s="2830"/>
      <c r="AE266" s="2830"/>
      <c r="AF266" s="2830"/>
      <c r="AG266" s="2830"/>
      <c r="AH266" s="2831"/>
      <c r="AI266" s="2830"/>
      <c r="AJ266" s="2830"/>
      <c r="AK266" s="2830"/>
      <c r="AL266" s="2830"/>
      <c r="AM266" s="2830"/>
      <c r="AN266" s="2830"/>
      <c r="AO266" s="2830"/>
      <c r="AP266" s="2830"/>
      <c r="AQ266" s="2830"/>
      <c r="AR266" s="2820"/>
      <c r="AS266" s="2820"/>
      <c r="AT266" s="2820"/>
      <c r="AU266" s="2820"/>
      <c r="AV266" s="2766"/>
      <c r="AY266" s="2766"/>
    </row>
    <row r="267" spans="1:51">
      <c r="A267" s="2766"/>
      <c r="E267" s="2766"/>
      <c r="F267" s="2766"/>
      <c r="G267" s="2766"/>
      <c r="H267" s="2766"/>
      <c r="I267" s="2766"/>
      <c r="J267" s="2766"/>
      <c r="K267" s="2820"/>
      <c r="L267" s="2820"/>
      <c r="M267" s="2830"/>
      <c r="N267" s="2830"/>
      <c r="O267" s="2830"/>
      <c r="P267" s="2830"/>
      <c r="Q267" s="2830"/>
      <c r="R267" s="2830"/>
      <c r="S267" s="2830"/>
      <c r="T267" s="2830"/>
      <c r="U267" s="2830"/>
      <c r="V267" s="2830"/>
      <c r="W267" s="2830"/>
      <c r="X267" s="2830"/>
      <c r="Y267" s="2830"/>
      <c r="Z267" s="2830"/>
      <c r="AA267" s="2830"/>
      <c r="AB267" s="2830"/>
      <c r="AC267" s="2830"/>
      <c r="AD267" s="2830"/>
      <c r="AE267" s="2830"/>
      <c r="AF267" s="2830"/>
      <c r="AG267" s="2830"/>
      <c r="AH267" s="2831"/>
      <c r="AI267" s="2830"/>
      <c r="AJ267" s="2830"/>
      <c r="AK267" s="2830"/>
      <c r="AL267" s="2830"/>
      <c r="AM267" s="2830"/>
      <c r="AN267" s="2830"/>
      <c r="AO267" s="2830"/>
      <c r="AP267" s="2830"/>
      <c r="AQ267" s="2830"/>
      <c r="AR267" s="2820"/>
      <c r="AS267" s="2820"/>
      <c r="AT267" s="2820"/>
      <c r="AU267" s="2820"/>
      <c r="AV267" s="2766"/>
      <c r="AY267" s="2766"/>
    </row>
    <row r="268" spans="1:51">
      <c r="A268" s="2766"/>
      <c r="E268" s="2766"/>
      <c r="F268" s="2766"/>
      <c r="G268" s="2766"/>
      <c r="H268" s="2766"/>
      <c r="I268" s="2766"/>
      <c r="J268" s="2766"/>
      <c r="K268" s="2820"/>
      <c r="L268" s="2820"/>
      <c r="M268" s="2830"/>
      <c r="N268" s="2830"/>
      <c r="O268" s="2830"/>
      <c r="P268" s="2830"/>
      <c r="Q268" s="2830"/>
      <c r="R268" s="2830"/>
      <c r="S268" s="2830"/>
      <c r="T268" s="2830"/>
      <c r="U268" s="2830"/>
      <c r="V268" s="2830"/>
      <c r="W268" s="2830"/>
      <c r="X268" s="2830"/>
      <c r="Y268" s="2830"/>
      <c r="Z268" s="2830"/>
      <c r="AA268" s="2830"/>
      <c r="AB268" s="2830"/>
      <c r="AC268" s="2830"/>
      <c r="AD268" s="2830"/>
      <c r="AE268" s="2830"/>
      <c r="AF268" s="2830"/>
      <c r="AG268" s="2830"/>
      <c r="AH268" s="2831"/>
      <c r="AI268" s="2830"/>
      <c r="AJ268" s="2830"/>
      <c r="AK268" s="2830"/>
      <c r="AL268" s="2830"/>
      <c r="AM268" s="2830"/>
      <c r="AN268" s="2830"/>
      <c r="AO268" s="2830"/>
      <c r="AP268" s="2830"/>
      <c r="AQ268" s="2830"/>
      <c r="AR268" s="2820"/>
      <c r="AS268" s="2820"/>
      <c r="AT268" s="2820"/>
      <c r="AU268" s="2820"/>
      <c r="AV268" s="2766"/>
      <c r="AY268" s="2766"/>
    </row>
    <row r="269" spans="1:51">
      <c r="A269" s="2766"/>
      <c r="E269" s="2766"/>
      <c r="F269" s="2766"/>
      <c r="G269" s="2766"/>
      <c r="H269" s="2766"/>
      <c r="I269" s="2766"/>
      <c r="J269" s="2766"/>
      <c r="K269" s="2820"/>
      <c r="L269" s="2820"/>
      <c r="M269" s="2830"/>
      <c r="N269" s="2830"/>
      <c r="O269" s="2830"/>
      <c r="P269" s="2830"/>
      <c r="Q269" s="2830"/>
      <c r="R269" s="2830"/>
      <c r="S269" s="2830"/>
      <c r="T269" s="2830"/>
      <c r="U269" s="2830"/>
      <c r="V269" s="2830"/>
      <c r="W269" s="2830"/>
      <c r="X269" s="2830"/>
      <c r="Y269" s="2830"/>
      <c r="Z269" s="2830"/>
      <c r="AA269" s="2830"/>
      <c r="AB269" s="2830"/>
      <c r="AC269" s="2830"/>
      <c r="AD269" s="2830"/>
      <c r="AE269" s="2830"/>
      <c r="AF269" s="2830"/>
      <c r="AG269" s="2830"/>
      <c r="AH269" s="2831"/>
      <c r="AI269" s="2830"/>
      <c r="AJ269" s="2830"/>
      <c r="AK269" s="2830"/>
      <c r="AL269" s="2830"/>
      <c r="AM269" s="2830"/>
      <c r="AN269" s="2830"/>
      <c r="AO269" s="2830"/>
      <c r="AP269" s="2830"/>
      <c r="AQ269" s="2830"/>
      <c r="AR269" s="2820"/>
      <c r="AS269" s="2820"/>
      <c r="AT269" s="2820"/>
      <c r="AU269" s="2820"/>
      <c r="AV269" s="2766"/>
      <c r="AY269" s="2766"/>
    </row>
    <row r="270" spans="1:51">
      <c r="A270" s="2766"/>
      <c r="E270" s="2766"/>
      <c r="F270" s="2766"/>
      <c r="G270" s="2766"/>
      <c r="H270" s="2766"/>
      <c r="I270" s="2766"/>
      <c r="J270" s="2766"/>
      <c r="K270" s="2820"/>
      <c r="L270" s="2820"/>
      <c r="M270" s="2830"/>
      <c r="N270" s="2830"/>
      <c r="O270" s="2830"/>
      <c r="P270" s="2830"/>
      <c r="Q270" s="2830"/>
      <c r="R270" s="2830"/>
      <c r="S270" s="2830"/>
      <c r="T270" s="2830"/>
      <c r="U270" s="2830"/>
      <c r="V270" s="2830"/>
      <c r="W270" s="2830"/>
      <c r="X270" s="2830"/>
      <c r="Y270" s="2830"/>
      <c r="Z270" s="2830"/>
      <c r="AA270" s="2830"/>
      <c r="AB270" s="2830"/>
      <c r="AC270" s="2830"/>
      <c r="AD270" s="2830"/>
      <c r="AE270" s="2830"/>
      <c r="AF270" s="2830"/>
      <c r="AG270" s="2830"/>
      <c r="AH270" s="2831"/>
      <c r="AI270" s="2830"/>
      <c r="AJ270" s="2830"/>
      <c r="AK270" s="2830"/>
      <c r="AL270" s="2830"/>
      <c r="AM270" s="2830"/>
      <c r="AN270" s="2830"/>
      <c r="AO270" s="2830"/>
      <c r="AP270" s="2830"/>
      <c r="AQ270" s="2830"/>
      <c r="AR270" s="2820"/>
      <c r="AS270" s="2820"/>
      <c r="AT270" s="2820"/>
      <c r="AU270" s="2820"/>
      <c r="AV270" s="2766"/>
      <c r="AY270" s="2766"/>
    </row>
    <row r="271" spans="1:51">
      <c r="A271" s="2766"/>
      <c r="E271" s="2766"/>
      <c r="F271" s="2766"/>
      <c r="G271" s="2766"/>
      <c r="H271" s="2766"/>
      <c r="I271" s="2766"/>
      <c r="J271" s="2766"/>
      <c r="K271" s="2820"/>
      <c r="L271" s="2820"/>
      <c r="M271" s="2830"/>
      <c r="N271" s="2830"/>
      <c r="O271" s="2830"/>
      <c r="P271" s="2830"/>
      <c r="Q271" s="2830"/>
      <c r="R271" s="2830"/>
      <c r="S271" s="2830"/>
      <c r="T271" s="2830"/>
      <c r="U271" s="2830"/>
      <c r="V271" s="2830"/>
      <c r="W271" s="2830"/>
      <c r="X271" s="2830"/>
      <c r="Y271" s="2830"/>
      <c r="Z271" s="2830"/>
      <c r="AA271" s="2830"/>
      <c r="AB271" s="2830"/>
      <c r="AC271" s="2830"/>
      <c r="AD271" s="2830"/>
      <c r="AE271" s="2830"/>
      <c r="AF271" s="2830"/>
      <c r="AG271" s="2830"/>
      <c r="AH271" s="2831"/>
      <c r="AI271" s="2830"/>
      <c r="AJ271" s="2830"/>
      <c r="AK271" s="2830"/>
      <c r="AL271" s="2830"/>
      <c r="AM271" s="2830"/>
      <c r="AN271" s="2830"/>
      <c r="AO271" s="2830"/>
      <c r="AP271" s="2830"/>
      <c r="AQ271" s="2830"/>
      <c r="AR271" s="2820"/>
      <c r="AS271" s="2820"/>
      <c r="AT271" s="2820"/>
      <c r="AU271" s="2820"/>
      <c r="AV271" s="2766"/>
      <c r="AY271" s="2766"/>
    </row>
    <row r="272" spans="1:51">
      <c r="A272" s="2766"/>
      <c r="E272" s="2766"/>
      <c r="F272" s="2766"/>
      <c r="G272" s="2766"/>
      <c r="H272" s="2766"/>
      <c r="I272" s="2766"/>
      <c r="J272" s="2766"/>
      <c r="K272" s="2820"/>
      <c r="L272" s="2820"/>
      <c r="M272" s="2830"/>
      <c r="N272" s="2830"/>
      <c r="O272" s="2830"/>
      <c r="P272" s="2830"/>
      <c r="Q272" s="2830"/>
      <c r="R272" s="2830"/>
      <c r="S272" s="2830"/>
      <c r="T272" s="2830"/>
      <c r="U272" s="2830"/>
      <c r="V272" s="2830"/>
      <c r="W272" s="2830"/>
      <c r="X272" s="2830"/>
      <c r="Y272" s="2830"/>
      <c r="Z272" s="2830"/>
      <c r="AA272" s="2830"/>
      <c r="AB272" s="2830"/>
      <c r="AC272" s="2830"/>
      <c r="AD272" s="2830"/>
      <c r="AE272" s="2830"/>
      <c r="AF272" s="2830"/>
      <c r="AG272" s="2830"/>
      <c r="AH272" s="2831"/>
      <c r="AI272" s="2830"/>
      <c r="AJ272" s="2830"/>
      <c r="AK272" s="2830"/>
      <c r="AL272" s="2830"/>
      <c r="AM272" s="2830"/>
      <c r="AN272" s="2830"/>
      <c r="AO272" s="2830"/>
      <c r="AP272" s="2830"/>
      <c r="AQ272" s="2830"/>
      <c r="AR272" s="2820"/>
      <c r="AS272" s="2820"/>
      <c r="AT272" s="2820"/>
      <c r="AU272" s="2820"/>
      <c r="AV272" s="2766"/>
      <c r="AY272" s="2766"/>
    </row>
    <row r="273" spans="1:51">
      <c r="A273" s="2766"/>
      <c r="E273" s="2766"/>
      <c r="F273" s="2766"/>
      <c r="G273" s="2766"/>
      <c r="H273" s="2766"/>
      <c r="I273" s="2766"/>
      <c r="J273" s="2766"/>
      <c r="K273" s="2820"/>
      <c r="L273" s="2820"/>
      <c r="M273" s="2830"/>
      <c r="N273" s="2830"/>
      <c r="O273" s="2830"/>
      <c r="P273" s="2830"/>
      <c r="Q273" s="2830"/>
      <c r="R273" s="2830"/>
      <c r="S273" s="2830"/>
      <c r="T273" s="2830"/>
      <c r="U273" s="2830"/>
      <c r="V273" s="2830"/>
      <c r="W273" s="2830"/>
      <c r="X273" s="2830"/>
      <c r="Y273" s="2830"/>
      <c r="Z273" s="2830"/>
      <c r="AA273" s="2830"/>
      <c r="AB273" s="2830"/>
      <c r="AC273" s="2830"/>
      <c r="AD273" s="2830"/>
      <c r="AE273" s="2830"/>
      <c r="AF273" s="2830"/>
      <c r="AG273" s="2830"/>
      <c r="AH273" s="2831"/>
      <c r="AI273" s="2830"/>
      <c r="AJ273" s="2830"/>
      <c r="AK273" s="2830"/>
      <c r="AL273" s="2830"/>
      <c r="AM273" s="2830"/>
      <c r="AN273" s="2830"/>
      <c r="AO273" s="2830"/>
      <c r="AP273" s="2830"/>
      <c r="AQ273" s="2830"/>
      <c r="AR273" s="2820"/>
      <c r="AS273" s="2820"/>
      <c r="AT273" s="2820"/>
      <c r="AU273" s="2820"/>
      <c r="AV273" s="2766"/>
      <c r="AY273" s="2766"/>
    </row>
    <row r="274" spans="1:51">
      <c r="A274" s="2766"/>
      <c r="E274" s="2766"/>
      <c r="F274" s="2766"/>
      <c r="G274" s="2766"/>
      <c r="H274" s="2766"/>
      <c r="I274" s="2766"/>
      <c r="J274" s="2766"/>
      <c r="K274" s="2820"/>
      <c r="L274" s="2820"/>
      <c r="M274" s="2830"/>
      <c r="N274" s="2830"/>
      <c r="O274" s="2830"/>
      <c r="P274" s="2830"/>
      <c r="Q274" s="2830"/>
      <c r="R274" s="2830"/>
      <c r="S274" s="2830"/>
      <c r="T274" s="2830"/>
      <c r="U274" s="2830"/>
      <c r="V274" s="2830"/>
      <c r="W274" s="2830"/>
      <c r="X274" s="2830"/>
      <c r="Y274" s="2830"/>
      <c r="Z274" s="2830"/>
      <c r="AA274" s="2830"/>
      <c r="AB274" s="2830"/>
      <c r="AC274" s="2830"/>
      <c r="AD274" s="2830"/>
      <c r="AE274" s="2830"/>
      <c r="AF274" s="2830"/>
      <c r="AG274" s="2830"/>
      <c r="AH274" s="2831"/>
      <c r="AI274" s="2830"/>
      <c r="AJ274" s="2830"/>
      <c r="AK274" s="2830"/>
      <c r="AL274" s="2830"/>
      <c r="AM274" s="2830"/>
      <c r="AN274" s="2830"/>
      <c r="AO274" s="2830"/>
      <c r="AP274" s="2830"/>
      <c r="AQ274" s="2830"/>
      <c r="AR274" s="2820"/>
      <c r="AS274" s="2820"/>
      <c r="AT274" s="2820"/>
      <c r="AU274" s="2820"/>
      <c r="AV274" s="2766"/>
      <c r="AY274" s="2766"/>
    </row>
    <row r="275" spans="1:51">
      <c r="A275" s="2766"/>
      <c r="E275" s="2766"/>
      <c r="F275" s="2766"/>
      <c r="G275" s="2766"/>
      <c r="H275" s="2766"/>
      <c r="I275" s="2766"/>
      <c r="J275" s="2766"/>
      <c r="K275" s="2820"/>
      <c r="L275" s="2820"/>
      <c r="M275" s="2830"/>
      <c r="N275" s="2830"/>
      <c r="O275" s="2830"/>
      <c r="P275" s="2830"/>
      <c r="Q275" s="2830"/>
      <c r="R275" s="2830"/>
      <c r="S275" s="2830"/>
      <c r="T275" s="2830"/>
      <c r="U275" s="2830"/>
      <c r="V275" s="2830"/>
      <c r="W275" s="2830"/>
      <c r="X275" s="2830"/>
      <c r="Y275" s="2830"/>
      <c r="Z275" s="2830"/>
      <c r="AA275" s="2830"/>
      <c r="AB275" s="2830"/>
      <c r="AC275" s="2830"/>
      <c r="AD275" s="2830"/>
      <c r="AE275" s="2830"/>
      <c r="AF275" s="2830"/>
      <c r="AG275" s="2830"/>
      <c r="AH275" s="2831"/>
      <c r="AI275" s="2830"/>
      <c r="AJ275" s="2830"/>
      <c r="AK275" s="2830"/>
      <c r="AL275" s="2830"/>
      <c r="AM275" s="2830"/>
      <c r="AN275" s="2830"/>
      <c r="AO275" s="2830"/>
      <c r="AP275" s="2830"/>
      <c r="AQ275" s="2830"/>
      <c r="AR275" s="2820"/>
      <c r="AS275" s="2820"/>
      <c r="AT275" s="2820"/>
      <c r="AU275" s="2820"/>
      <c r="AV275" s="2766"/>
      <c r="AY275" s="2766"/>
    </row>
    <row r="276" spans="1:51">
      <c r="A276" s="2766"/>
      <c r="E276" s="2766"/>
      <c r="F276" s="2766"/>
      <c r="G276" s="2766"/>
      <c r="H276" s="2766"/>
      <c r="I276" s="2766"/>
      <c r="J276" s="2766"/>
      <c r="K276" s="2820"/>
      <c r="L276" s="2820"/>
      <c r="M276" s="2830"/>
      <c r="N276" s="2830"/>
      <c r="O276" s="2830"/>
      <c r="P276" s="2830"/>
      <c r="Q276" s="2830"/>
      <c r="R276" s="2830"/>
      <c r="S276" s="2830"/>
      <c r="T276" s="2830"/>
      <c r="U276" s="2830"/>
      <c r="V276" s="2830"/>
      <c r="W276" s="2830"/>
      <c r="X276" s="2830"/>
      <c r="Y276" s="2830"/>
      <c r="Z276" s="2830"/>
      <c r="AA276" s="2830"/>
      <c r="AB276" s="2830"/>
      <c r="AC276" s="2830"/>
      <c r="AD276" s="2830"/>
      <c r="AE276" s="2830"/>
      <c r="AF276" s="2830"/>
      <c r="AG276" s="2830"/>
      <c r="AH276" s="2831"/>
      <c r="AI276" s="2830"/>
      <c r="AJ276" s="2830"/>
      <c r="AK276" s="2830"/>
      <c r="AL276" s="2830"/>
      <c r="AM276" s="2830"/>
      <c r="AN276" s="2830"/>
      <c r="AO276" s="2830"/>
      <c r="AP276" s="2830"/>
      <c r="AQ276" s="2830"/>
      <c r="AR276" s="2820"/>
      <c r="AS276" s="2820"/>
      <c r="AT276" s="2820"/>
      <c r="AU276" s="2820"/>
      <c r="AV276" s="2766"/>
      <c r="AY276" s="2766"/>
    </row>
    <row r="277" spans="1:51">
      <c r="A277" s="2766"/>
      <c r="E277" s="2766"/>
      <c r="F277" s="2766"/>
      <c r="G277" s="2766"/>
      <c r="H277" s="2766"/>
      <c r="I277" s="2766"/>
      <c r="J277" s="2766"/>
      <c r="K277" s="2820"/>
      <c r="L277" s="2820"/>
      <c r="M277" s="2830"/>
      <c r="N277" s="2830"/>
      <c r="O277" s="2830"/>
      <c r="P277" s="2830"/>
      <c r="Q277" s="2830"/>
      <c r="R277" s="2830"/>
      <c r="S277" s="2830"/>
      <c r="T277" s="2830"/>
      <c r="U277" s="2830"/>
      <c r="V277" s="2830"/>
      <c r="W277" s="2830"/>
      <c r="X277" s="2830"/>
      <c r="Y277" s="2830"/>
      <c r="Z277" s="2830"/>
      <c r="AA277" s="2830"/>
      <c r="AB277" s="2830"/>
      <c r="AC277" s="2830"/>
      <c r="AD277" s="2830"/>
      <c r="AE277" s="2830"/>
      <c r="AF277" s="2830"/>
      <c r="AG277" s="2830"/>
      <c r="AH277" s="2831"/>
      <c r="AI277" s="2830"/>
      <c r="AJ277" s="2830"/>
      <c r="AK277" s="2830"/>
      <c r="AL277" s="2830"/>
      <c r="AM277" s="2830"/>
      <c r="AN277" s="2830"/>
      <c r="AO277" s="2830"/>
      <c r="AP277" s="2830"/>
      <c r="AQ277" s="2830"/>
      <c r="AR277" s="2820"/>
      <c r="AS277" s="2820"/>
      <c r="AT277" s="2820"/>
      <c r="AU277" s="2820"/>
      <c r="AV277" s="2766"/>
      <c r="AY277" s="2766"/>
    </row>
    <row r="278" spans="1:51">
      <c r="A278" s="2766"/>
      <c r="E278" s="2766"/>
      <c r="F278" s="2766"/>
      <c r="G278" s="2766"/>
      <c r="H278" s="2766"/>
      <c r="I278" s="2766"/>
      <c r="J278" s="2766"/>
      <c r="K278" s="2820"/>
      <c r="L278" s="2820"/>
      <c r="M278" s="2830"/>
      <c r="N278" s="2830"/>
      <c r="O278" s="2830"/>
      <c r="P278" s="2830"/>
      <c r="Q278" s="2830"/>
      <c r="R278" s="2830"/>
      <c r="S278" s="2830"/>
      <c r="T278" s="2830"/>
      <c r="U278" s="2830"/>
      <c r="V278" s="2830"/>
      <c r="W278" s="2830"/>
      <c r="X278" s="2830"/>
      <c r="Y278" s="2830"/>
      <c r="Z278" s="2830"/>
      <c r="AA278" s="2830"/>
      <c r="AB278" s="2830"/>
      <c r="AC278" s="2830"/>
      <c r="AD278" s="2830"/>
      <c r="AE278" s="2830"/>
      <c r="AF278" s="2830"/>
      <c r="AG278" s="2830"/>
      <c r="AH278" s="2831"/>
      <c r="AI278" s="2830"/>
      <c r="AJ278" s="2830"/>
      <c r="AK278" s="2830"/>
      <c r="AL278" s="2830"/>
      <c r="AM278" s="2830"/>
      <c r="AN278" s="2830"/>
      <c r="AO278" s="2830"/>
      <c r="AP278" s="2830"/>
      <c r="AQ278" s="2830"/>
      <c r="AR278" s="2820"/>
      <c r="AS278" s="2820"/>
      <c r="AT278" s="2820"/>
      <c r="AU278" s="2820"/>
      <c r="AV278" s="2766"/>
      <c r="AY278" s="2766"/>
    </row>
    <row r="279" spans="1:51">
      <c r="A279" s="2766"/>
      <c r="E279" s="2766"/>
      <c r="F279" s="2766"/>
      <c r="G279" s="2766"/>
      <c r="H279" s="2766"/>
      <c r="I279" s="2766"/>
      <c r="J279" s="2766"/>
      <c r="K279" s="2820"/>
      <c r="L279" s="2820"/>
      <c r="M279" s="2830"/>
      <c r="N279" s="2830"/>
      <c r="O279" s="2830"/>
      <c r="P279" s="2830"/>
      <c r="Q279" s="2830"/>
      <c r="R279" s="2830"/>
      <c r="S279" s="2830"/>
      <c r="T279" s="2830"/>
      <c r="U279" s="2830"/>
      <c r="V279" s="2830"/>
      <c r="W279" s="2830"/>
      <c r="X279" s="2830"/>
      <c r="Y279" s="2830"/>
      <c r="Z279" s="2830"/>
      <c r="AA279" s="2830"/>
      <c r="AB279" s="2830"/>
      <c r="AC279" s="2830"/>
      <c r="AD279" s="2830"/>
      <c r="AE279" s="2830"/>
      <c r="AF279" s="2830"/>
      <c r="AG279" s="2830"/>
      <c r="AH279" s="2831"/>
      <c r="AI279" s="2830"/>
      <c r="AJ279" s="2830"/>
      <c r="AK279" s="2830"/>
      <c r="AL279" s="2830"/>
      <c r="AM279" s="2830"/>
      <c r="AN279" s="2830"/>
      <c r="AO279" s="2830"/>
      <c r="AP279" s="2830"/>
      <c r="AQ279" s="2830"/>
      <c r="AR279" s="2820"/>
      <c r="AS279" s="2820"/>
      <c r="AT279" s="2820"/>
      <c r="AU279" s="2820"/>
      <c r="AV279" s="2766"/>
      <c r="AY279" s="2766"/>
    </row>
    <row r="280" spans="1:51">
      <c r="A280" s="2766"/>
      <c r="E280" s="2766"/>
      <c r="F280" s="2766"/>
      <c r="G280" s="2766"/>
      <c r="H280" s="2766"/>
      <c r="I280" s="2766"/>
      <c r="J280" s="2766"/>
      <c r="K280" s="2820"/>
      <c r="L280" s="2820"/>
      <c r="M280" s="2830"/>
      <c r="N280" s="2830"/>
      <c r="O280" s="2830"/>
      <c r="P280" s="2830"/>
      <c r="Q280" s="2830"/>
      <c r="R280" s="2830"/>
      <c r="S280" s="2830"/>
      <c r="T280" s="2830"/>
      <c r="U280" s="2830"/>
      <c r="V280" s="2830"/>
      <c r="W280" s="2830"/>
      <c r="X280" s="2830"/>
      <c r="Y280" s="2830"/>
      <c r="Z280" s="2830"/>
      <c r="AA280" s="2830"/>
      <c r="AB280" s="2830"/>
      <c r="AC280" s="2830"/>
      <c r="AD280" s="2830"/>
      <c r="AE280" s="2830"/>
      <c r="AF280" s="2830"/>
      <c r="AG280" s="2830"/>
      <c r="AH280" s="2831"/>
      <c r="AI280" s="2830"/>
      <c r="AJ280" s="2830"/>
      <c r="AK280" s="2830"/>
      <c r="AL280" s="2830"/>
      <c r="AM280" s="2830"/>
      <c r="AN280" s="2830"/>
      <c r="AO280" s="2830"/>
      <c r="AP280" s="2830"/>
      <c r="AQ280" s="2830"/>
      <c r="AR280" s="2820"/>
      <c r="AS280" s="2820"/>
      <c r="AT280" s="2820"/>
      <c r="AU280" s="2820"/>
      <c r="AV280" s="2766"/>
      <c r="AY280" s="2766"/>
    </row>
    <row r="281" spans="1:51">
      <c r="A281" s="2766"/>
      <c r="E281" s="2766"/>
      <c r="F281" s="2766"/>
      <c r="G281" s="2766"/>
      <c r="H281" s="2766"/>
      <c r="I281" s="2766"/>
      <c r="J281" s="2766"/>
      <c r="K281" s="2820"/>
      <c r="L281" s="2820"/>
      <c r="M281" s="2830"/>
      <c r="N281" s="2830"/>
      <c r="O281" s="2830"/>
      <c r="P281" s="2830"/>
      <c r="Q281" s="2830"/>
      <c r="R281" s="2830"/>
      <c r="S281" s="2830"/>
      <c r="T281" s="2830"/>
      <c r="U281" s="2830"/>
      <c r="V281" s="2830"/>
      <c r="W281" s="2830"/>
      <c r="X281" s="2830"/>
      <c r="Y281" s="2830"/>
      <c r="Z281" s="2830"/>
      <c r="AA281" s="2830"/>
      <c r="AB281" s="2830"/>
      <c r="AC281" s="2830"/>
      <c r="AD281" s="2830"/>
      <c r="AE281" s="2830"/>
      <c r="AF281" s="2830"/>
      <c r="AG281" s="2830"/>
      <c r="AH281" s="2831"/>
      <c r="AI281" s="2830"/>
      <c r="AJ281" s="2830"/>
      <c r="AK281" s="2830"/>
      <c r="AL281" s="2830"/>
      <c r="AM281" s="2830"/>
      <c r="AN281" s="2830"/>
      <c r="AO281" s="2830"/>
      <c r="AP281" s="2830"/>
      <c r="AQ281" s="2830"/>
      <c r="AR281" s="2820"/>
      <c r="AS281" s="2820"/>
      <c r="AT281" s="2820"/>
      <c r="AU281" s="2820"/>
      <c r="AV281" s="2766"/>
      <c r="AY281" s="2766"/>
    </row>
    <row r="282" spans="1:51">
      <c r="A282" s="2766"/>
      <c r="E282" s="2766"/>
      <c r="F282" s="2766"/>
      <c r="G282" s="2766"/>
      <c r="H282" s="2766"/>
      <c r="I282" s="2766"/>
      <c r="J282" s="2766"/>
      <c r="K282" s="2820"/>
      <c r="L282" s="2820"/>
      <c r="M282" s="2830"/>
      <c r="N282" s="2830"/>
      <c r="O282" s="2830"/>
      <c r="P282" s="2830"/>
      <c r="Q282" s="2830"/>
      <c r="R282" s="2830"/>
      <c r="S282" s="2830"/>
      <c r="T282" s="2830"/>
      <c r="U282" s="2830"/>
      <c r="V282" s="2830"/>
      <c r="W282" s="2830"/>
      <c r="X282" s="2830"/>
      <c r="Y282" s="2830"/>
      <c r="Z282" s="2830"/>
      <c r="AA282" s="2830"/>
      <c r="AB282" s="2830"/>
      <c r="AC282" s="2830"/>
      <c r="AD282" s="2830"/>
      <c r="AE282" s="2830"/>
      <c r="AF282" s="2830"/>
      <c r="AG282" s="2830"/>
      <c r="AH282" s="2831"/>
      <c r="AI282" s="2830"/>
      <c r="AJ282" s="2830"/>
      <c r="AK282" s="2830"/>
      <c r="AL282" s="2830"/>
      <c r="AM282" s="2830"/>
      <c r="AN282" s="2830"/>
      <c r="AO282" s="2830"/>
      <c r="AP282" s="2830"/>
      <c r="AQ282" s="2830"/>
      <c r="AR282" s="2820"/>
      <c r="AS282" s="2820"/>
      <c r="AT282" s="2820"/>
      <c r="AU282" s="2820"/>
      <c r="AV282" s="2766"/>
      <c r="AY282" s="2766"/>
    </row>
    <row r="283" spans="1:51">
      <c r="A283" s="2766"/>
      <c r="E283" s="2766"/>
      <c r="F283" s="2766"/>
      <c r="G283" s="2766"/>
      <c r="H283" s="2766"/>
      <c r="I283" s="2766"/>
      <c r="J283" s="2766"/>
      <c r="K283" s="2820"/>
      <c r="L283" s="2820"/>
      <c r="M283" s="2830"/>
      <c r="N283" s="2830"/>
      <c r="O283" s="2830"/>
      <c r="P283" s="2830"/>
      <c r="Q283" s="2830"/>
      <c r="R283" s="2830"/>
      <c r="S283" s="2830"/>
      <c r="T283" s="2830"/>
      <c r="U283" s="2830"/>
      <c r="V283" s="2830"/>
      <c r="W283" s="2830"/>
      <c r="X283" s="2830"/>
      <c r="Y283" s="2830"/>
      <c r="Z283" s="2830"/>
      <c r="AA283" s="2830"/>
      <c r="AB283" s="2830"/>
      <c r="AC283" s="2830"/>
      <c r="AD283" s="2830"/>
      <c r="AE283" s="2830"/>
      <c r="AF283" s="2830"/>
      <c r="AG283" s="2830"/>
      <c r="AH283" s="2831"/>
      <c r="AI283" s="2830"/>
      <c r="AJ283" s="2830"/>
      <c r="AK283" s="2830"/>
      <c r="AL283" s="2830"/>
      <c r="AM283" s="2830"/>
      <c r="AN283" s="2830"/>
      <c r="AO283" s="2830"/>
      <c r="AP283" s="2830"/>
      <c r="AQ283" s="2830"/>
      <c r="AR283" s="2820"/>
      <c r="AS283" s="2820"/>
      <c r="AT283" s="2820"/>
      <c r="AU283" s="2820"/>
      <c r="AV283" s="2766"/>
      <c r="AY283" s="2766"/>
    </row>
    <row r="284" spans="1:51">
      <c r="A284" s="2766"/>
      <c r="E284" s="2766"/>
      <c r="F284" s="2766"/>
      <c r="G284" s="2766"/>
      <c r="H284" s="2766"/>
      <c r="I284" s="2766"/>
      <c r="J284" s="2766"/>
      <c r="K284" s="2820"/>
      <c r="L284" s="2820"/>
      <c r="M284" s="2830"/>
      <c r="N284" s="2830"/>
      <c r="O284" s="2830"/>
      <c r="P284" s="2830"/>
      <c r="Q284" s="2830"/>
      <c r="R284" s="2830"/>
      <c r="S284" s="2830"/>
      <c r="T284" s="2830"/>
      <c r="U284" s="2830"/>
      <c r="V284" s="2830"/>
      <c r="W284" s="2830"/>
      <c r="X284" s="2830"/>
      <c r="Y284" s="2830"/>
      <c r="Z284" s="2830"/>
      <c r="AA284" s="2830"/>
      <c r="AB284" s="2830"/>
      <c r="AC284" s="2830"/>
      <c r="AD284" s="2830"/>
      <c r="AE284" s="2830"/>
      <c r="AF284" s="2830"/>
      <c r="AG284" s="2830"/>
      <c r="AH284" s="2831"/>
      <c r="AI284" s="2830"/>
      <c r="AJ284" s="2830"/>
      <c r="AK284" s="2830"/>
      <c r="AL284" s="2830"/>
      <c r="AM284" s="2830"/>
      <c r="AN284" s="2830"/>
      <c r="AO284" s="2830"/>
      <c r="AP284" s="2830"/>
      <c r="AQ284" s="2830"/>
      <c r="AR284" s="2820"/>
      <c r="AS284" s="2820"/>
      <c r="AT284" s="2820"/>
      <c r="AU284" s="2820"/>
      <c r="AV284" s="2766"/>
      <c r="AY284" s="2766"/>
    </row>
    <row r="285" spans="1:51">
      <c r="A285" s="2766"/>
      <c r="E285" s="2766"/>
      <c r="F285" s="2766"/>
      <c r="G285" s="2766"/>
      <c r="H285" s="2766"/>
      <c r="I285" s="2766"/>
      <c r="J285" s="2766"/>
      <c r="K285" s="2820"/>
      <c r="L285" s="2820"/>
      <c r="M285" s="2830"/>
      <c r="N285" s="2830"/>
      <c r="O285" s="2830"/>
      <c r="P285" s="2830"/>
      <c r="Q285" s="2830"/>
      <c r="R285" s="2830"/>
      <c r="S285" s="2830"/>
      <c r="T285" s="2830"/>
      <c r="U285" s="2830"/>
      <c r="V285" s="2830"/>
      <c r="W285" s="2830"/>
      <c r="X285" s="2830"/>
      <c r="Y285" s="2830"/>
      <c r="Z285" s="2830"/>
      <c r="AA285" s="2830"/>
      <c r="AB285" s="2830"/>
      <c r="AC285" s="2830"/>
      <c r="AD285" s="2830"/>
      <c r="AE285" s="2830"/>
      <c r="AF285" s="2830"/>
      <c r="AG285" s="2830"/>
      <c r="AH285" s="2831"/>
      <c r="AI285" s="2830"/>
      <c r="AJ285" s="2830"/>
      <c r="AK285" s="2830"/>
      <c r="AL285" s="2830"/>
      <c r="AM285" s="2830"/>
      <c r="AN285" s="2830"/>
      <c r="AO285" s="2830"/>
      <c r="AP285" s="2830"/>
      <c r="AQ285" s="2830"/>
      <c r="AR285" s="2820"/>
      <c r="AS285" s="2820"/>
      <c r="AT285" s="2820"/>
      <c r="AU285" s="2820"/>
      <c r="AV285" s="2766"/>
      <c r="AY285" s="2766"/>
    </row>
    <row r="286" spans="1:51">
      <c r="A286" s="2766"/>
      <c r="E286" s="2766"/>
      <c r="F286" s="2766"/>
      <c r="G286" s="2766"/>
      <c r="H286" s="2766"/>
      <c r="I286" s="2766"/>
      <c r="J286" s="2766"/>
      <c r="K286" s="2820"/>
      <c r="L286" s="2820"/>
      <c r="M286" s="2830"/>
      <c r="N286" s="2830"/>
      <c r="O286" s="2830"/>
      <c r="P286" s="2830"/>
      <c r="Q286" s="2830"/>
      <c r="R286" s="2830"/>
      <c r="S286" s="2830"/>
      <c r="T286" s="2830"/>
      <c r="U286" s="2830"/>
      <c r="V286" s="2830"/>
      <c r="W286" s="2830"/>
      <c r="X286" s="2830"/>
      <c r="Y286" s="2830"/>
      <c r="Z286" s="2830"/>
      <c r="AA286" s="2830"/>
      <c r="AB286" s="2830"/>
      <c r="AC286" s="2830"/>
      <c r="AD286" s="2830"/>
      <c r="AE286" s="2830"/>
      <c r="AF286" s="2830"/>
      <c r="AG286" s="2830"/>
      <c r="AH286" s="2831"/>
      <c r="AI286" s="2830"/>
      <c r="AJ286" s="2830"/>
      <c r="AK286" s="2830"/>
      <c r="AL286" s="2830"/>
      <c r="AM286" s="2830"/>
      <c r="AN286" s="2830"/>
      <c r="AO286" s="2830"/>
      <c r="AP286" s="2830"/>
      <c r="AQ286" s="2830"/>
      <c r="AR286" s="2820"/>
      <c r="AS286" s="2820"/>
      <c r="AT286" s="2820"/>
      <c r="AU286" s="2820"/>
      <c r="AV286" s="2766"/>
      <c r="AY286" s="2766"/>
    </row>
    <row r="287" spans="1:51">
      <c r="A287" s="2766"/>
      <c r="E287" s="2766"/>
      <c r="F287" s="2766"/>
      <c r="G287" s="2766"/>
      <c r="H287" s="2766"/>
      <c r="I287" s="2766"/>
      <c r="J287" s="2766"/>
      <c r="K287" s="2820"/>
      <c r="L287" s="2820"/>
      <c r="M287" s="2830"/>
      <c r="N287" s="2830"/>
      <c r="O287" s="2830"/>
      <c r="P287" s="2830"/>
      <c r="Q287" s="2830"/>
      <c r="R287" s="2830"/>
      <c r="S287" s="2830"/>
      <c r="T287" s="2830"/>
      <c r="U287" s="2830"/>
      <c r="V287" s="2830"/>
      <c r="W287" s="2830"/>
      <c r="X287" s="2830"/>
      <c r="Y287" s="2830"/>
      <c r="Z287" s="2830"/>
      <c r="AA287" s="2830"/>
      <c r="AB287" s="2830"/>
      <c r="AC287" s="2830"/>
      <c r="AD287" s="2830"/>
      <c r="AE287" s="2830"/>
      <c r="AF287" s="2830"/>
      <c r="AG287" s="2830"/>
      <c r="AH287" s="2831"/>
      <c r="AI287" s="2830"/>
      <c r="AJ287" s="2830"/>
      <c r="AK287" s="2830"/>
      <c r="AL287" s="2830"/>
      <c r="AM287" s="2830"/>
      <c r="AN287" s="2830"/>
      <c r="AO287" s="2830"/>
      <c r="AP287" s="2830"/>
      <c r="AQ287" s="2830"/>
      <c r="AR287" s="2820"/>
      <c r="AS287" s="2820"/>
      <c r="AT287" s="2820"/>
      <c r="AU287" s="2820"/>
      <c r="AV287" s="2766"/>
      <c r="AY287" s="2766"/>
    </row>
    <row r="288" spans="1:51">
      <c r="A288" s="2766"/>
      <c r="E288" s="2766"/>
      <c r="F288" s="2766"/>
      <c r="G288" s="2766"/>
      <c r="H288" s="2766"/>
      <c r="I288" s="2766"/>
      <c r="J288" s="2766"/>
      <c r="K288" s="2820"/>
      <c r="L288" s="2820"/>
      <c r="M288" s="2830"/>
      <c r="N288" s="2830"/>
      <c r="O288" s="2830"/>
      <c r="P288" s="2830"/>
      <c r="Q288" s="2830"/>
      <c r="R288" s="2830"/>
      <c r="S288" s="2830"/>
      <c r="T288" s="2830"/>
      <c r="U288" s="2830"/>
      <c r="V288" s="2830"/>
      <c r="W288" s="2830"/>
      <c r="X288" s="2830"/>
      <c r="Y288" s="2830"/>
      <c r="Z288" s="2830"/>
      <c r="AA288" s="2830"/>
      <c r="AB288" s="2830"/>
      <c r="AC288" s="2830"/>
      <c r="AD288" s="2830"/>
      <c r="AE288" s="2830"/>
      <c r="AF288" s="2830"/>
      <c r="AG288" s="2830"/>
      <c r="AH288" s="2831"/>
      <c r="AI288" s="2830"/>
      <c r="AJ288" s="2830"/>
      <c r="AK288" s="2830"/>
      <c r="AL288" s="2830"/>
      <c r="AM288" s="2830"/>
      <c r="AN288" s="2830"/>
      <c r="AO288" s="2830"/>
      <c r="AP288" s="2830"/>
      <c r="AQ288" s="2830"/>
      <c r="AR288" s="2820"/>
      <c r="AS288" s="2820"/>
      <c r="AT288" s="2820"/>
      <c r="AU288" s="2820"/>
      <c r="AV288" s="2766"/>
      <c r="AY288" s="2766"/>
    </row>
    <row r="289" spans="1:51">
      <c r="A289" s="2766"/>
      <c r="E289" s="2766"/>
      <c r="F289" s="2766"/>
      <c r="G289" s="2766"/>
      <c r="H289" s="2766"/>
      <c r="I289" s="2766"/>
      <c r="J289" s="2766"/>
      <c r="K289" s="2820"/>
      <c r="L289" s="2820"/>
      <c r="M289" s="2830"/>
      <c r="N289" s="2830"/>
      <c r="O289" s="2830"/>
      <c r="P289" s="2830"/>
      <c r="Q289" s="2830"/>
      <c r="R289" s="2830"/>
      <c r="S289" s="2830"/>
      <c r="T289" s="2830"/>
      <c r="U289" s="2830"/>
      <c r="V289" s="2830"/>
      <c r="W289" s="2830"/>
      <c r="X289" s="2830"/>
      <c r="Y289" s="2830"/>
      <c r="Z289" s="2830"/>
      <c r="AA289" s="2830"/>
      <c r="AB289" s="2830"/>
      <c r="AC289" s="2830"/>
      <c r="AD289" s="2830"/>
      <c r="AE289" s="2830"/>
      <c r="AF289" s="2830"/>
      <c r="AG289" s="2830"/>
      <c r="AH289" s="2831"/>
      <c r="AI289" s="2830"/>
      <c r="AJ289" s="2830"/>
      <c r="AK289" s="2830"/>
      <c r="AL289" s="2830"/>
      <c r="AM289" s="2830"/>
      <c r="AN289" s="2830"/>
      <c r="AO289" s="2830"/>
      <c r="AP289" s="2830"/>
      <c r="AQ289" s="2830"/>
      <c r="AR289" s="2820"/>
      <c r="AS289" s="2820"/>
      <c r="AT289" s="2820"/>
      <c r="AU289" s="2820"/>
      <c r="AV289" s="2766"/>
      <c r="AY289" s="2766"/>
    </row>
    <row r="290" spans="1:51">
      <c r="A290" s="2766"/>
      <c r="E290" s="2766"/>
      <c r="F290" s="2766"/>
      <c r="G290" s="2766"/>
      <c r="H290" s="2766"/>
      <c r="I290" s="2766"/>
      <c r="J290" s="2766"/>
      <c r="K290" s="2820"/>
      <c r="L290" s="2820"/>
      <c r="M290" s="2830"/>
      <c r="N290" s="2830"/>
      <c r="O290" s="2830"/>
      <c r="P290" s="2830"/>
      <c r="Q290" s="2830"/>
      <c r="R290" s="2830"/>
      <c r="S290" s="2830"/>
      <c r="T290" s="2830"/>
      <c r="U290" s="2830"/>
      <c r="V290" s="2830"/>
      <c r="W290" s="2830"/>
      <c r="X290" s="2830"/>
      <c r="Y290" s="2830"/>
      <c r="Z290" s="2830"/>
      <c r="AA290" s="2830"/>
      <c r="AB290" s="2830"/>
      <c r="AC290" s="2830"/>
      <c r="AD290" s="2830"/>
      <c r="AE290" s="2830"/>
      <c r="AF290" s="2830"/>
      <c r="AG290" s="2830"/>
      <c r="AH290" s="2831"/>
      <c r="AI290" s="2830"/>
      <c r="AJ290" s="2830"/>
      <c r="AK290" s="2830"/>
      <c r="AL290" s="2830"/>
      <c r="AM290" s="2830"/>
      <c r="AN290" s="2830"/>
      <c r="AO290" s="2830"/>
      <c r="AP290" s="2830"/>
      <c r="AQ290" s="2830"/>
      <c r="AR290" s="2820"/>
      <c r="AS290" s="2820"/>
      <c r="AT290" s="2820"/>
      <c r="AU290" s="2820"/>
      <c r="AV290" s="2766"/>
      <c r="AY290" s="2766"/>
    </row>
    <row r="291" spans="1:51">
      <c r="A291" s="2766"/>
      <c r="E291" s="2766"/>
      <c r="F291" s="2766"/>
      <c r="G291" s="2766"/>
      <c r="H291" s="2766"/>
      <c r="I291" s="2766"/>
      <c r="J291" s="2766"/>
      <c r="K291" s="2820"/>
      <c r="L291" s="2820"/>
      <c r="M291" s="2830"/>
      <c r="N291" s="2830"/>
      <c r="O291" s="2830"/>
      <c r="P291" s="2830"/>
      <c r="Q291" s="2830"/>
      <c r="R291" s="2830"/>
      <c r="S291" s="2830"/>
      <c r="T291" s="2830"/>
      <c r="U291" s="2830"/>
      <c r="V291" s="2830"/>
      <c r="W291" s="2830"/>
      <c r="X291" s="2830"/>
      <c r="Y291" s="2830"/>
      <c r="Z291" s="2830"/>
      <c r="AA291" s="2830"/>
      <c r="AB291" s="2830"/>
      <c r="AC291" s="2830"/>
      <c r="AD291" s="2830"/>
      <c r="AE291" s="2830"/>
      <c r="AF291" s="2830"/>
      <c r="AG291" s="2830"/>
      <c r="AH291" s="2831"/>
      <c r="AI291" s="2830"/>
      <c r="AJ291" s="2830"/>
      <c r="AK291" s="2830"/>
      <c r="AL291" s="2830"/>
      <c r="AM291" s="2830"/>
      <c r="AN291" s="2830"/>
      <c r="AO291" s="2830"/>
      <c r="AP291" s="2830"/>
      <c r="AQ291" s="2830"/>
      <c r="AR291" s="2820"/>
      <c r="AS291" s="2820"/>
      <c r="AT291" s="2820"/>
      <c r="AU291" s="2820"/>
      <c r="AV291" s="2766"/>
      <c r="AY291" s="2766"/>
    </row>
    <row r="292" spans="1:51">
      <c r="A292" s="2766"/>
      <c r="E292" s="2766"/>
      <c r="F292" s="2766"/>
      <c r="G292" s="2766"/>
      <c r="H292" s="2766"/>
      <c r="I292" s="2766"/>
      <c r="J292" s="2766"/>
      <c r="K292" s="2820"/>
      <c r="L292" s="2820"/>
      <c r="M292" s="2830"/>
      <c r="N292" s="2830"/>
      <c r="O292" s="2830"/>
      <c r="P292" s="2830"/>
      <c r="Q292" s="2830"/>
      <c r="R292" s="2830"/>
      <c r="S292" s="2830"/>
      <c r="T292" s="2830"/>
      <c r="U292" s="2830"/>
      <c r="V292" s="2830"/>
      <c r="W292" s="2830"/>
      <c r="X292" s="2830"/>
      <c r="Y292" s="2830"/>
      <c r="Z292" s="2830"/>
      <c r="AA292" s="2830"/>
      <c r="AB292" s="2830"/>
      <c r="AC292" s="2830"/>
      <c r="AD292" s="2830"/>
      <c r="AE292" s="2830"/>
      <c r="AF292" s="2830"/>
      <c r="AG292" s="2830"/>
      <c r="AH292" s="2831"/>
      <c r="AI292" s="2830"/>
      <c r="AJ292" s="2830"/>
      <c r="AK292" s="2830"/>
      <c r="AL292" s="2830"/>
      <c r="AM292" s="2830"/>
      <c r="AN292" s="2830"/>
      <c r="AO292" s="2830"/>
      <c r="AP292" s="2830"/>
      <c r="AQ292" s="2830"/>
      <c r="AR292" s="2820"/>
      <c r="AS292" s="2820"/>
      <c r="AT292" s="2820"/>
      <c r="AU292" s="2820"/>
      <c r="AV292" s="2766"/>
      <c r="AY292" s="2766"/>
    </row>
    <row r="293" spans="1:51">
      <c r="A293" s="2766"/>
      <c r="E293" s="2766"/>
      <c r="F293" s="2766"/>
      <c r="G293" s="2766"/>
      <c r="H293" s="2766"/>
      <c r="I293" s="2766"/>
      <c r="J293" s="2766"/>
      <c r="K293" s="2820"/>
      <c r="L293" s="2820"/>
      <c r="M293" s="2830"/>
      <c r="N293" s="2830"/>
      <c r="O293" s="2830"/>
      <c r="P293" s="2830"/>
      <c r="Q293" s="2830"/>
      <c r="R293" s="2830"/>
      <c r="S293" s="2830"/>
      <c r="T293" s="2830"/>
      <c r="U293" s="2830"/>
      <c r="V293" s="2830"/>
      <c r="W293" s="2830"/>
      <c r="X293" s="2830"/>
      <c r="Y293" s="2830"/>
      <c r="Z293" s="2830"/>
      <c r="AA293" s="2830"/>
      <c r="AB293" s="2830"/>
      <c r="AC293" s="2830"/>
      <c r="AD293" s="2830"/>
      <c r="AE293" s="2830"/>
      <c r="AF293" s="2830"/>
      <c r="AG293" s="2830"/>
      <c r="AH293" s="2831"/>
      <c r="AI293" s="2830"/>
      <c r="AJ293" s="2830"/>
      <c r="AK293" s="2830"/>
      <c r="AL293" s="2830"/>
      <c r="AM293" s="2830"/>
      <c r="AN293" s="2830"/>
      <c r="AO293" s="2830"/>
      <c r="AP293" s="2830"/>
      <c r="AQ293" s="2830"/>
      <c r="AR293" s="2820"/>
      <c r="AS293" s="2820"/>
      <c r="AT293" s="2820"/>
      <c r="AU293" s="2820"/>
      <c r="AV293" s="2766"/>
      <c r="AY293" s="2766"/>
    </row>
    <row r="294" spans="1:51">
      <c r="A294" s="2766"/>
      <c r="E294" s="2766"/>
      <c r="F294" s="2766"/>
      <c r="G294" s="2766"/>
      <c r="H294" s="2766"/>
      <c r="I294" s="2766"/>
      <c r="J294" s="2766"/>
      <c r="K294" s="2820"/>
      <c r="L294" s="2820"/>
      <c r="M294" s="2830"/>
      <c r="N294" s="2830"/>
      <c r="O294" s="2830"/>
      <c r="P294" s="2830"/>
      <c r="Q294" s="2830"/>
      <c r="R294" s="2830"/>
      <c r="S294" s="2830"/>
      <c r="T294" s="2830"/>
      <c r="U294" s="2830"/>
      <c r="V294" s="2830"/>
      <c r="W294" s="2830"/>
      <c r="X294" s="2830"/>
      <c r="Y294" s="2830"/>
      <c r="Z294" s="2830"/>
      <c r="AA294" s="2830"/>
      <c r="AB294" s="2830"/>
      <c r="AC294" s="2830"/>
      <c r="AD294" s="2830"/>
      <c r="AE294" s="2830"/>
      <c r="AF294" s="2830"/>
      <c r="AG294" s="2830"/>
      <c r="AH294" s="2831"/>
      <c r="AI294" s="2830"/>
      <c r="AJ294" s="2830"/>
      <c r="AK294" s="2830"/>
      <c r="AL294" s="2830"/>
      <c r="AM294" s="2830"/>
      <c r="AN294" s="2830"/>
      <c r="AO294" s="2830"/>
      <c r="AP294" s="2830"/>
      <c r="AQ294" s="2830"/>
      <c r="AR294" s="2820"/>
      <c r="AS294" s="2820"/>
      <c r="AT294" s="2820"/>
      <c r="AU294" s="2820"/>
      <c r="AV294" s="2766"/>
      <c r="AY294" s="2766"/>
    </row>
    <row r="295" spans="1:51">
      <c r="A295" s="2766"/>
      <c r="E295" s="2766"/>
      <c r="F295" s="2766"/>
      <c r="G295" s="2766"/>
      <c r="H295" s="2766"/>
      <c r="I295" s="2766"/>
      <c r="J295" s="2766"/>
      <c r="K295" s="2820"/>
      <c r="L295" s="2820"/>
      <c r="M295" s="2830"/>
      <c r="N295" s="2830"/>
      <c r="O295" s="2830"/>
      <c r="P295" s="2830"/>
      <c r="Q295" s="2830"/>
      <c r="R295" s="2830"/>
      <c r="S295" s="2830"/>
      <c r="T295" s="2830"/>
      <c r="U295" s="2830"/>
      <c r="V295" s="2830"/>
      <c r="W295" s="2830"/>
      <c r="X295" s="2830"/>
      <c r="Y295" s="2830"/>
      <c r="Z295" s="2830"/>
      <c r="AA295" s="2830"/>
      <c r="AB295" s="2830"/>
      <c r="AC295" s="2830"/>
      <c r="AD295" s="2830"/>
      <c r="AE295" s="2830"/>
      <c r="AF295" s="2830"/>
      <c r="AG295" s="2830"/>
      <c r="AH295" s="2831"/>
      <c r="AI295" s="2830"/>
      <c r="AJ295" s="2830"/>
      <c r="AK295" s="2830"/>
      <c r="AL295" s="2830"/>
      <c r="AM295" s="2830"/>
      <c r="AN295" s="2830"/>
      <c r="AO295" s="2830"/>
      <c r="AP295" s="2830"/>
      <c r="AQ295" s="2830"/>
      <c r="AR295" s="2820"/>
      <c r="AS295" s="2820"/>
      <c r="AT295" s="2820"/>
      <c r="AU295" s="2820"/>
      <c r="AV295" s="2766"/>
      <c r="AY295" s="2766"/>
    </row>
    <row r="296" spans="1:51">
      <c r="A296" s="2766"/>
      <c r="E296" s="2766"/>
      <c r="F296" s="2766"/>
      <c r="G296" s="2766"/>
      <c r="H296" s="2766"/>
      <c r="I296" s="2766"/>
      <c r="J296" s="2766"/>
      <c r="K296" s="2820"/>
      <c r="L296" s="2820"/>
      <c r="M296" s="2830"/>
      <c r="N296" s="2830"/>
      <c r="O296" s="2830"/>
      <c r="P296" s="2830"/>
      <c r="Q296" s="2830"/>
      <c r="R296" s="2830"/>
      <c r="S296" s="2830"/>
      <c r="T296" s="2830"/>
      <c r="U296" s="2830"/>
      <c r="V296" s="2830"/>
      <c r="W296" s="2830"/>
      <c r="X296" s="2830"/>
      <c r="Y296" s="2830"/>
      <c r="Z296" s="2830"/>
      <c r="AA296" s="2830"/>
      <c r="AB296" s="2830"/>
      <c r="AC296" s="2830"/>
      <c r="AD296" s="2830"/>
      <c r="AE296" s="2830"/>
      <c r="AF296" s="2830"/>
      <c r="AG296" s="2830"/>
      <c r="AH296" s="2831"/>
      <c r="AI296" s="2830"/>
      <c r="AJ296" s="2830"/>
      <c r="AK296" s="2830"/>
      <c r="AL296" s="2830"/>
      <c r="AM296" s="2830"/>
      <c r="AN296" s="2830"/>
      <c r="AO296" s="2830"/>
      <c r="AP296" s="2830"/>
      <c r="AQ296" s="2830"/>
      <c r="AR296" s="2820"/>
      <c r="AS296" s="2820"/>
      <c r="AT296" s="2820"/>
      <c r="AU296" s="2820"/>
      <c r="AV296" s="2766"/>
      <c r="AY296" s="2766"/>
    </row>
    <row r="297" spans="1:51">
      <c r="A297" s="2766"/>
      <c r="E297" s="2766"/>
      <c r="F297" s="2766"/>
      <c r="G297" s="2766"/>
      <c r="H297" s="2766"/>
      <c r="I297" s="2766"/>
      <c r="J297" s="2766"/>
      <c r="K297" s="2820"/>
      <c r="L297" s="2820"/>
      <c r="M297" s="2830"/>
      <c r="N297" s="2830"/>
      <c r="O297" s="2830"/>
      <c r="P297" s="2830"/>
      <c r="Q297" s="2830"/>
      <c r="R297" s="2830"/>
      <c r="S297" s="2830"/>
      <c r="T297" s="2830"/>
      <c r="U297" s="2830"/>
      <c r="V297" s="2830"/>
      <c r="W297" s="2830"/>
      <c r="X297" s="2830"/>
      <c r="Y297" s="2830"/>
      <c r="Z297" s="2830"/>
      <c r="AA297" s="2830"/>
      <c r="AB297" s="2830"/>
      <c r="AC297" s="2830"/>
      <c r="AD297" s="2830"/>
      <c r="AE297" s="2830"/>
      <c r="AF297" s="2830"/>
      <c r="AG297" s="2830"/>
      <c r="AH297" s="2831"/>
      <c r="AI297" s="2830"/>
      <c r="AJ297" s="2830"/>
      <c r="AK297" s="2830"/>
      <c r="AL297" s="2830"/>
      <c r="AM297" s="2830"/>
      <c r="AN297" s="2830"/>
      <c r="AO297" s="2830"/>
      <c r="AP297" s="2830"/>
      <c r="AQ297" s="2830"/>
      <c r="AR297" s="2820"/>
      <c r="AS297" s="2820"/>
      <c r="AT297" s="2820"/>
      <c r="AU297" s="2820"/>
      <c r="AV297" s="2766"/>
      <c r="AY297" s="2766"/>
    </row>
    <row r="298" spans="1:51">
      <c r="A298" s="2766"/>
      <c r="E298" s="2766"/>
      <c r="F298" s="2766"/>
      <c r="G298" s="2766"/>
      <c r="H298" s="2766"/>
      <c r="I298" s="2766"/>
      <c r="J298" s="2766"/>
      <c r="K298" s="2820"/>
      <c r="L298" s="2820"/>
      <c r="M298" s="2830"/>
      <c r="N298" s="2830"/>
      <c r="O298" s="2830"/>
      <c r="P298" s="2830"/>
      <c r="Q298" s="2830"/>
      <c r="R298" s="2830"/>
      <c r="S298" s="2830"/>
      <c r="T298" s="2830"/>
      <c r="U298" s="2830"/>
      <c r="V298" s="2830"/>
      <c r="W298" s="2830"/>
      <c r="X298" s="2830"/>
      <c r="Y298" s="2830"/>
      <c r="Z298" s="2830"/>
      <c r="AA298" s="2830"/>
      <c r="AB298" s="2830"/>
      <c r="AC298" s="2830"/>
      <c r="AD298" s="2830"/>
      <c r="AE298" s="2830"/>
      <c r="AF298" s="2830"/>
      <c r="AG298" s="2830"/>
      <c r="AH298" s="2831"/>
      <c r="AI298" s="2830"/>
      <c r="AJ298" s="2830"/>
      <c r="AK298" s="2830"/>
      <c r="AL298" s="2830"/>
      <c r="AM298" s="2830"/>
      <c r="AN298" s="2830"/>
      <c r="AO298" s="2830"/>
      <c r="AP298" s="2830"/>
      <c r="AQ298" s="2830"/>
      <c r="AR298" s="2820"/>
      <c r="AS298" s="2820"/>
      <c r="AT298" s="2820"/>
      <c r="AU298" s="2820"/>
      <c r="AV298" s="2766"/>
      <c r="AY298" s="2766"/>
    </row>
    <row r="299" spans="1:51">
      <c r="A299" s="2766"/>
      <c r="E299" s="2766"/>
      <c r="F299" s="2766"/>
      <c r="G299" s="2766"/>
      <c r="H299" s="2766"/>
      <c r="I299" s="2766"/>
      <c r="J299" s="2766"/>
      <c r="K299" s="2820"/>
      <c r="L299" s="2820"/>
      <c r="M299" s="2830"/>
      <c r="N299" s="2830"/>
      <c r="O299" s="2830"/>
      <c r="P299" s="2830"/>
      <c r="Q299" s="2830"/>
      <c r="R299" s="2830"/>
      <c r="S299" s="2830"/>
      <c r="T299" s="2830"/>
      <c r="U299" s="2830"/>
      <c r="V299" s="2830"/>
      <c r="W299" s="2830"/>
      <c r="X299" s="2830"/>
      <c r="Y299" s="2830"/>
      <c r="Z299" s="2830"/>
      <c r="AA299" s="2830"/>
      <c r="AB299" s="2830"/>
      <c r="AC299" s="2830"/>
      <c r="AD299" s="2830"/>
      <c r="AE299" s="2830"/>
      <c r="AF299" s="2830"/>
      <c r="AG299" s="2830"/>
      <c r="AH299" s="2831"/>
      <c r="AI299" s="2830"/>
      <c r="AJ299" s="2830"/>
      <c r="AK299" s="2830"/>
      <c r="AL299" s="2830"/>
      <c r="AM299" s="2830"/>
      <c r="AN299" s="2830"/>
      <c r="AO299" s="2830"/>
      <c r="AP299" s="2830"/>
      <c r="AQ299" s="2830"/>
      <c r="AR299" s="2820"/>
      <c r="AS299" s="2820"/>
      <c r="AT299" s="2820"/>
      <c r="AU299" s="2820"/>
      <c r="AV299" s="2766"/>
      <c r="AY299" s="2766"/>
    </row>
    <row r="300" spans="1:51">
      <c r="A300" s="2766"/>
      <c r="E300" s="2766"/>
      <c r="F300" s="2766"/>
      <c r="G300" s="2766"/>
      <c r="H300" s="2766"/>
      <c r="I300" s="2766"/>
      <c r="J300" s="2766"/>
      <c r="K300" s="2820"/>
      <c r="L300" s="2820"/>
      <c r="M300" s="2830"/>
      <c r="N300" s="2830"/>
      <c r="O300" s="2830"/>
      <c r="P300" s="2830"/>
      <c r="Q300" s="2830"/>
      <c r="R300" s="2830"/>
      <c r="S300" s="2830"/>
      <c r="T300" s="2830"/>
      <c r="U300" s="2830"/>
      <c r="V300" s="2830"/>
      <c r="W300" s="2830"/>
      <c r="X300" s="2830"/>
      <c r="Y300" s="2830"/>
      <c r="Z300" s="2830"/>
      <c r="AA300" s="2830"/>
      <c r="AB300" s="2830"/>
      <c r="AC300" s="2830"/>
      <c r="AD300" s="2830"/>
      <c r="AE300" s="2830"/>
      <c r="AF300" s="2830"/>
      <c r="AG300" s="2830"/>
      <c r="AH300" s="2831"/>
      <c r="AI300" s="2830"/>
      <c r="AJ300" s="2830"/>
      <c r="AK300" s="2830"/>
      <c r="AL300" s="2830"/>
      <c r="AM300" s="2830"/>
      <c r="AN300" s="2830"/>
      <c r="AO300" s="2830"/>
      <c r="AP300" s="2830"/>
      <c r="AQ300" s="2830"/>
      <c r="AR300" s="2820"/>
      <c r="AS300" s="2820"/>
      <c r="AT300" s="2820"/>
      <c r="AU300" s="2820"/>
      <c r="AV300" s="2766"/>
      <c r="AY300" s="2766"/>
    </row>
    <row r="301" spans="1:51">
      <c r="A301" s="2766"/>
      <c r="E301" s="2766"/>
      <c r="F301" s="2766"/>
      <c r="G301" s="2766"/>
      <c r="H301" s="2766"/>
      <c r="I301" s="2766"/>
      <c r="J301" s="2766"/>
      <c r="K301" s="2820"/>
      <c r="L301" s="2820"/>
      <c r="M301" s="2830"/>
      <c r="N301" s="2830"/>
      <c r="O301" s="2830"/>
      <c r="P301" s="2830"/>
      <c r="Q301" s="2830"/>
      <c r="R301" s="2830"/>
      <c r="S301" s="2830"/>
      <c r="T301" s="2830"/>
      <c r="U301" s="2830"/>
      <c r="V301" s="2830"/>
      <c r="W301" s="2830"/>
      <c r="X301" s="2830"/>
      <c r="Y301" s="2830"/>
      <c r="Z301" s="2830"/>
      <c r="AA301" s="2830"/>
      <c r="AB301" s="2830"/>
      <c r="AC301" s="2830"/>
      <c r="AD301" s="2830"/>
      <c r="AE301" s="2830"/>
      <c r="AF301" s="2830"/>
      <c r="AG301" s="2830"/>
      <c r="AH301" s="2831"/>
      <c r="AI301" s="2830"/>
      <c r="AJ301" s="2830"/>
      <c r="AK301" s="2830"/>
      <c r="AL301" s="2830"/>
      <c r="AM301" s="2830"/>
      <c r="AN301" s="2830"/>
      <c r="AO301" s="2830"/>
      <c r="AP301" s="2830"/>
      <c r="AQ301" s="2830"/>
      <c r="AR301" s="2820"/>
      <c r="AS301" s="2820"/>
      <c r="AT301" s="2820"/>
      <c r="AU301" s="2820"/>
      <c r="AV301" s="2766"/>
      <c r="AY301" s="2766"/>
    </row>
    <row r="302" spans="1:51">
      <c r="A302" s="2766"/>
      <c r="E302" s="2766"/>
      <c r="F302" s="2766"/>
      <c r="G302" s="2766"/>
      <c r="H302" s="2766"/>
      <c r="I302" s="2766"/>
      <c r="J302" s="2766"/>
      <c r="K302" s="2820"/>
      <c r="L302" s="2820"/>
      <c r="M302" s="2830"/>
      <c r="N302" s="2830"/>
      <c r="O302" s="2830"/>
      <c r="P302" s="2830"/>
      <c r="Q302" s="2830"/>
      <c r="R302" s="2830"/>
      <c r="S302" s="2830"/>
      <c r="T302" s="2830"/>
      <c r="U302" s="2830"/>
      <c r="V302" s="2830"/>
      <c r="W302" s="2830"/>
      <c r="X302" s="2830"/>
      <c r="Y302" s="2830"/>
      <c r="Z302" s="2830"/>
      <c r="AA302" s="2830"/>
      <c r="AB302" s="2830"/>
      <c r="AC302" s="2830"/>
      <c r="AD302" s="2830"/>
      <c r="AE302" s="2830"/>
      <c r="AF302" s="2830"/>
      <c r="AG302" s="2830"/>
      <c r="AH302" s="2831"/>
      <c r="AI302" s="2830"/>
      <c r="AJ302" s="2830"/>
      <c r="AK302" s="2830"/>
      <c r="AL302" s="2830"/>
      <c r="AM302" s="2830"/>
      <c r="AN302" s="2830"/>
      <c r="AO302" s="2830"/>
      <c r="AP302" s="2830"/>
      <c r="AQ302" s="2830"/>
      <c r="AR302" s="2820"/>
      <c r="AS302" s="2820"/>
      <c r="AT302" s="2820"/>
      <c r="AU302" s="2820"/>
      <c r="AV302" s="2766"/>
      <c r="AY302" s="2766"/>
    </row>
    <row r="303" spans="1:51">
      <c r="A303" s="2766"/>
      <c r="E303" s="2766"/>
      <c r="F303" s="2766"/>
      <c r="G303" s="2766"/>
      <c r="H303" s="2766"/>
      <c r="I303" s="2766"/>
      <c r="J303" s="2766"/>
      <c r="K303" s="2820"/>
      <c r="L303" s="2820"/>
      <c r="M303" s="2830"/>
      <c r="N303" s="2830"/>
      <c r="O303" s="2830"/>
      <c r="P303" s="2830"/>
      <c r="Q303" s="2830"/>
      <c r="R303" s="2830"/>
      <c r="S303" s="2830"/>
      <c r="T303" s="2830"/>
      <c r="U303" s="2830"/>
      <c r="V303" s="2830"/>
      <c r="W303" s="2830"/>
      <c r="X303" s="2830"/>
      <c r="Y303" s="2830"/>
      <c r="Z303" s="2830"/>
      <c r="AA303" s="2830"/>
      <c r="AB303" s="2830"/>
      <c r="AC303" s="2830"/>
      <c r="AD303" s="2830"/>
      <c r="AE303" s="2830"/>
      <c r="AF303" s="2830"/>
      <c r="AG303" s="2830"/>
      <c r="AH303" s="2831"/>
      <c r="AI303" s="2830"/>
      <c r="AJ303" s="2830"/>
      <c r="AK303" s="2830"/>
      <c r="AL303" s="2830"/>
      <c r="AM303" s="2830"/>
      <c r="AN303" s="2830"/>
      <c r="AO303" s="2830"/>
      <c r="AP303" s="2830"/>
      <c r="AQ303" s="2830"/>
      <c r="AR303" s="2820"/>
      <c r="AS303" s="2820"/>
      <c r="AT303" s="2820"/>
      <c r="AU303" s="2820"/>
      <c r="AV303" s="2766"/>
      <c r="AY303" s="2766"/>
    </row>
    <row r="304" spans="1:51">
      <c r="A304" s="2766"/>
      <c r="E304" s="2766"/>
      <c r="F304" s="2766"/>
      <c r="G304" s="2766"/>
      <c r="H304" s="2766"/>
      <c r="I304" s="2766"/>
      <c r="J304" s="2766"/>
      <c r="K304" s="2820"/>
      <c r="L304" s="2820"/>
      <c r="M304" s="2830"/>
      <c r="N304" s="2830"/>
      <c r="O304" s="2830"/>
      <c r="P304" s="2830"/>
      <c r="Q304" s="2830"/>
      <c r="R304" s="2830"/>
      <c r="S304" s="2830"/>
      <c r="T304" s="2830"/>
      <c r="U304" s="2830"/>
      <c r="V304" s="2830"/>
      <c r="W304" s="2830"/>
      <c r="X304" s="2830"/>
      <c r="Y304" s="2830"/>
      <c r="Z304" s="2830"/>
      <c r="AA304" s="2830"/>
      <c r="AB304" s="2830"/>
      <c r="AC304" s="2830"/>
      <c r="AD304" s="2830"/>
      <c r="AE304" s="2830"/>
      <c r="AF304" s="2830"/>
      <c r="AG304" s="2830"/>
      <c r="AH304" s="2831"/>
      <c r="AI304" s="2830"/>
      <c r="AJ304" s="2830"/>
      <c r="AK304" s="2830"/>
      <c r="AL304" s="2830"/>
      <c r="AM304" s="2830"/>
      <c r="AN304" s="2830"/>
      <c r="AO304" s="2830"/>
      <c r="AP304" s="2830"/>
      <c r="AQ304" s="2830"/>
      <c r="AR304" s="2820"/>
      <c r="AS304" s="2820"/>
      <c r="AT304" s="2820"/>
      <c r="AU304" s="2820"/>
      <c r="AV304" s="2766"/>
      <c r="AY304" s="2766"/>
    </row>
    <row r="305" spans="1:51">
      <c r="A305" s="2766"/>
      <c r="E305" s="2766"/>
      <c r="F305" s="2766"/>
      <c r="G305" s="2766"/>
      <c r="H305" s="2766"/>
      <c r="I305" s="2766"/>
      <c r="J305" s="2766"/>
      <c r="K305" s="2820"/>
      <c r="L305" s="2820"/>
      <c r="M305" s="2830"/>
      <c r="N305" s="2830"/>
      <c r="O305" s="2830"/>
      <c r="P305" s="2830"/>
      <c r="Q305" s="2830"/>
      <c r="R305" s="2830"/>
      <c r="S305" s="2830"/>
      <c r="T305" s="2830"/>
      <c r="U305" s="2830"/>
      <c r="V305" s="2830"/>
      <c r="W305" s="2830"/>
      <c r="X305" s="2830"/>
      <c r="Y305" s="2830"/>
      <c r="Z305" s="2830"/>
      <c r="AA305" s="2830"/>
      <c r="AB305" s="2830"/>
      <c r="AC305" s="2830"/>
      <c r="AD305" s="2830"/>
      <c r="AE305" s="2830"/>
      <c r="AF305" s="2830"/>
      <c r="AG305" s="2830"/>
      <c r="AH305" s="2831"/>
      <c r="AI305" s="2830"/>
      <c r="AJ305" s="2830"/>
      <c r="AK305" s="2830"/>
      <c r="AL305" s="2830"/>
      <c r="AM305" s="2830"/>
      <c r="AN305" s="2830"/>
      <c r="AO305" s="2830"/>
      <c r="AP305" s="2830"/>
      <c r="AQ305" s="2830"/>
      <c r="AR305" s="2820"/>
      <c r="AS305" s="2820"/>
      <c r="AT305" s="2820"/>
      <c r="AU305" s="2820"/>
      <c r="AV305" s="2766"/>
      <c r="AY305" s="2766"/>
    </row>
    <row r="306" spans="1:51">
      <c r="A306" s="2766"/>
      <c r="E306" s="2766"/>
      <c r="F306" s="2766"/>
      <c r="G306" s="2766"/>
      <c r="H306" s="2766"/>
      <c r="I306" s="2766"/>
      <c r="J306" s="2766"/>
      <c r="K306" s="2820"/>
      <c r="L306" s="2820"/>
      <c r="M306" s="2830"/>
      <c r="N306" s="2830"/>
      <c r="O306" s="2830"/>
      <c r="P306" s="2830"/>
      <c r="Q306" s="2830"/>
      <c r="R306" s="2830"/>
      <c r="S306" s="2830"/>
      <c r="T306" s="2830"/>
      <c r="U306" s="2830"/>
      <c r="V306" s="2830"/>
      <c r="W306" s="2830"/>
      <c r="X306" s="2830"/>
      <c r="Y306" s="2830"/>
      <c r="Z306" s="2830"/>
      <c r="AA306" s="2830"/>
      <c r="AB306" s="2830"/>
      <c r="AC306" s="2830"/>
      <c r="AD306" s="2830"/>
      <c r="AE306" s="2830"/>
      <c r="AF306" s="2830"/>
      <c r="AG306" s="2830"/>
      <c r="AH306" s="2831"/>
      <c r="AI306" s="2830"/>
      <c r="AJ306" s="2830"/>
      <c r="AK306" s="2830"/>
      <c r="AL306" s="2830"/>
      <c r="AM306" s="2830"/>
      <c r="AN306" s="2830"/>
      <c r="AO306" s="2830"/>
      <c r="AP306" s="2830"/>
      <c r="AQ306" s="2830"/>
      <c r="AR306" s="2820"/>
      <c r="AS306" s="2820"/>
      <c r="AT306" s="2820"/>
      <c r="AU306" s="2820"/>
      <c r="AV306" s="2766"/>
      <c r="AY306" s="2766"/>
    </row>
    <row r="307" spans="1:51">
      <c r="A307" s="2766"/>
      <c r="E307" s="2766"/>
      <c r="F307" s="2766"/>
      <c r="G307" s="2766"/>
      <c r="H307" s="2766"/>
      <c r="I307" s="2766"/>
      <c r="J307" s="2766"/>
      <c r="K307" s="2820"/>
      <c r="L307" s="2820"/>
      <c r="M307" s="2830"/>
      <c r="N307" s="2830"/>
      <c r="O307" s="2830"/>
      <c r="P307" s="2830"/>
      <c r="Q307" s="2830"/>
      <c r="R307" s="2830"/>
      <c r="S307" s="2830"/>
      <c r="T307" s="2830"/>
      <c r="U307" s="2830"/>
      <c r="V307" s="2830"/>
      <c r="W307" s="2830"/>
      <c r="X307" s="2830"/>
      <c r="Y307" s="2830"/>
      <c r="Z307" s="2830"/>
      <c r="AA307" s="2830"/>
      <c r="AB307" s="2830"/>
      <c r="AC307" s="2830"/>
      <c r="AD307" s="2830"/>
      <c r="AE307" s="2830"/>
      <c r="AF307" s="2830"/>
      <c r="AG307" s="2830"/>
      <c r="AH307" s="2831"/>
      <c r="AI307" s="2830"/>
      <c r="AJ307" s="2830"/>
      <c r="AK307" s="2830"/>
      <c r="AL307" s="2830"/>
      <c r="AM307" s="2830"/>
      <c r="AN307" s="2830"/>
      <c r="AO307" s="2830"/>
      <c r="AP307" s="2830"/>
      <c r="AQ307" s="2830"/>
      <c r="AR307" s="2820"/>
      <c r="AS307" s="2820"/>
      <c r="AT307" s="2820"/>
      <c r="AU307" s="2820"/>
      <c r="AV307" s="2766"/>
      <c r="AY307" s="2766"/>
    </row>
    <row r="308" spans="1:51">
      <c r="A308" s="2766"/>
      <c r="E308" s="2766"/>
      <c r="F308" s="2766"/>
      <c r="G308" s="2766"/>
      <c r="H308" s="2766"/>
      <c r="I308" s="2766"/>
      <c r="J308" s="2766"/>
      <c r="K308" s="2820"/>
      <c r="L308" s="2820"/>
      <c r="M308" s="2830"/>
      <c r="N308" s="2830"/>
      <c r="O308" s="2830"/>
      <c r="P308" s="2830"/>
      <c r="Q308" s="2830"/>
      <c r="R308" s="2830"/>
      <c r="S308" s="2830"/>
      <c r="T308" s="2830"/>
      <c r="U308" s="2830"/>
      <c r="V308" s="2830"/>
      <c r="W308" s="2830"/>
      <c r="X308" s="2830"/>
      <c r="Y308" s="2830"/>
      <c r="Z308" s="2830"/>
      <c r="AA308" s="2830"/>
      <c r="AB308" s="2830"/>
      <c r="AC308" s="2830"/>
      <c r="AD308" s="2830"/>
      <c r="AE308" s="2830"/>
      <c r="AF308" s="2830"/>
      <c r="AG308" s="2830"/>
      <c r="AH308" s="2831"/>
      <c r="AI308" s="2830"/>
      <c r="AJ308" s="2830"/>
      <c r="AK308" s="2830"/>
      <c r="AL308" s="2830"/>
      <c r="AM308" s="2830"/>
      <c r="AN308" s="2830"/>
      <c r="AO308" s="2830"/>
      <c r="AP308" s="2830"/>
      <c r="AQ308" s="2830"/>
      <c r="AR308" s="2820"/>
      <c r="AS308" s="2820"/>
      <c r="AT308" s="2820"/>
      <c r="AU308" s="2820"/>
      <c r="AV308" s="2766"/>
      <c r="AY308" s="2766"/>
    </row>
    <row r="309" spans="1:51">
      <c r="A309" s="2766"/>
      <c r="E309" s="2766"/>
      <c r="F309" s="2766"/>
      <c r="G309" s="2766"/>
      <c r="H309" s="2766"/>
      <c r="I309" s="2766"/>
      <c r="J309" s="2766"/>
      <c r="K309" s="2820"/>
      <c r="L309" s="2820"/>
      <c r="M309" s="2830"/>
      <c r="N309" s="2830"/>
      <c r="O309" s="2830"/>
      <c r="P309" s="2830"/>
      <c r="Q309" s="2830"/>
      <c r="R309" s="2830"/>
      <c r="S309" s="2830"/>
      <c r="T309" s="2830"/>
      <c r="U309" s="2830"/>
      <c r="V309" s="2830"/>
      <c r="W309" s="2830"/>
      <c r="X309" s="2830"/>
      <c r="Y309" s="2830"/>
      <c r="Z309" s="2830"/>
      <c r="AA309" s="2830"/>
      <c r="AB309" s="2830"/>
      <c r="AC309" s="2830"/>
      <c r="AD309" s="2830"/>
      <c r="AE309" s="2830"/>
      <c r="AF309" s="2830"/>
      <c r="AG309" s="2830"/>
      <c r="AH309" s="2831"/>
      <c r="AI309" s="2830"/>
      <c r="AJ309" s="2830"/>
      <c r="AK309" s="2830"/>
      <c r="AL309" s="2830"/>
      <c r="AM309" s="2830"/>
      <c r="AN309" s="2830"/>
      <c r="AO309" s="2830"/>
      <c r="AP309" s="2830"/>
      <c r="AQ309" s="2830"/>
      <c r="AR309" s="2820"/>
      <c r="AS309" s="2820"/>
      <c r="AT309" s="2820"/>
      <c r="AU309" s="2820"/>
      <c r="AV309" s="2766"/>
      <c r="AY309" s="2766"/>
    </row>
    <row r="310" spans="1:51">
      <c r="A310" s="2766"/>
      <c r="E310" s="2766"/>
      <c r="F310" s="2766"/>
      <c r="G310" s="2766"/>
      <c r="H310" s="2766"/>
      <c r="I310" s="2766"/>
      <c r="J310" s="2766"/>
      <c r="K310" s="2820"/>
      <c r="L310" s="2820"/>
      <c r="M310" s="2830"/>
      <c r="N310" s="2830"/>
      <c r="O310" s="2830"/>
      <c r="P310" s="2830"/>
      <c r="Q310" s="2830"/>
      <c r="R310" s="2830"/>
      <c r="S310" s="2830"/>
      <c r="T310" s="2830"/>
      <c r="U310" s="2830"/>
      <c r="V310" s="2830"/>
      <c r="W310" s="2830"/>
      <c r="X310" s="2830"/>
      <c r="Y310" s="2830"/>
      <c r="Z310" s="2830"/>
      <c r="AA310" s="2830"/>
      <c r="AB310" s="2830"/>
      <c r="AC310" s="2830"/>
      <c r="AD310" s="2830"/>
      <c r="AE310" s="2830"/>
      <c r="AF310" s="2830"/>
      <c r="AG310" s="2830"/>
      <c r="AH310" s="2831"/>
      <c r="AI310" s="2830"/>
      <c r="AJ310" s="2830"/>
      <c r="AK310" s="2830"/>
      <c r="AL310" s="2830"/>
      <c r="AM310" s="2830"/>
      <c r="AN310" s="2830"/>
      <c r="AO310" s="2830"/>
      <c r="AP310" s="2830"/>
      <c r="AQ310" s="2830"/>
      <c r="AR310" s="2820"/>
      <c r="AS310" s="2820"/>
      <c r="AT310" s="2820"/>
      <c r="AU310" s="2820"/>
      <c r="AV310" s="2766"/>
      <c r="AY310" s="2766"/>
    </row>
    <row r="311" spans="1:51">
      <c r="A311" s="2766"/>
      <c r="E311" s="2766"/>
      <c r="F311" s="2766"/>
      <c r="G311" s="2766"/>
      <c r="H311" s="2766"/>
      <c r="I311" s="2766"/>
      <c r="J311" s="2766"/>
      <c r="K311" s="2820"/>
      <c r="L311" s="2820"/>
      <c r="M311" s="2830"/>
      <c r="N311" s="2830"/>
      <c r="O311" s="2830"/>
      <c r="P311" s="2830"/>
      <c r="Q311" s="2830"/>
      <c r="R311" s="2830"/>
      <c r="S311" s="2830"/>
      <c r="T311" s="2830"/>
      <c r="U311" s="2830"/>
      <c r="V311" s="2830"/>
      <c r="W311" s="2830"/>
      <c r="X311" s="2830"/>
      <c r="Y311" s="2830"/>
      <c r="Z311" s="2830"/>
      <c r="AA311" s="2830"/>
      <c r="AB311" s="2830"/>
      <c r="AC311" s="2830"/>
      <c r="AD311" s="2830"/>
      <c r="AE311" s="2830"/>
      <c r="AF311" s="2830"/>
      <c r="AG311" s="2830"/>
      <c r="AH311" s="2831"/>
      <c r="AI311" s="2830"/>
      <c r="AJ311" s="2830"/>
      <c r="AK311" s="2830"/>
      <c r="AL311" s="2830"/>
      <c r="AM311" s="2830"/>
      <c r="AN311" s="2830"/>
      <c r="AO311" s="2830"/>
      <c r="AP311" s="2830"/>
      <c r="AQ311" s="2830"/>
      <c r="AR311" s="2820"/>
      <c r="AS311" s="2820"/>
      <c r="AT311" s="2820"/>
      <c r="AU311" s="2820"/>
      <c r="AV311" s="2766"/>
      <c r="AY311" s="2766"/>
    </row>
    <row r="312" spans="1:51">
      <c r="A312" s="2766"/>
      <c r="E312" s="2766"/>
      <c r="F312" s="2766"/>
      <c r="G312" s="2766"/>
      <c r="H312" s="2766"/>
      <c r="I312" s="2766"/>
      <c r="J312" s="2766"/>
      <c r="K312" s="2820"/>
      <c r="L312" s="2820"/>
      <c r="M312" s="2830"/>
      <c r="N312" s="2830"/>
      <c r="O312" s="2830"/>
      <c r="P312" s="2830"/>
      <c r="Q312" s="2830"/>
      <c r="R312" s="2830"/>
      <c r="S312" s="2830"/>
      <c r="T312" s="2830"/>
      <c r="U312" s="2830"/>
      <c r="V312" s="2830"/>
      <c r="W312" s="2830"/>
      <c r="X312" s="2830"/>
      <c r="Y312" s="2830"/>
      <c r="Z312" s="2830"/>
      <c r="AA312" s="2830"/>
      <c r="AB312" s="2830"/>
      <c r="AC312" s="2830"/>
      <c r="AD312" s="2830"/>
      <c r="AE312" s="2830"/>
      <c r="AF312" s="2830"/>
      <c r="AG312" s="2830"/>
      <c r="AH312" s="2831"/>
      <c r="AI312" s="2830"/>
      <c r="AJ312" s="2830"/>
      <c r="AK312" s="2830"/>
      <c r="AL312" s="2830"/>
      <c r="AM312" s="2830"/>
      <c r="AN312" s="2830"/>
      <c r="AO312" s="2830"/>
      <c r="AP312" s="2830"/>
      <c r="AQ312" s="2830"/>
      <c r="AR312" s="2820"/>
      <c r="AS312" s="2820"/>
      <c r="AT312" s="2820"/>
      <c r="AU312" s="2820"/>
      <c r="AV312" s="2766"/>
      <c r="AY312" s="2766"/>
    </row>
    <row r="313" spans="1:51">
      <c r="A313" s="2766"/>
      <c r="E313" s="2766"/>
      <c r="F313" s="2766"/>
      <c r="G313" s="2766"/>
      <c r="H313" s="2766"/>
      <c r="I313" s="2766"/>
      <c r="J313" s="2766"/>
      <c r="K313" s="2820"/>
      <c r="L313" s="2820"/>
      <c r="M313" s="2830"/>
      <c r="N313" s="2830"/>
      <c r="O313" s="2830"/>
      <c r="P313" s="2830"/>
      <c r="Q313" s="2830"/>
      <c r="R313" s="2830"/>
      <c r="S313" s="2830"/>
      <c r="T313" s="2830"/>
      <c r="U313" s="2830"/>
      <c r="V313" s="2830"/>
      <c r="W313" s="2830"/>
      <c r="X313" s="2830"/>
      <c r="Y313" s="2830"/>
      <c r="Z313" s="2830"/>
      <c r="AA313" s="2830"/>
      <c r="AB313" s="2830"/>
      <c r="AC313" s="2830"/>
      <c r="AD313" s="2830"/>
      <c r="AE313" s="2830"/>
      <c r="AF313" s="2830"/>
      <c r="AG313" s="2830"/>
      <c r="AH313" s="2831"/>
      <c r="AI313" s="2830"/>
      <c r="AJ313" s="2830"/>
      <c r="AK313" s="2830"/>
      <c r="AL313" s="2830"/>
      <c r="AM313" s="2830"/>
      <c r="AN313" s="2830"/>
      <c r="AO313" s="2830"/>
      <c r="AP313" s="2830"/>
      <c r="AQ313" s="2830"/>
      <c r="AR313" s="2820"/>
      <c r="AS313" s="2820"/>
      <c r="AT313" s="2820"/>
      <c r="AU313" s="2820"/>
      <c r="AV313" s="2766"/>
      <c r="AY313" s="2766"/>
    </row>
    <row r="314" spans="1:51">
      <c r="A314" s="2766"/>
      <c r="E314" s="2766"/>
      <c r="F314" s="2766"/>
      <c r="G314" s="2766"/>
      <c r="H314" s="2766"/>
      <c r="I314" s="2766"/>
      <c r="J314" s="2766"/>
      <c r="K314" s="2820"/>
      <c r="L314" s="2820"/>
      <c r="M314" s="2830"/>
      <c r="N314" s="2830"/>
      <c r="O314" s="2830"/>
      <c r="P314" s="2830"/>
      <c r="Q314" s="2830"/>
      <c r="R314" s="2830"/>
      <c r="S314" s="2830"/>
      <c r="T314" s="2830"/>
      <c r="U314" s="2830"/>
      <c r="V314" s="2830"/>
      <c r="W314" s="2830"/>
      <c r="X314" s="2830"/>
      <c r="Y314" s="2830"/>
      <c r="Z314" s="2830"/>
      <c r="AA314" s="2830"/>
      <c r="AB314" s="2830"/>
      <c r="AC314" s="2830"/>
      <c r="AD314" s="2830"/>
      <c r="AE314" s="2830"/>
      <c r="AF314" s="2830"/>
      <c r="AG314" s="2830"/>
      <c r="AH314" s="2831"/>
      <c r="AI314" s="2830"/>
      <c r="AJ314" s="2830"/>
      <c r="AK314" s="2830"/>
      <c r="AL314" s="2830"/>
      <c r="AM314" s="2830"/>
      <c r="AN314" s="2830"/>
      <c r="AO314" s="2830"/>
      <c r="AP314" s="2830"/>
      <c r="AQ314" s="2830"/>
      <c r="AR314" s="2820"/>
      <c r="AS314" s="2820"/>
      <c r="AT314" s="2820"/>
      <c r="AU314" s="2820"/>
      <c r="AV314" s="2766"/>
      <c r="AY314" s="2766"/>
    </row>
    <row r="315" spans="1:51">
      <c r="A315" s="2766"/>
      <c r="E315" s="2766"/>
      <c r="F315" s="2766"/>
      <c r="G315" s="2766"/>
      <c r="H315" s="2766"/>
      <c r="I315" s="2766"/>
      <c r="J315" s="2766"/>
      <c r="K315" s="2820"/>
      <c r="L315" s="2820"/>
      <c r="M315" s="2830"/>
      <c r="N315" s="2830"/>
      <c r="O315" s="2830"/>
      <c r="P315" s="2830"/>
      <c r="Q315" s="2830"/>
      <c r="R315" s="2830"/>
      <c r="S315" s="2830"/>
      <c r="T315" s="2830"/>
      <c r="U315" s="2830"/>
      <c r="V315" s="2830"/>
      <c r="W315" s="2830"/>
      <c r="X315" s="2830"/>
      <c r="Y315" s="2830"/>
      <c r="Z315" s="2830"/>
      <c r="AA315" s="2830"/>
      <c r="AB315" s="2830"/>
      <c r="AC315" s="2830"/>
      <c r="AD315" s="2830"/>
      <c r="AE315" s="2830"/>
      <c r="AF315" s="2830"/>
      <c r="AG315" s="2830"/>
      <c r="AH315" s="2831"/>
      <c r="AI315" s="2830"/>
      <c r="AJ315" s="2830"/>
      <c r="AK315" s="2830"/>
      <c r="AL315" s="2830"/>
      <c r="AM315" s="2830"/>
      <c r="AN315" s="2830"/>
      <c r="AO315" s="2830"/>
      <c r="AP315" s="2830"/>
      <c r="AQ315" s="2830"/>
      <c r="AR315" s="2820"/>
      <c r="AS315" s="2820"/>
      <c r="AT315" s="2820"/>
      <c r="AU315" s="2820"/>
      <c r="AV315" s="2766"/>
      <c r="AY315" s="2766"/>
    </row>
    <row r="316" spans="1:51">
      <c r="A316" s="2766"/>
      <c r="E316" s="2766"/>
      <c r="F316" s="2766"/>
      <c r="G316" s="2766"/>
      <c r="H316" s="2766"/>
      <c r="I316" s="2766"/>
      <c r="J316" s="2766"/>
      <c r="K316" s="2820"/>
      <c r="L316" s="2820"/>
      <c r="M316" s="2830"/>
      <c r="N316" s="2830"/>
      <c r="O316" s="2830"/>
      <c r="P316" s="2830"/>
      <c r="Q316" s="2830"/>
      <c r="R316" s="2830"/>
      <c r="S316" s="2830"/>
      <c r="T316" s="2830"/>
      <c r="U316" s="2830"/>
      <c r="V316" s="2830"/>
      <c r="W316" s="2830"/>
      <c r="X316" s="2830"/>
      <c r="Y316" s="2830"/>
      <c r="Z316" s="2830"/>
      <c r="AA316" s="2830"/>
      <c r="AB316" s="2830"/>
      <c r="AC316" s="2830"/>
      <c r="AD316" s="2830"/>
      <c r="AE316" s="2830"/>
      <c r="AF316" s="2830"/>
      <c r="AG316" s="2830"/>
      <c r="AH316" s="2831"/>
      <c r="AI316" s="2830"/>
      <c r="AJ316" s="2830"/>
      <c r="AK316" s="2830"/>
      <c r="AL316" s="2830"/>
      <c r="AM316" s="2830"/>
      <c r="AN316" s="2830"/>
      <c r="AO316" s="2830"/>
      <c r="AP316" s="2830"/>
      <c r="AQ316" s="2830"/>
      <c r="AR316" s="2820"/>
      <c r="AS316" s="2820"/>
      <c r="AT316" s="2820"/>
      <c r="AU316" s="2820"/>
      <c r="AV316" s="2766"/>
      <c r="AY316" s="2766"/>
    </row>
    <row r="317" spans="1:51">
      <c r="A317" s="2766"/>
      <c r="E317" s="2766"/>
      <c r="F317" s="2766"/>
      <c r="G317" s="2766"/>
      <c r="H317" s="2766"/>
      <c r="I317" s="2766"/>
      <c r="J317" s="2766"/>
      <c r="K317" s="2820"/>
      <c r="L317" s="2820"/>
      <c r="M317" s="2830"/>
      <c r="N317" s="2830"/>
      <c r="O317" s="2830"/>
      <c r="P317" s="2830"/>
      <c r="Q317" s="2830"/>
      <c r="R317" s="2830"/>
      <c r="S317" s="2830"/>
      <c r="T317" s="2830"/>
      <c r="U317" s="2830"/>
      <c r="V317" s="2830"/>
      <c r="W317" s="2830"/>
      <c r="X317" s="2830"/>
      <c r="Y317" s="2830"/>
      <c r="Z317" s="2830"/>
      <c r="AA317" s="2830"/>
      <c r="AB317" s="2830"/>
      <c r="AC317" s="2830"/>
      <c r="AD317" s="2830"/>
      <c r="AE317" s="2830"/>
      <c r="AF317" s="2830"/>
      <c r="AG317" s="2830"/>
      <c r="AH317" s="2831"/>
      <c r="AI317" s="2830"/>
      <c r="AJ317" s="2830"/>
      <c r="AK317" s="2830"/>
      <c r="AL317" s="2830"/>
      <c r="AM317" s="2830"/>
      <c r="AN317" s="2830"/>
      <c r="AO317" s="2830"/>
      <c r="AP317" s="2830"/>
      <c r="AQ317" s="2830"/>
      <c r="AR317" s="2820"/>
      <c r="AS317" s="2820"/>
      <c r="AT317" s="2820"/>
      <c r="AU317" s="2820"/>
      <c r="AV317" s="2766"/>
      <c r="AY317" s="2766"/>
    </row>
    <row r="318" spans="1:51">
      <c r="A318" s="2766"/>
      <c r="E318" s="2766"/>
      <c r="F318" s="2766"/>
      <c r="G318" s="2766"/>
      <c r="H318" s="2766"/>
      <c r="I318" s="2766"/>
      <c r="J318" s="2766"/>
      <c r="K318" s="2820"/>
      <c r="L318" s="2820"/>
      <c r="M318" s="2830"/>
      <c r="N318" s="2830"/>
      <c r="O318" s="2830"/>
      <c r="P318" s="2830"/>
      <c r="Q318" s="2830"/>
      <c r="R318" s="2830"/>
      <c r="S318" s="2830"/>
      <c r="T318" s="2830"/>
      <c r="U318" s="2830"/>
      <c r="V318" s="2830"/>
      <c r="W318" s="2830"/>
      <c r="X318" s="2830"/>
      <c r="Y318" s="2830"/>
      <c r="Z318" s="2830"/>
      <c r="AA318" s="2830"/>
      <c r="AB318" s="2830"/>
      <c r="AC318" s="2830"/>
      <c r="AD318" s="2830"/>
      <c r="AE318" s="2830"/>
      <c r="AF318" s="2830"/>
      <c r="AG318" s="2830"/>
      <c r="AH318" s="2831"/>
      <c r="AI318" s="2830"/>
      <c r="AJ318" s="2830"/>
      <c r="AK318" s="2830"/>
      <c r="AL318" s="2830"/>
      <c r="AM318" s="2830"/>
      <c r="AN318" s="2830"/>
      <c r="AO318" s="2830"/>
      <c r="AP318" s="2830"/>
      <c r="AQ318" s="2830"/>
      <c r="AR318" s="2820"/>
      <c r="AS318" s="2820"/>
      <c r="AT318" s="2820"/>
      <c r="AU318" s="2820"/>
      <c r="AV318" s="2766"/>
      <c r="AY318" s="2766"/>
    </row>
    <row r="319" spans="1:51">
      <c r="A319" s="2766"/>
      <c r="E319" s="2766"/>
      <c r="F319" s="2766"/>
      <c r="G319" s="2766"/>
      <c r="H319" s="2766"/>
      <c r="I319" s="2766"/>
      <c r="J319" s="2766"/>
      <c r="K319" s="2820"/>
      <c r="L319" s="2820"/>
      <c r="M319" s="2830"/>
      <c r="N319" s="2830"/>
      <c r="O319" s="2830"/>
      <c r="P319" s="2830"/>
      <c r="Q319" s="2830"/>
      <c r="R319" s="2830"/>
      <c r="S319" s="2830"/>
      <c r="T319" s="2830"/>
      <c r="U319" s="2830"/>
      <c r="V319" s="2830"/>
      <c r="W319" s="2830"/>
      <c r="X319" s="2830"/>
      <c r="Y319" s="2830"/>
      <c r="Z319" s="2830"/>
      <c r="AA319" s="2830"/>
      <c r="AB319" s="2830"/>
      <c r="AC319" s="2830"/>
      <c r="AD319" s="2830"/>
      <c r="AE319" s="2830"/>
      <c r="AF319" s="2830"/>
      <c r="AG319" s="2830"/>
      <c r="AH319" s="2831"/>
      <c r="AI319" s="2830"/>
      <c r="AJ319" s="2830"/>
      <c r="AK319" s="2830"/>
      <c r="AL319" s="2830"/>
      <c r="AM319" s="2830"/>
      <c r="AN319" s="2830"/>
      <c r="AO319" s="2830"/>
      <c r="AP319" s="2830"/>
      <c r="AQ319" s="2830"/>
      <c r="AR319" s="2820"/>
      <c r="AS319" s="2820"/>
      <c r="AT319" s="2820"/>
      <c r="AU319" s="2820"/>
      <c r="AV319" s="2766"/>
      <c r="AY319" s="2766"/>
    </row>
    <row r="320" spans="1:51">
      <c r="A320" s="2766"/>
      <c r="E320" s="2766"/>
      <c r="F320" s="2766"/>
      <c r="G320" s="2766"/>
      <c r="H320" s="2766"/>
      <c r="I320" s="2766"/>
      <c r="J320" s="2766"/>
      <c r="K320" s="2820"/>
      <c r="L320" s="2820"/>
      <c r="M320" s="2830"/>
      <c r="N320" s="2830"/>
      <c r="O320" s="2830"/>
      <c r="P320" s="2830"/>
      <c r="Q320" s="2830"/>
      <c r="R320" s="2830"/>
      <c r="S320" s="2830"/>
      <c r="T320" s="2830"/>
      <c r="U320" s="2830"/>
      <c r="V320" s="2830"/>
      <c r="W320" s="2830"/>
      <c r="X320" s="2830"/>
      <c r="Y320" s="2830"/>
      <c r="Z320" s="2830"/>
      <c r="AA320" s="2830"/>
      <c r="AB320" s="2830"/>
      <c r="AC320" s="2830"/>
      <c r="AD320" s="2830"/>
      <c r="AE320" s="2830"/>
      <c r="AF320" s="2830"/>
      <c r="AG320" s="2830"/>
      <c r="AH320" s="2831"/>
      <c r="AI320" s="2830"/>
      <c r="AJ320" s="2830"/>
      <c r="AK320" s="2830"/>
      <c r="AL320" s="2830"/>
      <c r="AM320" s="2830"/>
      <c r="AN320" s="2830"/>
      <c r="AO320" s="2830"/>
      <c r="AP320" s="2830"/>
      <c r="AQ320" s="2830"/>
      <c r="AR320" s="2820"/>
      <c r="AS320" s="2820"/>
      <c r="AT320" s="2820"/>
      <c r="AU320" s="2820"/>
      <c r="AV320" s="2766"/>
      <c r="AY320" s="2766"/>
    </row>
    <row r="321" spans="1:51">
      <c r="A321" s="2766"/>
      <c r="E321" s="2766"/>
      <c r="F321" s="2766"/>
      <c r="G321" s="2766"/>
      <c r="H321" s="2766"/>
      <c r="I321" s="2766"/>
      <c r="J321" s="2766"/>
      <c r="K321" s="2820"/>
      <c r="L321" s="2820"/>
      <c r="M321" s="2830"/>
      <c r="N321" s="2830"/>
      <c r="O321" s="2830"/>
      <c r="P321" s="2830"/>
      <c r="Q321" s="2830"/>
      <c r="R321" s="2830"/>
      <c r="S321" s="2830"/>
      <c r="T321" s="2830"/>
      <c r="U321" s="2830"/>
      <c r="V321" s="2830"/>
      <c r="W321" s="2830"/>
      <c r="X321" s="2830"/>
      <c r="Y321" s="2830"/>
      <c r="Z321" s="2830"/>
      <c r="AA321" s="2830"/>
      <c r="AB321" s="2830"/>
      <c r="AC321" s="2830"/>
      <c r="AD321" s="2830"/>
      <c r="AE321" s="2830"/>
      <c r="AF321" s="2830"/>
      <c r="AG321" s="2830"/>
      <c r="AH321" s="2831"/>
      <c r="AI321" s="2830"/>
      <c r="AJ321" s="2830"/>
      <c r="AK321" s="2830"/>
      <c r="AL321" s="2830"/>
      <c r="AM321" s="2830"/>
      <c r="AN321" s="2830"/>
      <c r="AO321" s="2830"/>
      <c r="AP321" s="2830"/>
      <c r="AQ321" s="2830"/>
      <c r="AR321" s="2820"/>
      <c r="AS321" s="2820"/>
      <c r="AT321" s="2820"/>
      <c r="AU321" s="2820"/>
      <c r="AV321" s="2766"/>
      <c r="AY321" s="2766"/>
    </row>
    <row r="322" spans="1:51">
      <c r="A322" s="2766"/>
      <c r="E322" s="2766"/>
      <c r="F322" s="2766"/>
      <c r="G322" s="2766"/>
      <c r="H322" s="2766"/>
      <c r="I322" s="2766"/>
      <c r="J322" s="2766"/>
      <c r="K322" s="2820"/>
      <c r="L322" s="2820"/>
      <c r="M322" s="2830"/>
      <c r="N322" s="2830"/>
      <c r="O322" s="2830"/>
      <c r="P322" s="2830"/>
      <c r="Q322" s="2830"/>
      <c r="R322" s="2830"/>
      <c r="S322" s="2830"/>
      <c r="T322" s="2830"/>
      <c r="U322" s="2830"/>
      <c r="V322" s="2830"/>
      <c r="W322" s="2830"/>
      <c r="X322" s="2830"/>
      <c r="Y322" s="2830"/>
      <c r="Z322" s="2830"/>
      <c r="AA322" s="2830"/>
      <c r="AB322" s="2830"/>
      <c r="AC322" s="2830"/>
      <c r="AD322" s="2830"/>
      <c r="AE322" s="2830"/>
      <c r="AF322" s="2830"/>
      <c r="AG322" s="2830"/>
      <c r="AH322" s="2831"/>
      <c r="AI322" s="2830"/>
      <c r="AJ322" s="2830"/>
      <c r="AK322" s="2830"/>
      <c r="AL322" s="2830"/>
      <c r="AM322" s="2830"/>
      <c r="AN322" s="2830"/>
      <c r="AO322" s="2830"/>
      <c r="AP322" s="2830"/>
      <c r="AQ322" s="2830"/>
      <c r="AR322" s="2820"/>
      <c r="AS322" s="2820"/>
      <c r="AT322" s="2820"/>
      <c r="AU322" s="2820"/>
      <c r="AV322" s="2766"/>
      <c r="AY322" s="2766"/>
    </row>
    <row r="323" spans="1:51">
      <c r="A323" s="2766"/>
      <c r="E323" s="2766"/>
      <c r="F323" s="2766"/>
      <c r="G323" s="2766"/>
      <c r="H323" s="2766"/>
      <c r="I323" s="2766"/>
      <c r="J323" s="2766"/>
      <c r="K323" s="2820"/>
      <c r="L323" s="2820"/>
      <c r="M323" s="2830"/>
      <c r="N323" s="2830"/>
      <c r="O323" s="2830"/>
      <c r="P323" s="2830"/>
      <c r="Q323" s="2830"/>
      <c r="R323" s="2830"/>
      <c r="S323" s="2830"/>
      <c r="T323" s="2830"/>
      <c r="U323" s="2830"/>
      <c r="V323" s="2830"/>
      <c r="W323" s="2830"/>
      <c r="X323" s="2830"/>
      <c r="Y323" s="2830"/>
      <c r="Z323" s="2830"/>
      <c r="AA323" s="2830"/>
      <c r="AB323" s="2830"/>
      <c r="AC323" s="2830"/>
      <c r="AD323" s="2830"/>
      <c r="AE323" s="2830"/>
      <c r="AF323" s="2830"/>
      <c r="AG323" s="2830"/>
      <c r="AH323" s="2831"/>
      <c r="AI323" s="2830"/>
      <c r="AJ323" s="2830"/>
      <c r="AK323" s="2830"/>
      <c r="AL323" s="2830"/>
      <c r="AM323" s="2830"/>
      <c r="AN323" s="2830"/>
      <c r="AO323" s="2830"/>
      <c r="AP323" s="2830"/>
      <c r="AQ323" s="2830"/>
      <c r="AR323" s="2820"/>
      <c r="AS323" s="2820"/>
      <c r="AT323" s="2820"/>
      <c r="AU323" s="2820"/>
      <c r="AV323" s="2766"/>
      <c r="AY323" s="2766"/>
    </row>
    <row r="324" spans="1:51">
      <c r="A324" s="2766"/>
      <c r="E324" s="2766"/>
      <c r="F324" s="2766"/>
      <c r="G324" s="2766"/>
      <c r="H324" s="2766"/>
      <c r="I324" s="2766"/>
      <c r="J324" s="2766"/>
      <c r="K324" s="2820"/>
      <c r="L324" s="2820"/>
      <c r="M324" s="2830"/>
      <c r="N324" s="2830"/>
      <c r="O324" s="2830"/>
      <c r="P324" s="2830"/>
      <c r="Q324" s="2830"/>
      <c r="R324" s="2830"/>
      <c r="S324" s="2830"/>
      <c r="T324" s="2830"/>
      <c r="U324" s="2830"/>
      <c r="V324" s="2830"/>
      <c r="W324" s="2830"/>
      <c r="X324" s="2830"/>
      <c r="Y324" s="2830"/>
      <c r="Z324" s="2830"/>
      <c r="AA324" s="2830"/>
      <c r="AB324" s="2830"/>
      <c r="AC324" s="2830"/>
      <c r="AD324" s="2830"/>
      <c r="AE324" s="2830"/>
      <c r="AF324" s="2830"/>
      <c r="AG324" s="2830"/>
      <c r="AH324" s="2831"/>
      <c r="AI324" s="2830"/>
      <c r="AJ324" s="2830"/>
      <c r="AK324" s="2830"/>
      <c r="AL324" s="2830"/>
      <c r="AM324" s="2830"/>
      <c r="AN324" s="2830"/>
      <c r="AO324" s="2830"/>
      <c r="AP324" s="2830"/>
      <c r="AQ324" s="2830"/>
      <c r="AR324" s="2820"/>
      <c r="AS324" s="2820"/>
      <c r="AT324" s="2820"/>
      <c r="AU324" s="2820"/>
      <c r="AV324" s="2766"/>
      <c r="AY324" s="2766"/>
    </row>
    <row r="325" spans="1:51">
      <c r="A325" s="2766"/>
      <c r="E325" s="2766"/>
      <c r="F325" s="2766"/>
      <c r="G325" s="2766"/>
      <c r="H325" s="2766"/>
      <c r="I325" s="2766"/>
      <c r="J325" s="2766"/>
      <c r="K325" s="2820"/>
      <c r="L325" s="2820"/>
      <c r="M325" s="2830"/>
      <c r="N325" s="2830"/>
      <c r="O325" s="2830"/>
      <c r="P325" s="2830"/>
      <c r="Q325" s="2830"/>
      <c r="R325" s="2830"/>
      <c r="S325" s="2830"/>
      <c r="T325" s="2830"/>
      <c r="U325" s="2830"/>
      <c r="V325" s="2830"/>
      <c r="W325" s="2830"/>
      <c r="X325" s="2830"/>
      <c r="Y325" s="2830"/>
      <c r="Z325" s="2830"/>
      <c r="AA325" s="2830"/>
      <c r="AB325" s="2830"/>
      <c r="AC325" s="2830"/>
      <c r="AD325" s="2830"/>
      <c r="AE325" s="2830"/>
      <c r="AF325" s="2830"/>
      <c r="AG325" s="2830"/>
      <c r="AH325" s="2831"/>
      <c r="AI325" s="2830"/>
      <c r="AJ325" s="2830"/>
      <c r="AK325" s="2830"/>
      <c r="AL325" s="2830"/>
      <c r="AM325" s="2830"/>
      <c r="AN325" s="2830"/>
      <c r="AO325" s="2830"/>
      <c r="AP325" s="2830"/>
      <c r="AQ325" s="2830"/>
      <c r="AR325" s="2820"/>
      <c r="AS325" s="2820"/>
      <c r="AT325" s="2820"/>
      <c r="AU325" s="2820"/>
      <c r="AV325" s="2766"/>
      <c r="AY325" s="2766"/>
    </row>
    <row r="326" spans="1:51">
      <c r="A326" s="2766"/>
      <c r="E326" s="2766"/>
      <c r="F326" s="2766"/>
      <c r="G326" s="2766"/>
      <c r="H326" s="2766"/>
      <c r="I326" s="2766"/>
      <c r="J326" s="2766"/>
      <c r="K326" s="2820"/>
      <c r="L326" s="2820"/>
      <c r="M326" s="2830"/>
      <c r="N326" s="2830"/>
      <c r="O326" s="2830"/>
      <c r="P326" s="2830"/>
      <c r="Q326" s="2830"/>
      <c r="R326" s="2830"/>
      <c r="S326" s="2830"/>
      <c r="T326" s="2830"/>
      <c r="U326" s="2830"/>
      <c r="V326" s="2830"/>
      <c r="W326" s="2830"/>
      <c r="X326" s="2830"/>
      <c r="Y326" s="2830"/>
      <c r="Z326" s="2830"/>
      <c r="AA326" s="2830"/>
      <c r="AB326" s="2830"/>
      <c r="AC326" s="2830"/>
      <c r="AD326" s="2830"/>
      <c r="AE326" s="2830"/>
      <c r="AF326" s="2830"/>
      <c r="AG326" s="2830"/>
      <c r="AH326" s="2831"/>
      <c r="AI326" s="2830"/>
      <c r="AJ326" s="2830"/>
      <c r="AK326" s="2830"/>
      <c r="AL326" s="2830"/>
      <c r="AM326" s="2830"/>
      <c r="AN326" s="2830"/>
      <c r="AO326" s="2830"/>
      <c r="AP326" s="2830"/>
      <c r="AQ326" s="2830"/>
      <c r="AR326" s="2820"/>
      <c r="AS326" s="2820"/>
      <c r="AT326" s="2820"/>
      <c r="AU326" s="2820"/>
      <c r="AV326" s="2766"/>
      <c r="AY326" s="2766"/>
    </row>
    <row r="327" spans="1:51">
      <c r="A327" s="2766"/>
      <c r="E327" s="2766"/>
      <c r="F327" s="2766"/>
      <c r="G327" s="2766"/>
      <c r="H327" s="2766"/>
      <c r="I327" s="2766"/>
      <c r="J327" s="2766"/>
      <c r="K327" s="2820"/>
      <c r="L327" s="2820"/>
      <c r="M327" s="2830"/>
      <c r="N327" s="2830"/>
      <c r="O327" s="2830"/>
      <c r="P327" s="2830"/>
      <c r="Q327" s="2830"/>
      <c r="R327" s="2830"/>
      <c r="S327" s="2830"/>
      <c r="T327" s="2830"/>
      <c r="U327" s="2830"/>
      <c r="V327" s="2830"/>
      <c r="W327" s="2830"/>
      <c r="X327" s="2830"/>
      <c r="Y327" s="2830"/>
      <c r="Z327" s="2830"/>
      <c r="AA327" s="2830"/>
      <c r="AB327" s="2830"/>
      <c r="AC327" s="2830"/>
      <c r="AD327" s="2830"/>
      <c r="AE327" s="2830"/>
      <c r="AF327" s="2830"/>
      <c r="AG327" s="2830"/>
      <c r="AH327" s="2831"/>
      <c r="AI327" s="2830"/>
      <c r="AJ327" s="2830"/>
      <c r="AK327" s="2830"/>
      <c r="AL327" s="2830"/>
      <c r="AM327" s="2830"/>
      <c r="AN327" s="2830"/>
      <c r="AO327" s="2830"/>
      <c r="AP327" s="2830"/>
      <c r="AQ327" s="2830"/>
      <c r="AR327" s="2820"/>
      <c r="AS327" s="2820"/>
      <c r="AT327" s="2820"/>
      <c r="AU327" s="2820"/>
      <c r="AV327" s="2766"/>
      <c r="AY327" s="2766"/>
    </row>
    <row r="328" spans="1:51">
      <c r="A328" s="2766"/>
      <c r="E328" s="2766"/>
      <c r="F328" s="2766"/>
      <c r="G328" s="2766"/>
      <c r="H328" s="2766"/>
      <c r="I328" s="2766"/>
      <c r="J328" s="2766"/>
      <c r="K328" s="2820"/>
      <c r="L328" s="2820"/>
      <c r="M328" s="2830"/>
      <c r="N328" s="2830"/>
      <c r="O328" s="2830"/>
      <c r="P328" s="2830"/>
      <c r="Q328" s="2830"/>
      <c r="R328" s="2830"/>
      <c r="S328" s="2830"/>
      <c r="T328" s="2830"/>
      <c r="U328" s="2830"/>
      <c r="V328" s="2830"/>
      <c r="W328" s="2830"/>
      <c r="X328" s="2830"/>
      <c r="Y328" s="2830"/>
      <c r="Z328" s="2830"/>
      <c r="AA328" s="2830"/>
      <c r="AB328" s="2830"/>
      <c r="AC328" s="2830"/>
      <c r="AD328" s="2830"/>
      <c r="AE328" s="2830"/>
      <c r="AF328" s="2830"/>
      <c r="AG328" s="2830"/>
      <c r="AH328" s="2831"/>
      <c r="AI328" s="2830"/>
      <c r="AJ328" s="2830"/>
      <c r="AK328" s="2830"/>
      <c r="AL328" s="2830"/>
      <c r="AM328" s="2830"/>
      <c r="AN328" s="2830"/>
      <c r="AO328" s="2830"/>
      <c r="AP328" s="2830"/>
      <c r="AQ328" s="2830"/>
      <c r="AR328" s="2820"/>
      <c r="AS328" s="2820"/>
      <c r="AT328" s="2820"/>
      <c r="AU328" s="2820"/>
      <c r="AV328" s="2766"/>
      <c r="AY328" s="2766"/>
    </row>
    <row r="329" spans="1:51">
      <c r="A329" s="2766"/>
      <c r="E329" s="2766"/>
      <c r="F329" s="2766"/>
      <c r="G329" s="2766"/>
      <c r="H329" s="2766"/>
      <c r="I329" s="2766"/>
      <c r="J329" s="2766"/>
      <c r="K329" s="2820"/>
      <c r="L329" s="2820"/>
      <c r="M329" s="2830"/>
      <c r="N329" s="2830"/>
      <c r="O329" s="2830"/>
      <c r="P329" s="2830"/>
      <c r="Q329" s="2830"/>
      <c r="R329" s="2830"/>
      <c r="S329" s="2830"/>
      <c r="T329" s="2830"/>
      <c r="U329" s="2830"/>
      <c r="V329" s="2830"/>
      <c r="W329" s="2830"/>
      <c r="X329" s="2830"/>
      <c r="Y329" s="2830"/>
      <c r="Z329" s="2830"/>
      <c r="AA329" s="2830"/>
      <c r="AB329" s="2830"/>
      <c r="AC329" s="2830"/>
      <c r="AD329" s="2830"/>
      <c r="AE329" s="2830"/>
      <c r="AF329" s="2830"/>
      <c r="AG329" s="2830"/>
      <c r="AH329" s="2831"/>
      <c r="AI329" s="2830"/>
      <c r="AJ329" s="2830"/>
      <c r="AK329" s="2830"/>
      <c r="AL329" s="2830"/>
      <c r="AM329" s="2830"/>
      <c r="AN329" s="2830"/>
      <c r="AO329" s="2830"/>
      <c r="AP329" s="2830"/>
      <c r="AQ329" s="2830"/>
      <c r="AR329" s="2820"/>
      <c r="AS329" s="2820"/>
      <c r="AT329" s="2820"/>
      <c r="AU329" s="2820"/>
      <c r="AV329" s="2766"/>
      <c r="AY329" s="2766"/>
    </row>
    <row r="330" spans="1:51">
      <c r="A330" s="2766"/>
      <c r="E330" s="2766"/>
      <c r="F330" s="2766"/>
      <c r="G330" s="2766"/>
      <c r="H330" s="2766"/>
      <c r="I330" s="2766"/>
      <c r="J330" s="2766"/>
      <c r="K330" s="2820"/>
      <c r="L330" s="2820"/>
      <c r="M330" s="2830"/>
      <c r="N330" s="2830"/>
      <c r="O330" s="2830"/>
      <c r="P330" s="2830"/>
      <c r="Q330" s="2830"/>
      <c r="R330" s="2830"/>
      <c r="S330" s="2830"/>
      <c r="T330" s="2830"/>
      <c r="U330" s="2830"/>
      <c r="V330" s="2830"/>
      <c r="W330" s="2830"/>
      <c r="X330" s="2830"/>
      <c r="Y330" s="2830"/>
      <c r="Z330" s="2830"/>
      <c r="AA330" s="2830"/>
      <c r="AB330" s="2830"/>
      <c r="AC330" s="2830"/>
      <c r="AD330" s="2830"/>
      <c r="AE330" s="2830"/>
      <c r="AF330" s="2830"/>
      <c r="AG330" s="2830"/>
      <c r="AH330" s="2831"/>
      <c r="AI330" s="2830"/>
      <c r="AJ330" s="2830"/>
      <c r="AK330" s="2830"/>
      <c r="AL330" s="2830"/>
      <c r="AM330" s="2830"/>
      <c r="AN330" s="2830"/>
      <c r="AO330" s="2830"/>
      <c r="AP330" s="2830"/>
      <c r="AQ330" s="2830"/>
      <c r="AR330" s="2820"/>
      <c r="AS330" s="2820"/>
      <c r="AT330" s="2820"/>
      <c r="AU330" s="2820"/>
      <c r="AV330" s="2766"/>
      <c r="AY330" s="2766"/>
    </row>
    <row r="331" spans="1:51">
      <c r="A331" s="2766"/>
      <c r="E331" s="2766"/>
      <c r="F331" s="2766"/>
      <c r="G331" s="2766"/>
      <c r="H331" s="2766"/>
      <c r="I331" s="2766"/>
      <c r="J331" s="2766"/>
      <c r="K331" s="2820"/>
      <c r="L331" s="2820"/>
      <c r="M331" s="2830"/>
      <c r="N331" s="2830"/>
      <c r="O331" s="2830"/>
      <c r="P331" s="2830"/>
      <c r="Q331" s="2830"/>
      <c r="R331" s="2830"/>
      <c r="S331" s="2830"/>
      <c r="T331" s="2830"/>
      <c r="U331" s="2830"/>
      <c r="V331" s="2830"/>
      <c r="W331" s="2830"/>
      <c r="X331" s="2830"/>
      <c r="Y331" s="2830"/>
      <c r="Z331" s="2830"/>
      <c r="AA331" s="2830"/>
      <c r="AB331" s="2830"/>
      <c r="AC331" s="2830"/>
      <c r="AD331" s="2830"/>
      <c r="AE331" s="2830"/>
      <c r="AF331" s="2830"/>
      <c r="AG331" s="2830"/>
      <c r="AH331" s="2831"/>
      <c r="AI331" s="2830"/>
      <c r="AJ331" s="2830"/>
      <c r="AK331" s="2830"/>
      <c r="AL331" s="2830"/>
      <c r="AM331" s="2830"/>
      <c r="AN331" s="2830"/>
      <c r="AO331" s="2830"/>
      <c r="AP331" s="2830"/>
      <c r="AQ331" s="2830"/>
      <c r="AR331" s="2820"/>
      <c r="AS331" s="2820"/>
      <c r="AT331" s="2820"/>
      <c r="AU331" s="2820"/>
      <c r="AV331" s="2766"/>
      <c r="AY331" s="2766"/>
    </row>
    <row r="332" spans="1:51">
      <c r="A332" s="2766"/>
      <c r="E332" s="2766"/>
      <c r="F332" s="2766"/>
      <c r="G332" s="2766"/>
      <c r="H332" s="2766"/>
      <c r="I332" s="2766"/>
      <c r="J332" s="2766"/>
      <c r="K332" s="2820"/>
      <c r="L332" s="2820"/>
      <c r="M332" s="2830"/>
      <c r="N332" s="2830"/>
      <c r="O332" s="2830"/>
      <c r="P332" s="2830"/>
      <c r="Q332" s="2830"/>
      <c r="R332" s="2830"/>
      <c r="S332" s="2830"/>
      <c r="T332" s="2830"/>
      <c r="U332" s="2830"/>
      <c r="V332" s="2830"/>
      <c r="W332" s="2830"/>
      <c r="X332" s="2830"/>
      <c r="Y332" s="2830"/>
      <c r="Z332" s="2830"/>
      <c r="AA332" s="2830"/>
      <c r="AB332" s="2830"/>
      <c r="AC332" s="2830"/>
      <c r="AD332" s="2830"/>
      <c r="AE332" s="2830"/>
      <c r="AF332" s="2830"/>
      <c r="AG332" s="2830"/>
      <c r="AH332" s="2831"/>
      <c r="AI332" s="2830"/>
      <c r="AJ332" s="2830"/>
      <c r="AK332" s="2830"/>
      <c r="AL332" s="2830"/>
      <c r="AM332" s="2830"/>
      <c r="AN332" s="2830"/>
      <c r="AO332" s="2830"/>
      <c r="AP332" s="2830"/>
      <c r="AQ332" s="2830"/>
      <c r="AR332" s="2820"/>
      <c r="AS332" s="2820"/>
      <c r="AT332" s="2820"/>
      <c r="AU332" s="2820"/>
      <c r="AV332" s="2766"/>
      <c r="AY332" s="2766"/>
    </row>
    <row r="333" spans="1:51">
      <c r="A333" s="2766"/>
      <c r="E333" s="2766"/>
      <c r="F333" s="2766"/>
      <c r="G333" s="2766"/>
      <c r="H333" s="2766"/>
      <c r="I333" s="2766"/>
      <c r="J333" s="2766"/>
      <c r="K333" s="2820"/>
      <c r="L333" s="2820"/>
      <c r="M333" s="2830"/>
      <c r="N333" s="2830"/>
      <c r="O333" s="2830"/>
      <c r="P333" s="2830"/>
      <c r="Q333" s="2830"/>
      <c r="R333" s="2830"/>
      <c r="S333" s="2830"/>
      <c r="T333" s="2830"/>
      <c r="U333" s="2830"/>
      <c r="V333" s="2830"/>
      <c r="W333" s="2830"/>
      <c r="X333" s="2830"/>
      <c r="Y333" s="2830"/>
      <c r="Z333" s="2830"/>
      <c r="AA333" s="2830"/>
      <c r="AB333" s="2830"/>
      <c r="AC333" s="2830"/>
      <c r="AD333" s="2830"/>
      <c r="AE333" s="2830"/>
      <c r="AF333" s="2830"/>
      <c r="AG333" s="2830"/>
      <c r="AH333" s="2831"/>
      <c r="AI333" s="2830"/>
      <c r="AJ333" s="2830"/>
      <c r="AK333" s="2830"/>
      <c r="AL333" s="2830"/>
      <c r="AM333" s="2830"/>
      <c r="AN333" s="2830"/>
      <c r="AO333" s="2830"/>
      <c r="AP333" s="2830"/>
      <c r="AQ333" s="2830"/>
      <c r="AR333" s="2820"/>
      <c r="AS333" s="2820"/>
      <c r="AT333" s="2820"/>
      <c r="AU333" s="2820"/>
      <c r="AV333" s="2766"/>
      <c r="AY333" s="2766"/>
    </row>
    <row r="334" spans="1:51">
      <c r="A334" s="2766"/>
      <c r="E334" s="2766"/>
      <c r="F334" s="2766"/>
      <c r="G334" s="2766"/>
      <c r="H334" s="2766"/>
      <c r="I334" s="2766"/>
      <c r="J334" s="2766"/>
      <c r="K334" s="2820"/>
      <c r="L334" s="2820"/>
      <c r="M334" s="2830"/>
      <c r="N334" s="2830"/>
      <c r="O334" s="2830"/>
      <c r="P334" s="2830"/>
      <c r="Q334" s="2830"/>
      <c r="R334" s="2830"/>
      <c r="S334" s="2830"/>
      <c r="T334" s="2830"/>
      <c r="U334" s="2830"/>
      <c r="V334" s="2830"/>
      <c r="W334" s="2830"/>
      <c r="X334" s="2830"/>
      <c r="Y334" s="2830"/>
      <c r="Z334" s="2830"/>
      <c r="AA334" s="2830"/>
      <c r="AB334" s="2830"/>
      <c r="AC334" s="2830"/>
      <c r="AD334" s="2830"/>
      <c r="AE334" s="2830"/>
      <c r="AF334" s="2830"/>
      <c r="AG334" s="2830"/>
      <c r="AH334" s="2831"/>
      <c r="AI334" s="2830"/>
      <c r="AJ334" s="2830"/>
      <c r="AK334" s="2830"/>
      <c r="AL334" s="2830"/>
      <c r="AM334" s="2830"/>
      <c r="AN334" s="2830"/>
      <c r="AO334" s="2830"/>
      <c r="AP334" s="2830"/>
      <c r="AQ334" s="2830"/>
      <c r="AR334" s="2820"/>
      <c r="AS334" s="2820"/>
      <c r="AT334" s="2820"/>
      <c r="AU334" s="2820"/>
      <c r="AV334" s="2766"/>
      <c r="AY334" s="2766"/>
    </row>
    <row r="335" spans="1:51">
      <c r="A335" s="2766"/>
      <c r="E335" s="2766"/>
      <c r="F335" s="2766"/>
      <c r="G335" s="2766"/>
      <c r="H335" s="2766"/>
      <c r="I335" s="2766"/>
      <c r="J335" s="2766"/>
      <c r="K335" s="2820"/>
      <c r="L335" s="2820"/>
      <c r="M335" s="2830"/>
      <c r="N335" s="2830"/>
      <c r="O335" s="2830"/>
      <c r="P335" s="2830"/>
      <c r="Q335" s="2830"/>
      <c r="R335" s="2830"/>
      <c r="S335" s="2830"/>
      <c r="T335" s="2830"/>
      <c r="U335" s="2830"/>
      <c r="V335" s="2830"/>
      <c r="W335" s="2830"/>
      <c r="X335" s="2830"/>
      <c r="Y335" s="2830"/>
      <c r="Z335" s="2830"/>
      <c r="AA335" s="2830"/>
      <c r="AB335" s="2830"/>
      <c r="AC335" s="2830"/>
      <c r="AD335" s="2830"/>
      <c r="AE335" s="2830"/>
      <c r="AF335" s="2830"/>
      <c r="AG335" s="2830"/>
      <c r="AH335" s="2831"/>
      <c r="AI335" s="2830"/>
      <c r="AJ335" s="2830"/>
      <c r="AK335" s="2830"/>
      <c r="AL335" s="2830"/>
      <c r="AM335" s="2830"/>
      <c r="AN335" s="2830"/>
      <c r="AO335" s="2830"/>
      <c r="AP335" s="2830"/>
      <c r="AQ335" s="2830"/>
      <c r="AR335" s="2820"/>
      <c r="AS335" s="2820"/>
      <c r="AT335" s="2820"/>
      <c r="AU335" s="2820"/>
      <c r="AV335" s="2766"/>
      <c r="AY335" s="2766"/>
    </row>
    <row r="336" spans="1:51">
      <c r="A336" s="2766"/>
      <c r="E336" s="2766"/>
      <c r="F336" s="2766"/>
      <c r="G336" s="2766"/>
      <c r="H336" s="2766"/>
      <c r="I336" s="2766"/>
      <c r="J336" s="2766"/>
      <c r="K336" s="2820"/>
      <c r="L336" s="2820"/>
      <c r="M336" s="2830"/>
      <c r="N336" s="2830"/>
      <c r="O336" s="2830"/>
      <c r="P336" s="2830"/>
      <c r="Q336" s="2830"/>
      <c r="R336" s="2830"/>
      <c r="S336" s="2830"/>
      <c r="T336" s="2830"/>
      <c r="U336" s="2830"/>
      <c r="V336" s="2830"/>
      <c r="W336" s="2830"/>
      <c r="X336" s="2830"/>
      <c r="Y336" s="2830"/>
      <c r="Z336" s="2830"/>
      <c r="AA336" s="2830"/>
      <c r="AB336" s="2830"/>
      <c r="AC336" s="2830"/>
      <c r="AD336" s="2830"/>
      <c r="AE336" s="2830"/>
      <c r="AF336" s="2830"/>
      <c r="AG336" s="2830"/>
      <c r="AH336" s="2831"/>
      <c r="AI336" s="2830"/>
      <c r="AJ336" s="2830"/>
      <c r="AK336" s="2830"/>
      <c r="AL336" s="2830"/>
      <c r="AM336" s="2830"/>
      <c r="AN336" s="2830"/>
      <c r="AO336" s="2830"/>
      <c r="AP336" s="2830"/>
      <c r="AQ336" s="2830"/>
      <c r="AR336" s="2820"/>
      <c r="AS336" s="2820"/>
      <c r="AT336" s="2820"/>
      <c r="AU336" s="2820"/>
      <c r="AV336" s="2766"/>
      <c r="AY336" s="2766"/>
    </row>
    <row r="337" spans="1:51">
      <c r="A337" s="2766"/>
      <c r="E337" s="2766"/>
      <c r="F337" s="2766"/>
      <c r="G337" s="2766"/>
      <c r="H337" s="2766"/>
      <c r="I337" s="2766"/>
      <c r="J337" s="2766"/>
      <c r="K337" s="2820"/>
      <c r="L337" s="2820"/>
      <c r="M337" s="2830"/>
      <c r="N337" s="2830"/>
      <c r="O337" s="2830"/>
      <c r="P337" s="2830"/>
      <c r="Q337" s="2830"/>
      <c r="R337" s="2830"/>
      <c r="S337" s="2830"/>
      <c r="T337" s="2830"/>
      <c r="U337" s="2830"/>
      <c r="V337" s="2830"/>
      <c r="W337" s="2830"/>
      <c r="X337" s="2830"/>
      <c r="Y337" s="2830"/>
      <c r="Z337" s="2830"/>
      <c r="AA337" s="2830"/>
      <c r="AB337" s="2830"/>
      <c r="AC337" s="2830"/>
      <c r="AD337" s="2830"/>
      <c r="AE337" s="2830"/>
      <c r="AF337" s="2830"/>
      <c r="AG337" s="2830"/>
      <c r="AH337" s="2831"/>
      <c r="AI337" s="2830"/>
      <c r="AJ337" s="2830"/>
      <c r="AK337" s="2830"/>
      <c r="AL337" s="2830"/>
      <c r="AM337" s="2830"/>
      <c r="AN337" s="2830"/>
      <c r="AO337" s="2830"/>
      <c r="AP337" s="2830"/>
      <c r="AQ337" s="2830"/>
      <c r="AR337" s="2820"/>
      <c r="AS337" s="2820"/>
      <c r="AT337" s="2820"/>
      <c r="AU337" s="2820"/>
      <c r="AV337" s="2766"/>
      <c r="AY337" s="2766"/>
    </row>
    <row r="338" spans="1:51">
      <c r="A338" s="2766"/>
      <c r="E338" s="2766"/>
      <c r="F338" s="2766"/>
      <c r="G338" s="2766"/>
      <c r="H338" s="2766"/>
      <c r="I338" s="2766"/>
      <c r="J338" s="2766"/>
      <c r="K338" s="2820"/>
      <c r="L338" s="2820"/>
      <c r="M338" s="2830"/>
      <c r="N338" s="2830"/>
      <c r="O338" s="2830"/>
      <c r="P338" s="2830"/>
      <c r="Q338" s="2830"/>
      <c r="R338" s="2830"/>
      <c r="S338" s="2830"/>
      <c r="T338" s="2830"/>
      <c r="U338" s="2830"/>
      <c r="V338" s="2830"/>
      <c r="W338" s="2830"/>
      <c r="X338" s="2830"/>
      <c r="Y338" s="2830"/>
      <c r="Z338" s="2830"/>
      <c r="AA338" s="2830"/>
      <c r="AB338" s="2830"/>
      <c r="AC338" s="2830"/>
      <c r="AD338" s="2830"/>
      <c r="AE338" s="2830"/>
      <c r="AF338" s="2830"/>
      <c r="AG338" s="2830"/>
      <c r="AH338" s="2831"/>
      <c r="AI338" s="2830"/>
      <c r="AJ338" s="2830"/>
      <c r="AK338" s="2830"/>
      <c r="AL338" s="2830"/>
      <c r="AM338" s="2830"/>
      <c r="AN338" s="2830"/>
      <c r="AO338" s="2830"/>
      <c r="AP338" s="2830"/>
      <c r="AQ338" s="2830"/>
      <c r="AR338" s="2820"/>
      <c r="AS338" s="2820"/>
      <c r="AT338" s="2820"/>
      <c r="AU338" s="2820"/>
      <c r="AV338" s="2766"/>
      <c r="AY338" s="2766"/>
    </row>
    <row r="339" spans="1:51">
      <c r="A339" s="2766"/>
      <c r="E339" s="2766"/>
      <c r="F339" s="2766"/>
      <c r="G339" s="2766"/>
      <c r="H339" s="2766"/>
      <c r="I339" s="2766"/>
      <c r="J339" s="2766"/>
      <c r="K339" s="2820"/>
      <c r="L339" s="2820"/>
      <c r="M339" s="2830"/>
      <c r="N339" s="2830"/>
      <c r="O339" s="2830"/>
      <c r="P339" s="2830"/>
      <c r="Q339" s="2830"/>
      <c r="R339" s="2830"/>
      <c r="S339" s="2830"/>
      <c r="T339" s="2830"/>
      <c r="U339" s="2830"/>
      <c r="V339" s="2830"/>
      <c r="W339" s="2830"/>
      <c r="X339" s="2830"/>
      <c r="Y339" s="2830"/>
      <c r="Z339" s="2830"/>
      <c r="AA339" s="2830"/>
      <c r="AB339" s="2830"/>
      <c r="AC339" s="2830"/>
      <c r="AD339" s="2830"/>
      <c r="AE339" s="2830"/>
      <c r="AF339" s="2830"/>
      <c r="AG339" s="2830"/>
      <c r="AH339" s="2831"/>
      <c r="AI339" s="2830"/>
      <c r="AJ339" s="2830"/>
      <c r="AK339" s="2830"/>
      <c r="AL339" s="2830"/>
      <c r="AM339" s="2830"/>
      <c r="AN339" s="2830"/>
      <c r="AO339" s="2830"/>
      <c r="AP339" s="2830"/>
      <c r="AQ339" s="2830"/>
      <c r="AR339" s="2820"/>
      <c r="AS339" s="2820"/>
      <c r="AT339" s="2820"/>
      <c r="AU339" s="2820"/>
      <c r="AV339" s="2766"/>
      <c r="AY339" s="2766"/>
    </row>
    <row r="340" spans="1:51">
      <c r="A340" s="2766"/>
      <c r="E340" s="2766"/>
      <c r="F340" s="2766"/>
      <c r="G340" s="2766"/>
      <c r="H340" s="2766"/>
      <c r="I340" s="2766"/>
      <c r="J340" s="2766"/>
      <c r="K340" s="2820"/>
      <c r="L340" s="2820"/>
      <c r="M340" s="2830"/>
      <c r="N340" s="2830"/>
      <c r="O340" s="2830"/>
      <c r="P340" s="2830"/>
      <c r="Q340" s="2830"/>
      <c r="R340" s="2830"/>
      <c r="S340" s="2830"/>
      <c r="T340" s="2830"/>
      <c r="U340" s="2830"/>
      <c r="V340" s="2830"/>
      <c r="W340" s="2830"/>
      <c r="X340" s="2830"/>
      <c r="Y340" s="2830"/>
      <c r="Z340" s="2830"/>
      <c r="AA340" s="2830"/>
      <c r="AB340" s="2830"/>
      <c r="AC340" s="2830"/>
      <c r="AD340" s="2830"/>
      <c r="AE340" s="2830"/>
      <c r="AF340" s="2830"/>
      <c r="AG340" s="2830"/>
      <c r="AH340" s="2831"/>
      <c r="AI340" s="2830"/>
      <c r="AJ340" s="2830"/>
      <c r="AK340" s="2830"/>
      <c r="AL340" s="2830"/>
      <c r="AM340" s="2830"/>
      <c r="AN340" s="2830"/>
      <c r="AO340" s="2830"/>
      <c r="AP340" s="2830"/>
      <c r="AQ340" s="2830"/>
      <c r="AR340" s="2820"/>
      <c r="AS340" s="2820"/>
      <c r="AT340" s="2820"/>
      <c r="AU340" s="2820"/>
      <c r="AV340" s="2766"/>
      <c r="AY340" s="2766"/>
    </row>
    <row r="341" spans="1:51">
      <c r="A341" s="2766"/>
      <c r="E341" s="2766"/>
      <c r="F341" s="2766"/>
      <c r="G341" s="2766"/>
      <c r="H341" s="2766"/>
      <c r="I341" s="2766"/>
      <c r="J341" s="2766"/>
      <c r="K341" s="2820"/>
      <c r="L341" s="2820"/>
      <c r="M341" s="2830"/>
      <c r="N341" s="2830"/>
      <c r="O341" s="2830"/>
      <c r="P341" s="2830"/>
      <c r="Q341" s="2830"/>
      <c r="R341" s="2830"/>
      <c r="S341" s="2830"/>
      <c r="T341" s="2830"/>
      <c r="U341" s="2830"/>
      <c r="V341" s="2830"/>
      <c r="W341" s="2830"/>
      <c r="X341" s="2830"/>
      <c r="Y341" s="2830"/>
      <c r="Z341" s="2830"/>
      <c r="AA341" s="2830"/>
      <c r="AB341" s="2830"/>
      <c r="AC341" s="2830"/>
      <c r="AD341" s="2830"/>
      <c r="AE341" s="2830"/>
      <c r="AF341" s="2830"/>
      <c r="AG341" s="2830"/>
      <c r="AH341" s="2831"/>
      <c r="AI341" s="2830"/>
      <c r="AJ341" s="2830"/>
      <c r="AK341" s="2830"/>
      <c r="AL341" s="2830"/>
      <c r="AM341" s="2830"/>
      <c r="AN341" s="2830"/>
      <c r="AO341" s="2830"/>
      <c r="AP341" s="2830"/>
      <c r="AQ341" s="2830"/>
      <c r="AR341" s="2820"/>
      <c r="AS341" s="2820"/>
      <c r="AT341" s="2820"/>
      <c r="AU341" s="2820"/>
      <c r="AV341" s="2766"/>
      <c r="AY341" s="2766"/>
    </row>
    <row r="342" spans="1:51">
      <c r="A342" s="2766"/>
      <c r="E342" s="2766"/>
      <c r="F342" s="2766"/>
      <c r="G342" s="2766"/>
      <c r="H342" s="2766"/>
      <c r="I342" s="2766"/>
      <c r="J342" s="2766"/>
      <c r="K342" s="2820"/>
      <c r="L342" s="2820"/>
      <c r="M342" s="2830"/>
      <c r="N342" s="2830"/>
      <c r="O342" s="2830"/>
      <c r="P342" s="2830"/>
      <c r="Q342" s="2830"/>
      <c r="R342" s="2830"/>
      <c r="S342" s="2830"/>
      <c r="T342" s="2830"/>
      <c r="U342" s="2830"/>
      <c r="V342" s="2830"/>
      <c r="W342" s="2830"/>
      <c r="X342" s="2830"/>
      <c r="Y342" s="2830"/>
      <c r="Z342" s="2830"/>
      <c r="AA342" s="2830"/>
      <c r="AB342" s="2830"/>
      <c r="AC342" s="2830"/>
      <c r="AD342" s="2830"/>
      <c r="AE342" s="2830"/>
      <c r="AF342" s="2830"/>
      <c r="AG342" s="2830"/>
      <c r="AH342" s="2831"/>
      <c r="AI342" s="2830"/>
      <c r="AJ342" s="2830"/>
      <c r="AK342" s="2830"/>
      <c r="AL342" s="2830"/>
      <c r="AM342" s="2830"/>
      <c r="AN342" s="2830"/>
      <c r="AO342" s="2830"/>
      <c r="AP342" s="2830"/>
      <c r="AQ342" s="2830"/>
      <c r="AR342" s="2820"/>
      <c r="AS342" s="2820"/>
      <c r="AT342" s="2820"/>
      <c r="AU342" s="2820"/>
      <c r="AV342" s="2766"/>
      <c r="AY342" s="2766"/>
    </row>
    <row r="343" spans="1:51">
      <c r="A343" s="2766"/>
      <c r="E343" s="2766"/>
      <c r="F343" s="2766"/>
      <c r="G343" s="2766"/>
      <c r="H343" s="2766"/>
      <c r="I343" s="2766"/>
      <c r="J343" s="2766"/>
      <c r="K343" s="2820"/>
      <c r="L343" s="2820"/>
      <c r="M343" s="2830"/>
      <c r="N343" s="2830"/>
      <c r="O343" s="2830"/>
      <c r="P343" s="2830"/>
      <c r="Q343" s="2830"/>
      <c r="R343" s="2830"/>
      <c r="S343" s="2830"/>
      <c r="T343" s="2830"/>
      <c r="U343" s="2830"/>
      <c r="V343" s="2830"/>
      <c r="W343" s="2830"/>
      <c r="X343" s="2830"/>
      <c r="Y343" s="2830"/>
      <c r="Z343" s="2830"/>
      <c r="AA343" s="2830"/>
      <c r="AB343" s="2830"/>
      <c r="AC343" s="2830"/>
      <c r="AD343" s="2830"/>
      <c r="AE343" s="2830"/>
      <c r="AF343" s="2830"/>
      <c r="AG343" s="2830"/>
      <c r="AH343" s="2831"/>
      <c r="AI343" s="2830"/>
      <c r="AJ343" s="2830"/>
      <c r="AK343" s="2830"/>
      <c r="AL343" s="2830"/>
      <c r="AM343" s="2830"/>
      <c r="AN343" s="2830"/>
      <c r="AO343" s="2830"/>
      <c r="AP343" s="2830"/>
      <c r="AQ343" s="2830"/>
      <c r="AR343" s="2820"/>
      <c r="AS343" s="2820"/>
      <c r="AT343" s="2820"/>
      <c r="AU343" s="2820"/>
      <c r="AV343" s="2766"/>
      <c r="AY343" s="2766"/>
    </row>
    <row r="344" spans="1:51">
      <c r="A344" s="2766"/>
      <c r="E344" s="2766"/>
      <c r="F344" s="2766"/>
      <c r="G344" s="2766"/>
      <c r="H344" s="2766"/>
      <c r="I344" s="2766"/>
      <c r="J344" s="2766"/>
      <c r="K344" s="2820"/>
      <c r="L344" s="2820"/>
      <c r="M344" s="2830"/>
      <c r="N344" s="2830"/>
      <c r="O344" s="2830"/>
      <c r="P344" s="2830"/>
      <c r="Q344" s="2830"/>
      <c r="R344" s="2830"/>
      <c r="S344" s="2830"/>
      <c r="T344" s="2830"/>
      <c r="U344" s="2830"/>
      <c r="V344" s="2830"/>
      <c r="W344" s="2830"/>
      <c r="X344" s="2830"/>
      <c r="Y344" s="2830"/>
      <c r="Z344" s="2830"/>
      <c r="AA344" s="2830"/>
      <c r="AB344" s="2830"/>
      <c r="AC344" s="2830"/>
      <c r="AD344" s="2830"/>
      <c r="AE344" s="2830"/>
      <c r="AF344" s="2830"/>
      <c r="AG344" s="2830"/>
      <c r="AH344" s="2831"/>
      <c r="AI344" s="2830"/>
      <c r="AJ344" s="2830"/>
      <c r="AK344" s="2830"/>
      <c r="AL344" s="2830"/>
      <c r="AM344" s="2830"/>
      <c r="AN344" s="2830"/>
      <c r="AO344" s="2830"/>
      <c r="AP344" s="2830"/>
      <c r="AQ344" s="2830"/>
      <c r="AR344" s="2820"/>
      <c r="AS344" s="2820"/>
      <c r="AT344" s="2820"/>
      <c r="AU344" s="2820"/>
      <c r="AV344" s="2766"/>
      <c r="AY344" s="2766"/>
    </row>
    <row r="345" spans="1:51">
      <c r="A345" s="2766"/>
      <c r="E345" s="2766"/>
      <c r="F345" s="2766"/>
      <c r="G345" s="2766"/>
      <c r="H345" s="2766"/>
      <c r="I345" s="2766"/>
      <c r="J345" s="2766"/>
      <c r="K345" s="2820"/>
      <c r="L345" s="2820"/>
      <c r="M345" s="2830"/>
      <c r="N345" s="2830"/>
      <c r="O345" s="2830"/>
      <c r="P345" s="2830"/>
      <c r="Q345" s="2830"/>
      <c r="R345" s="2830"/>
      <c r="S345" s="2830"/>
      <c r="T345" s="2830"/>
      <c r="U345" s="2830"/>
      <c r="V345" s="2830"/>
      <c r="W345" s="2830"/>
      <c r="X345" s="2830"/>
      <c r="Y345" s="2830"/>
      <c r="Z345" s="2830"/>
      <c r="AA345" s="2830"/>
      <c r="AB345" s="2830"/>
      <c r="AC345" s="2830"/>
      <c r="AD345" s="2830"/>
      <c r="AE345" s="2830"/>
      <c r="AF345" s="2830"/>
      <c r="AG345" s="2830"/>
      <c r="AH345" s="2831"/>
      <c r="AI345" s="2830"/>
      <c r="AJ345" s="2830"/>
      <c r="AK345" s="2830"/>
      <c r="AL345" s="2830"/>
      <c r="AM345" s="2830"/>
      <c r="AN345" s="2830"/>
      <c r="AO345" s="2830"/>
      <c r="AP345" s="2830"/>
      <c r="AQ345" s="2830"/>
      <c r="AR345" s="2820"/>
      <c r="AS345" s="2820"/>
      <c r="AT345" s="2820"/>
      <c r="AU345" s="2820"/>
      <c r="AV345" s="2766"/>
      <c r="AY345" s="2766"/>
    </row>
    <row r="346" spans="1:51">
      <c r="A346" s="2766"/>
      <c r="E346" s="2766"/>
      <c r="F346" s="2766"/>
      <c r="G346" s="2766"/>
      <c r="H346" s="2766"/>
      <c r="I346" s="2766"/>
      <c r="J346" s="2766"/>
      <c r="K346" s="2820"/>
      <c r="L346" s="2820"/>
      <c r="M346" s="2830"/>
      <c r="N346" s="2830"/>
      <c r="O346" s="2830"/>
      <c r="P346" s="2830"/>
      <c r="Q346" s="2830"/>
      <c r="R346" s="2830"/>
      <c r="S346" s="2830"/>
      <c r="T346" s="2830"/>
      <c r="U346" s="2830"/>
      <c r="V346" s="2830"/>
      <c r="W346" s="2830"/>
      <c r="X346" s="2830"/>
      <c r="Y346" s="2830"/>
      <c r="Z346" s="2830"/>
      <c r="AA346" s="2830"/>
      <c r="AB346" s="2830"/>
      <c r="AC346" s="2830"/>
      <c r="AD346" s="2830"/>
      <c r="AE346" s="2830"/>
      <c r="AF346" s="2830"/>
      <c r="AG346" s="2830"/>
      <c r="AH346" s="2831"/>
      <c r="AI346" s="2830"/>
      <c r="AJ346" s="2830"/>
      <c r="AK346" s="2830"/>
      <c r="AL346" s="2830"/>
      <c r="AM346" s="2830"/>
      <c r="AN346" s="2830"/>
      <c r="AO346" s="2830"/>
      <c r="AP346" s="2830"/>
      <c r="AQ346" s="2830"/>
      <c r="AR346" s="2820"/>
      <c r="AS346" s="2820"/>
      <c r="AT346" s="2820"/>
      <c r="AU346" s="2820"/>
      <c r="AV346" s="2766"/>
      <c r="AY346" s="2766"/>
    </row>
    <row r="347" spans="1:51">
      <c r="A347" s="2766"/>
      <c r="E347" s="2766"/>
      <c r="F347" s="2766"/>
      <c r="G347" s="2766"/>
      <c r="H347" s="2766"/>
      <c r="I347" s="2766"/>
      <c r="J347" s="2766"/>
      <c r="K347" s="2820"/>
      <c r="L347" s="2820"/>
      <c r="M347" s="2830"/>
      <c r="N347" s="2830"/>
      <c r="O347" s="2830"/>
      <c r="P347" s="2830"/>
      <c r="Q347" s="2830"/>
      <c r="R347" s="2830"/>
      <c r="S347" s="2830"/>
      <c r="T347" s="2830"/>
      <c r="U347" s="2830"/>
      <c r="V347" s="2830"/>
      <c r="W347" s="2830"/>
      <c r="X347" s="2830"/>
      <c r="Y347" s="2830"/>
      <c r="Z347" s="2830"/>
      <c r="AA347" s="2830"/>
      <c r="AB347" s="2830"/>
      <c r="AC347" s="2830"/>
      <c r="AD347" s="2830"/>
      <c r="AE347" s="2830"/>
      <c r="AF347" s="2830"/>
      <c r="AG347" s="2830"/>
      <c r="AH347" s="2831"/>
      <c r="AI347" s="2830"/>
      <c r="AJ347" s="2830"/>
      <c r="AK347" s="2830"/>
      <c r="AL347" s="2830"/>
      <c r="AM347" s="2830"/>
      <c r="AN347" s="2830"/>
      <c r="AO347" s="2830"/>
      <c r="AP347" s="2830"/>
      <c r="AQ347" s="2830"/>
      <c r="AR347" s="2820"/>
      <c r="AS347" s="2820"/>
      <c r="AT347" s="2820"/>
      <c r="AU347" s="2820"/>
      <c r="AV347" s="2766"/>
      <c r="AY347" s="2766"/>
    </row>
    <row r="348" spans="1:51">
      <c r="A348" s="2766"/>
      <c r="E348" s="2766"/>
      <c r="F348" s="2766"/>
      <c r="G348" s="2766"/>
      <c r="H348" s="2766"/>
      <c r="I348" s="2766"/>
      <c r="J348" s="2766"/>
      <c r="K348" s="2820"/>
      <c r="L348" s="2820"/>
      <c r="M348" s="2830"/>
      <c r="N348" s="2830"/>
      <c r="O348" s="2830"/>
      <c r="P348" s="2830"/>
      <c r="Q348" s="2830"/>
      <c r="R348" s="2830"/>
      <c r="S348" s="2830"/>
      <c r="T348" s="2830"/>
      <c r="U348" s="2830"/>
      <c r="V348" s="2830"/>
      <c r="W348" s="2830"/>
      <c r="X348" s="2830"/>
      <c r="Y348" s="2830"/>
      <c r="Z348" s="2830"/>
      <c r="AA348" s="2830"/>
      <c r="AB348" s="2830"/>
      <c r="AC348" s="2830"/>
      <c r="AD348" s="2830"/>
      <c r="AE348" s="2830"/>
      <c r="AF348" s="2830"/>
      <c r="AG348" s="2830"/>
      <c r="AH348" s="2831"/>
      <c r="AI348" s="2830"/>
      <c r="AJ348" s="2830"/>
      <c r="AK348" s="2830"/>
      <c r="AL348" s="2830"/>
      <c r="AM348" s="2830"/>
      <c r="AN348" s="2830"/>
      <c r="AO348" s="2830"/>
      <c r="AP348" s="2830"/>
      <c r="AQ348" s="2830"/>
      <c r="AR348" s="2820"/>
      <c r="AS348" s="2820"/>
      <c r="AT348" s="2820"/>
      <c r="AU348" s="2820"/>
      <c r="AV348" s="2766"/>
      <c r="AY348" s="2766"/>
    </row>
    <row r="349" spans="1:51">
      <c r="A349" s="2766"/>
      <c r="E349" s="2766"/>
      <c r="F349" s="2766"/>
      <c r="G349" s="2766"/>
      <c r="H349" s="2766"/>
      <c r="I349" s="2766"/>
      <c r="J349" s="2766"/>
      <c r="K349" s="2820"/>
      <c r="L349" s="2820"/>
      <c r="M349" s="2830"/>
      <c r="N349" s="2830"/>
      <c r="O349" s="2830"/>
      <c r="P349" s="2830"/>
      <c r="Q349" s="2830"/>
      <c r="R349" s="2830"/>
      <c r="S349" s="2830"/>
      <c r="T349" s="2830"/>
      <c r="U349" s="2830"/>
      <c r="V349" s="2830"/>
      <c r="W349" s="2830"/>
      <c r="X349" s="2830"/>
      <c r="Y349" s="2830"/>
      <c r="Z349" s="2830"/>
      <c r="AA349" s="2830"/>
      <c r="AB349" s="2830"/>
      <c r="AC349" s="2830"/>
      <c r="AD349" s="2830"/>
      <c r="AE349" s="2830"/>
      <c r="AF349" s="2830"/>
      <c r="AG349" s="2830"/>
      <c r="AH349" s="2831"/>
      <c r="AI349" s="2830"/>
      <c r="AJ349" s="2830"/>
      <c r="AK349" s="2830"/>
      <c r="AL349" s="2830"/>
      <c r="AM349" s="2830"/>
      <c r="AN349" s="2830"/>
      <c r="AO349" s="2830"/>
      <c r="AP349" s="2830"/>
      <c r="AQ349" s="2830"/>
      <c r="AR349" s="2820"/>
      <c r="AS349" s="2820"/>
      <c r="AT349" s="2820"/>
      <c r="AU349" s="2820"/>
      <c r="AV349" s="2766"/>
      <c r="AY349" s="2766"/>
    </row>
    <row r="350" spans="1:51">
      <c r="A350" s="2766"/>
      <c r="E350" s="2766"/>
      <c r="F350" s="2766"/>
      <c r="G350" s="2766"/>
      <c r="H350" s="2766"/>
      <c r="I350" s="2766"/>
      <c r="J350" s="2766"/>
      <c r="K350" s="2820"/>
      <c r="L350" s="2820"/>
      <c r="M350" s="2830"/>
      <c r="N350" s="2830"/>
      <c r="O350" s="2830"/>
      <c r="P350" s="2830"/>
      <c r="Q350" s="2830"/>
      <c r="R350" s="2830"/>
      <c r="S350" s="2830"/>
      <c r="T350" s="2830"/>
      <c r="U350" s="2830"/>
      <c r="V350" s="2830"/>
      <c r="W350" s="2830"/>
      <c r="X350" s="2830"/>
      <c r="Y350" s="2830"/>
      <c r="Z350" s="2830"/>
      <c r="AA350" s="2830"/>
      <c r="AB350" s="2830"/>
      <c r="AC350" s="2830"/>
      <c r="AD350" s="2830"/>
      <c r="AE350" s="2830"/>
      <c r="AF350" s="2830"/>
      <c r="AG350" s="2830"/>
      <c r="AH350" s="2831"/>
      <c r="AI350" s="2830"/>
      <c r="AJ350" s="2830"/>
      <c r="AK350" s="2830"/>
      <c r="AL350" s="2830"/>
      <c r="AM350" s="2830"/>
      <c r="AN350" s="2830"/>
      <c r="AO350" s="2830"/>
      <c r="AP350" s="2830"/>
      <c r="AQ350" s="2830"/>
      <c r="AR350" s="2820"/>
      <c r="AS350" s="2820"/>
      <c r="AT350" s="2820"/>
      <c r="AU350" s="2820"/>
      <c r="AV350" s="2766"/>
      <c r="AY350" s="2766"/>
    </row>
    <row r="351" spans="1:51">
      <c r="A351" s="2766"/>
      <c r="E351" s="2766"/>
      <c r="F351" s="2766"/>
      <c r="G351" s="2766"/>
      <c r="H351" s="2766"/>
      <c r="I351" s="2766"/>
      <c r="J351" s="2766"/>
      <c r="K351" s="2820"/>
      <c r="L351" s="2820"/>
      <c r="M351" s="2830"/>
      <c r="N351" s="2830"/>
      <c r="O351" s="2830"/>
      <c r="P351" s="2830"/>
      <c r="Q351" s="2830"/>
      <c r="R351" s="2830"/>
      <c r="S351" s="2830"/>
      <c r="T351" s="2830"/>
      <c r="U351" s="2830"/>
      <c r="V351" s="2830"/>
      <c r="W351" s="2830"/>
      <c r="X351" s="2830"/>
      <c r="Y351" s="2830"/>
      <c r="Z351" s="2830"/>
      <c r="AA351" s="2830"/>
      <c r="AB351" s="2830"/>
      <c r="AC351" s="2830"/>
      <c r="AD351" s="2830"/>
      <c r="AE351" s="2830"/>
      <c r="AF351" s="2830"/>
      <c r="AG351" s="2830"/>
      <c r="AH351" s="2831"/>
      <c r="AI351" s="2830"/>
      <c r="AJ351" s="2830"/>
      <c r="AK351" s="2830"/>
      <c r="AL351" s="2830"/>
      <c r="AM351" s="2830"/>
      <c r="AN351" s="2830"/>
      <c r="AO351" s="2830"/>
      <c r="AP351" s="2830"/>
      <c r="AQ351" s="2830"/>
      <c r="AR351" s="2820"/>
      <c r="AS351" s="2820"/>
      <c r="AT351" s="2820"/>
      <c r="AU351" s="2820"/>
      <c r="AV351" s="2766"/>
      <c r="AY351" s="2766"/>
    </row>
    <row r="352" spans="1:51">
      <c r="A352" s="2766"/>
      <c r="E352" s="2766"/>
      <c r="F352" s="2766"/>
      <c r="G352" s="2766"/>
      <c r="H352" s="2766"/>
      <c r="I352" s="2766"/>
      <c r="J352" s="2766"/>
      <c r="K352" s="2820"/>
      <c r="L352" s="2820"/>
      <c r="M352" s="2830"/>
      <c r="N352" s="2830"/>
      <c r="O352" s="2830"/>
      <c r="P352" s="2830"/>
      <c r="Q352" s="2830"/>
      <c r="R352" s="2830"/>
      <c r="S352" s="2830"/>
      <c r="T352" s="2830"/>
      <c r="U352" s="2830"/>
      <c r="V352" s="2830"/>
      <c r="W352" s="2830"/>
      <c r="X352" s="2830"/>
      <c r="Y352" s="2830"/>
      <c r="Z352" s="2830"/>
      <c r="AA352" s="2830"/>
      <c r="AB352" s="2830"/>
      <c r="AC352" s="2830"/>
      <c r="AD352" s="2830"/>
      <c r="AE352" s="2830"/>
      <c r="AF352" s="2830"/>
      <c r="AG352" s="2830"/>
      <c r="AH352" s="2831"/>
      <c r="AI352" s="2830"/>
      <c r="AJ352" s="2830"/>
      <c r="AK352" s="2830"/>
      <c r="AL352" s="2830"/>
      <c r="AM352" s="2830"/>
      <c r="AN352" s="2830"/>
      <c r="AO352" s="2830"/>
      <c r="AP352" s="2830"/>
      <c r="AQ352" s="2830"/>
      <c r="AR352" s="2820"/>
      <c r="AS352" s="2820"/>
      <c r="AT352" s="2820"/>
      <c r="AU352" s="2820"/>
      <c r="AV352" s="2766"/>
      <c r="AY352" s="2766"/>
    </row>
    <row r="353" spans="1:51">
      <c r="A353" s="2766"/>
      <c r="E353" s="2766"/>
      <c r="F353" s="2766"/>
      <c r="G353" s="2766"/>
      <c r="H353" s="2766"/>
      <c r="I353" s="2766"/>
      <c r="J353" s="2766"/>
      <c r="K353" s="2820"/>
      <c r="L353" s="2820"/>
      <c r="M353" s="2830"/>
      <c r="N353" s="2830"/>
      <c r="O353" s="2830"/>
      <c r="P353" s="2830"/>
      <c r="Q353" s="2830"/>
      <c r="R353" s="2830"/>
      <c r="S353" s="2830"/>
      <c r="T353" s="2830"/>
      <c r="U353" s="2830"/>
      <c r="V353" s="2830"/>
      <c r="W353" s="2830"/>
      <c r="X353" s="2830"/>
      <c r="Y353" s="2830"/>
      <c r="Z353" s="2830"/>
      <c r="AA353" s="2830"/>
      <c r="AB353" s="2830"/>
      <c r="AC353" s="2830"/>
      <c r="AD353" s="2830"/>
      <c r="AE353" s="2830"/>
      <c r="AF353" s="2830"/>
      <c r="AG353" s="2830"/>
      <c r="AH353" s="2831"/>
      <c r="AI353" s="2830"/>
      <c r="AJ353" s="2830"/>
      <c r="AK353" s="2830"/>
      <c r="AL353" s="2830"/>
      <c r="AM353" s="2830"/>
      <c r="AN353" s="2830"/>
      <c r="AO353" s="2830"/>
      <c r="AP353" s="2830"/>
      <c r="AQ353" s="2830"/>
      <c r="AR353" s="2820"/>
      <c r="AS353" s="2820"/>
      <c r="AT353" s="2820"/>
      <c r="AU353" s="2820"/>
      <c r="AV353" s="2766"/>
      <c r="AY353" s="2766"/>
    </row>
    <row r="354" spans="1:51">
      <c r="A354" s="2766"/>
      <c r="E354" s="2766"/>
      <c r="F354" s="2766"/>
      <c r="G354" s="2766"/>
      <c r="H354" s="2766"/>
      <c r="I354" s="2766"/>
      <c r="J354" s="2766"/>
      <c r="K354" s="2820"/>
      <c r="L354" s="2820"/>
      <c r="M354" s="2830"/>
      <c r="N354" s="2830"/>
      <c r="O354" s="2830"/>
      <c r="P354" s="2830"/>
      <c r="Q354" s="2830"/>
      <c r="R354" s="2830"/>
      <c r="S354" s="2830"/>
      <c r="T354" s="2830"/>
      <c r="U354" s="2830"/>
      <c r="V354" s="2830"/>
      <c r="W354" s="2830"/>
      <c r="X354" s="2830"/>
      <c r="Y354" s="2830"/>
      <c r="Z354" s="2830"/>
      <c r="AA354" s="2830"/>
      <c r="AB354" s="2830"/>
      <c r="AC354" s="2830"/>
      <c r="AD354" s="2830"/>
      <c r="AE354" s="2830"/>
      <c r="AF354" s="2830"/>
      <c r="AG354" s="2830"/>
      <c r="AH354" s="2831"/>
      <c r="AI354" s="2830"/>
      <c r="AJ354" s="2830"/>
      <c r="AK354" s="2830"/>
      <c r="AL354" s="2830"/>
      <c r="AM354" s="2830"/>
      <c r="AN354" s="2830"/>
      <c r="AO354" s="2830"/>
      <c r="AP354" s="2830"/>
      <c r="AQ354" s="2830"/>
      <c r="AR354" s="2820"/>
      <c r="AS354" s="2820"/>
      <c r="AT354" s="2820"/>
      <c r="AU354" s="2820"/>
      <c r="AV354" s="2766"/>
      <c r="AY354" s="2766"/>
    </row>
    <row r="355" spans="1:51">
      <c r="A355" s="2766"/>
      <c r="E355" s="2766"/>
      <c r="F355" s="2766"/>
      <c r="G355" s="2766"/>
      <c r="H355" s="2766"/>
      <c r="I355" s="2766"/>
      <c r="J355" s="2766"/>
      <c r="K355" s="2820"/>
      <c r="L355" s="2820"/>
      <c r="M355" s="2830"/>
      <c r="N355" s="2830"/>
      <c r="O355" s="2830"/>
      <c r="P355" s="2830"/>
      <c r="Q355" s="2830"/>
      <c r="R355" s="2830"/>
      <c r="S355" s="2830"/>
      <c r="T355" s="2830"/>
      <c r="U355" s="2830"/>
      <c r="V355" s="2830"/>
      <c r="W355" s="2830"/>
      <c r="X355" s="2830"/>
      <c r="Y355" s="2830"/>
      <c r="Z355" s="2830"/>
      <c r="AA355" s="2830"/>
      <c r="AB355" s="2830"/>
      <c r="AC355" s="2830"/>
      <c r="AD355" s="2830"/>
      <c r="AE355" s="2830"/>
      <c r="AF355" s="2830"/>
      <c r="AG355" s="2830"/>
      <c r="AH355" s="2831"/>
      <c r="AI355" s="2830"/>
      <c r="AJ355" s="2830"/>
      <c r="AK355" s="2830"/>
      <c r="AL355" s="2830"/>
      <c r="AM355" s="2830"/>
      <c r="AN355" s="2830"/>
      <c r="AO355" s="2830"/>
      <c r="AP355" s="2830"/>
      <c r="AQ355" s="2830"/>
      <c r="AR355" s="2820"/>
      <c r="AS355" s="2820"/>
      <c r="AT355" s="2820"/>
      <c r="AU355" s="2820"/>
      <c r="AV355" s="2766"/>
      <c r="AY355" s="2766"/>
    </row>
    <row r="356" spans="1:51">
      <c r="A356" s="2766"/>
      <c r="E356" s="2766"/>
      <c r="F356" s="2766"/>
      <c r="G356" s="2766"/>
      <c r="H356" s="2766"/>
      <c r="I356" s="2766"/>
      <c r="J356" s="2766"/>
      <c r="K356" s="2820"/>
      <c r="L356" s="2820"/>
      <c r="M356" s="2830"/>
      <c r="N356" s="2830"/>
      <c r="O356" s="2830"/>
      <c r="P356" s="2830"/>
      <c r="Q356" s="2830"/>
      <c r="R356" s="2830"/>
      <c r="S356" s="2830"/>
      <c r="T356" s="2830"/>
      <c r="U356" s="2830"/>
      <c r="V356" s="2830"/>
      <c r="W356" s="2830"/>
      <c r="X356" s="2830"/>
      <c r="Y356" s="2830"/>
      <c r="Z356" s="2830"/>
      <c r="AA356" s="2830"/>
      <c r="AB356" s="2830"/>
      <c r="AC356" s="2830"/>
      <c r="AD356" s="2830"/>
      <c r="AE356" s="2830"/>
      <c r="AF356" s="2830"/>
      <c r="AG356" s="2830"/>
      <c r="AH356" s="2831"/>
      <c r="AI356" s="2830"/>
      <c r="AJ356" s="2830"/>
      <c r="AK356" s="2830"/>
      <c r="AL356" s="2830"/>
      <c r="AM356" s="2830"/>
      <c r="AN356" s="2830"/>
      <c r="AO356" s="2830"/>
      <c r="AP356" s="2830"/>
      <c r="AQ356" s="2830"/>
      <c r="AR356" s="2820"/>
      <c r="AS356" s="2820"/>
      <c r="AT356" s="2820"/>
      <c r="AU356" s="2820"/>
      <c r="AV356" s="2766"/>
      <c r="AY356" s="2766"/>
    </row>
    <row r="357" spans="1:51">
      <c r="A357" s="2766"/>
      <c r="E357" s="2766"/>
      <c r="F357" s="2766"/>
      <c r="G357" s="2766"/>
      <c r="H357" s="2766"/>
      <c r="I357" s="2766"/>
      <c r="J357" s="2766"/>
      <c r="K357" s="2820"/>
      <c r="L357" s="2820"/>
      <c r="M357" s="2830"/>
      <c r="N357" s="2830"/>
      <c r="O357" s="2830"/>
      <c r="P357" s="2830"/>
      <c r="Q357" s="2830"/>
      <c r="R357" s="2830"/>
      <c r="S357" s="2830"/>
      <c r="T357" s="2830"/>
      <c r="U357" s="2830"/>
      <c r="V357" s="2830"/>
      <c r="W357" s="2830"/>
      <c r="X357" s="2830"/>
      <c r="Y357" s="2830"/>
      <c r="Z357" s="2830"/>
      <c r="AA357" s="2830"/>
      <c r="AB357" s="2830"/>
      <c r="AC357" s="2830"/>
      <c r="AD357" s="2830"/>
      <c r="AE357" s="2830"/>
      <c r="AF357" s="2830"/>
      <c r="AG357" s="2830"/>
      <c r="AH357" s="2831"/>
      <c r="AI357" s="2830"/>
      <c r="AJ357" s="2830"/>
      <c r="AK357" s="2830"/>
      <c r="AL357" s="2830"/>
      <c r="AM357" s="2830"/>
      <c r="AN357" s="2830"/>
      <c r="AO357" s="2830"/>
      <c r="AP357" s="2830"/>
      <c r="AQ357" s="2830"/>
      <c r="AR357" s="2820"/>
      <c r="AS357" s="2820"/>
      <c r="AT357" s="2820"/>
      <c r="AU357" s="2820"/>
      <c r="AV357" s="2766"/>
      <c r="AY357" s="2766"/>
    </row>
    <row r="358" spans="1:51">
      <c r="A358" s="2766"/>
      <c r="E358" s="2766"/>
      <c r="F358" s="2766"/>
      <c r="G358" s="2766"/>
      <c r="H358" s="2766"/>
      <c r="I358" s="2766"/>
      <c r="J358" s="2766"/>
      <c r="K358" s="2820"/>
      <c r="L358" s="2820"/>
      <c r="M358" s="2830"/>
      <c r="N358" s="2830"/>
      <c r="O358" s="2830"/>
      <c r="P358" s="2830"/>
      <c r="Q358" s="2830"/>
      <c r="R358" s="2830"/>
      <c r="S358" s="2830"/>
      <c r="T358" s="2830"/>
      <c r="U358" s="2830"/>
      <c r="V358" s="2830"/>
      <c r="W358" s="2830"/>
      <c r="X358" s="2830"/>
      <c r="Y358" s="2830"/>
      <c r="Z358" s="2830"/>
      <c r="AA358" s="2830"/>
      <c r="AB358" s="2830"/>
      <c r="AC358" s="2830"/>
      <c r="AD358" s="2830"/>
      <c r="AE358" s="2830"/>
      <c r="AF358" s="2830"/>
      <c r="AG358" s="2830"/>
      <c r="AH358" s="2831"/>
      <c r="AI358" s="2830"/>
      <c r="AJ358" s="2830"/>
      <c r="AK358" s="2830"/>
      <c r="AL358" s="2830"/>
      <c r="AM358" s="2830"/>
      <c r="AN358" s="2830"/>
      <c r="AO358" s="2830"/>
      <c r="AP358" s="2830"/>
      <c r="AQ358" s="2830"/>
      <c r="AR358" s="2820"/>
      <c r="AS358" s="2820"/>
      <c r="AT358" s="2820"/>
      <c r="AU358" s="2820"/>
      <c r="AV358" s="2766"/>
      <c r="AY358" s="2766"/>
    </row>
    <row r="359" spans="1:51">
      <c r="A359" s="2766"/>
      <c r="E359" s="2766"/>
      <c r="F359" s="2766"/>
      <c r="G359" s="2766"/>
      <c r="H359" s="2766"/>
      <c r="I359" s="2766"/>
      <c r="J359" s="2766"/>
      <c r="K359" s="2820"/>
      <c r="L359" s="2820"/>
      <c r="M359" s="2830"/>
      <c r="N359" s="2830"/>
      <c r="O359" s="2830"/>
      <c r="P359" s="2830"/>
      <c r="Q359" s="2830"/>
      <c r="R359" s="2830"/>
      <c r="S359" s="2830"/>
      <c r="T359" s="2830"/>
      <c r="U359" s="2830"/>
      <c r="V359" s="2830"/>
      <c r="W359" s="2830"/>
      <c r="X359" s="2830"/>
      <c r="Y359" s="2830"/>
      <c r="Z359" s="2830"/>
      <c r="AA359" s="2830"/>
      <c r="AB359" s="2830"/>
      <c r="AC359" s="2830"/>
      <c r="AD359" s="2830"/>
      <c r="AE359" s="2830"/>
      <c r="AF359" s="2830"/>
      <c r="AG359" s="2830"/>
      <c r="AH359" s="2831"/>
      <c r="AI359" s="2830"/>
      <c r="AJ359" s="2830"/>
      <c r="AK359" s="2830"/>
      <c r="AL359" s="2830"/>
      <c r="AM359" s="2830"/>
      <c r="AN359" s="2830"/>
      <c r="AO359" s="2830"/>
      <c r="AP359" s="2830"/>
      <c r="AQ359" s="2830"/>
      <c r="AR359" s="2820"/>
      <c r="AS359" s="2820"/>
      <c r="AT359" s="2820"/>
      <c r="AU359" s="2820"/>
      <c r="AV359" s="2766"/>
      <c r="AY359" s="2766"/>
    </row>
    <row r="360" spans="1:51">
      <c r="A360" s="2766"/>
      <c r="E360" s="2766"/>
      <c r="F360" s="2766"/>
      <c r="G360" s="2766"/>
      <c r="H360" s="2766"/>
      <c r="I360" s="2766"/>
      <c r="J360" s="2766"/>
      <c r="K360" s="2820"/>
      <c r="L360" s="2820"/>
      <c r="M360" s="2830"/>
      <c r="N360" s="2830"/>
      <c r="O360" s="2830"/>
      <c r="P360" s="2830"/>
      <c r="Q360" s="2830"/>
      <c r="R360" s="2830"/>
      <c r="S360" s="2830"/>
      <c r="T360" s="2830"/>
      <c r="U360" s="2830"/>
      <c r="V360" s="2830"/>
      <c r="W360" s="2830"/>
      <c r="X360" s="2830"/>
      <c r="Y360" s="2830"/>
      <c r="Z360" s="2830"/>
      <c r="AA360" s="2830"/>
      <c r="AB360" s="2830"/>
      <c r="AC360" s="2830"/>
      <c r="AD360" s="2830"/>
      <c r="AE360" s="2830"/>
      <c r="AF360" s="2830"/>
      <c r="AG360" s="2830"/>
      <c r="AH360" s="2831"/>
      <c r="AI360" s="2830"/>
      <c r="AJ360" s="2830"/>
      <c r="AK360" s="2830"/>
      <c r="AL360" s="2830"/>
      <c r="AM360" s="2830"/>
      <c r="AN360" s="2830"/>
      <c r="AO360" s="2830"/>
      <c r="AP360" s="2830"/>
      <c r="AQ360" s="2830"/>
      <c r="AR360" s="2820"/>
      <c r="AS360" s="2820"/>
      <c r="AT360" s="2820"/>
      <c r="AU360" s="2820"/>
      <c r="AV360" s="2766"/>
      <c r="AY360" s="2766"/>
    </row>
    <row r="361" spans="1:51">
      <c r="A361" s="2766"/>
      <c r="E361" s="2766"/>
      <c r="F361" s="2766"/>
      <c r="G361" s="2766"/>
      <c r="H361" s="2766"/>
      <c r="I361" s="2766"/>
      <c r="J361" s="2766"/>
      <c r="K361" s="2820"/>
      <c r="L361" s="2820"/>
      <c r="M361" s="2830"/>
      <c r="N361" s="2830"/>
      <c r="O361" s="2830"/>
      <c r="P361" s="2830"/>
      <c r="Q361" s="2830"/>
      <c r="R361" s="2830"/>
      <c r="S361" s="2830"/>
      <c r="T361" s="2830"/>
      <c r="U361" s="2830"/>
      <c r="V361" s="2830"/>
      <c r="W361" s="2830"/>
      <c r="X361" s="2830"/>
      <c r="Y361" s="2830"/>
      <c r="Z361" s="2830"/>
      <c r="AA361" s="2830"/>
      <c r="AB361" s="2830"/>
      <c r="AC361" s="2830"/>
      <c r="AD361" s="2830"/>
      <c r="AE361" s="2830"/>
      <c r="AF361" s="2830"/>
      <c r="AG361" s="2830"/>
      <c r="AH361" s="2831"/>
      <c r="AI361" s="2830"/>
      <c r="AJ361" s="2830"/>
      <c r="AK361" s="2830"/>
      <c r="AL361" s="2830"/>
      <c r="AM361" s="2830"/>
      <c r="AN361" s="2830"/>
      <c r="AO361" s="2830"/>
      <c r="AP361" s="2830"/>
      <c r="AQ361" s="2830"/>
      <c r="AR361" s="2820"/>
      <c r="AS361" s="2820"/>
      <c r="AT361" s="2820"/>
      <c r="AU361" s="2820"/>
      <c r="AV361" s="2766"/>
      <c r="AY361" s="2766"/>
    </row>
    <row r="362" spans="1:51">
      <c r="A362" s="2766"/>
      <c r="E362" s="2766"/>
      <c r="F362" s="2766"/>
      <c r="G362" s="2766"/>
      <c r="H362" s="2766"/>
      <c r="I362" s="2766"/>
      <c r="J362" s="2766"/>
      <c r="K362" s="2820"/>
      <c r="L362" s="2820"/>
      <c r="M362" s="2830"/>
      <c r="N362" s="2830"/>
      <c r="O362" s="2830"/>
      <c r="P362" s="2830"/>
      <c r="Q362" s="2830"/>
      <c r="R362" s="2830"/>
      <c r="S362" s="2830"/>
      <c r="T362" s="2830"/>
      <c r="U362" s="2830"/>
      <c r="V362" s="2830"/>
      <c r="W362" s="2830"/>
      <c r="X362" s="2830"/>
      <c r="Y362" s="2830"/>
      <c r="Z362" s="2830"/>
      <c r="AA362" s="2830"/>
      <c r="AB362" s="2830"/>
      <c r="AC362" s="2830"/>
      <c r="AD362" s="2830"/>
      <c r="AE362" s="2830"/>
      <c r="AF362" s="2830"/>
      <c r="AG362" s="2830"/>
      <c r="AH362" s="2831"/>
      <c r="AI362" s="2830"/>
      <c r="AJ362" s="2830"/>
      <c r="AK362" s="2830"/>
      <c r="AL362" s="2830"/>
      <c r="AM362" s="2830"/>
      <c r="AN362" s="2830"/>
      <c r="AO362" s="2830"/>
      <c r="AP362" s="2830"/>
      <c r="AQ362" s="2830"/>
      <c r="AR362" s="2820"/>
      <c r="AS362" s="2820"/>
      <c r="AT362" s="2820"/>
      <c r="AU362" s="2820"/>
      <c r="AV362" s="2766"/>
      <c r="AY362" s="2766"/>
    </row>
    <row r="363" spans="1:51">
      <c r="A363" s="2766"/>
      <c r="E363" s="2766"/>
      <c r="F363" s="2766"/>
      <c r="G363" s="2766"/>
      <c r="H363" s="2766"/>
      <c r="I363" s="2766"/>
      <c r="J363" s="2766"/>
      <c r="K363" s="2820"/>
      <c r="L363" s="2820"/>
      <c r="M363" s="2830"/>
      <c r="N363" s="2830"/>
      <c r="O363" s="2830"/>
      <c r="P363" s="2830"/>
      <c r="Q363" s="2830"/>
      <c r="R363" s="2830"/>
      <c r="S363" s="2830"/>
      <c r="T363" s="2830"/>
      <c r="U363" s="2830"/>
      <c r="V363" s="2830"/>
      <c r="W363" s="2830"/>
      <c r="X363" s="2830"/>
      <c r="Y363" s="2830"/>
      <c r="Z363" s="2830"/>
      <c r="AA363" s="2830"/>
      <c r="AB363" s="2830"/>
      <c r="AC363" s="2830"/>
      <c r="AD363" s="2830"/>
      <c r="AE363" s="2830"/>
      <c r="AF363" s="2830"/>
      <c r="AG363" s="2830"/>
      <c r="AH363" s="2831"/>
      <c r="AI363" s="2830"/>
      <c r="AJ363" s="2830"/>
      <c r="AK363" s="2830"/>
      <c r="AL363" s="2830"/>
      <c r="AM363" s="2830"/>
      <c r="AN363" s="2830"/>
      <c r="AO363" s="2830"/>
      <c r="AP363" s="2830"/>
      <c r="AQ363" s="2830"/>
      <c r="AR363" s="2820"/>
      <c r="AS363" s="2820"/>
      <c r="AT363" s="2820"/>
      <c r="AU363" s="2820"/>
      <c r="AV363" s="2766"/>
      <c r="AY363" s="2766"/>
    </row>
    <row r="364" spans="1:51">
      <c r="A364" s="2766"/>
      <c r="E364" s="2766"/>
      <c r="F364" s="2766"/>
      <c r="G364" s="2766"/>
      <c r="H364" s="2766"/>
      <c r="I364" s="2766"/>
      <c r="J364" s="2766"/>
      <c r="K364" s="2820"/>
      <c r="L364" s="2820"/>
      <c r="M364" s="2830"/>
      <c r="N364" s="2830"/>
      <c r="O364" s="2830"/>
      <c r="P364" s="2830"/>
      <c r="Q364" s="2830"/>
      <c r="R364" s="2830"/>
      <c r="S364" s="2830"/>
      <c r="T364" s="2830"/>
      <c r="U364" s="2830"/>
      <c r="V364" s="2830"/>
      <c r="W364" s="2830"/>
      <c r="X364" s="2830"/>
      <c r="Y364" s="2830"/>
      <c r="Z364" s="2830"/>
      <c r="AA364" s="2830"/>
      <c r="AB364" s="2830"/>
      <c r="AC364" s="2830"/>
      <c r="AD364" s="2830"/>
      <c r="AE364" s="2830"/>
      <c r="AF364" s="2830"/>
      <c r="AG364" s="2830"/>
      <c r="AH364" s="2831"/>
      <c r="AI364" s="2830"/>
      <c r="AJ364" s="2830"/>
      <c r="AK364" s="2830"/>
      <c r="AL364" s="2830"/>
      <c r="AM364" s="2830"/>
      <c r="AN364" s="2830"/>
      <c r="AO364" s="2830"/>
      <c r="AP364" s="2830"/>
      <c r="AQ364" s="2830"/>
      <c r="AR364" s="2820"/>
      <c r="AS364" s="2820"/>
      <c r="AT364" s="2820"/>
      <c r="AU364" s="2820"/>
      <c r="AV364" s="2766"/>
      <c r="AY364" s="2766"/>
    </row>
    <row r="365" spans="1:51">
      <c r="A365" s="2766"/>
      <c r="E365" s="2766"/>
      <c r="F365" s="2766"/>
      <c r="G365" s="2766"/>
      <c r="H365" s="2766"/>
      <c r="I365" s="2766"/>
      <c r="J365" s="2766"/>
      <c r="K365" s="2820"/>
      <c r="L365" s="2820"/>
      <c r="M365" s="2830"/>
      <c r="N365" s="2830"/>
      <c r="O365" s="2830"/>
      <c r="P365" s="2830"/>
      <c r="Q365" s="2830"/>
      <c r="R365" s="2830"/>
      <c r="S365" s="2830"/>
      <c r="T365" s="2830"/>
      <c r="U365" s="2830"/>
      <c r="V365" s="2830"/>
      <c r="W365" s="2830"/>
      <c r="X365" s="2830"/>
      <c r="Y365" s="2830"/>
      <c r="Z365" s="2830"/>
      <c r="AA365" s="2830"/>
      <c r="AB365" s="2830"/>
      <c r="AC365" s="2830"/>
      <c r="AD365" s="2830"/>
      <c r="AE365" s="2830"/>
      <c r="AF365" s="2830"/>
      <c r="AG365" s="2830"/>
      <c r="AH365" s="2831"/>
      <c r="AI365" s="2830"/>
      <c r="AJ365" s="2830"/>
      <c r="AK365" s="2830"/>
      <c r="AL365" s="2830"/>
      <c r="AM365" s="2830"/>
      <c r="AN365" s="2830"/>
      <c r="AO365" s="2830"/>
      <c r="AP365" s="2830"/>
      <c r="AQ365" s="2830"/>
      <c r="AR365" s="2820"/>
      <c r="AS365" s="2820"/>
      <c r="AT365" s="2820"/>
      <c r="AU365" s="2820"/>
      <c r="AV365" s="2766"/>
      <c r="AY365" s="2766"/>
    </row>
    <row r="366" spans="1:51">
      <c r="A366" s="2766"/>
      <c r="E366" s="2766"/>
      <c r="F366" s="2766"/>
      <c r="G366" s="2766"/>
      <c r="H366" s="2766"/>
      <c r="I366" s="2766"/>
      <c r="J366" s="2766"/>
      <c r="K366" s="2820"/>
      <c r="L366" s="2820"/>
      <c r="M366" s="2830"/>
      <c r="N366" s="2830"/>
      <c r="O366" s="2830"/>
      <c r="P366" s="2830"/>
      <c r="Q366" s="2830"/>
      <c r="R366" s="2830"/>
      <c r="S366" s="2830"/>
      <c r="T366" s="2830"/>
      <c r="U366" s="2830"/>
      <c r="V366" s="2830"/>
      <c r="W366" s="2830"/>
      <c r="X366" s="2830"/>
      <c r="Y366" s="2830"/>
      <c r="Z366" s="2830"/>
      <c r="AA366" s="2830"/>
      <c r="AB366" s="2830"/>
      <c r="AC366" s="2830"/>
      <c r="AD366" s="2830"/>
      <c r="AE366" s="2830"/>
      <c r="AF366" s="2830"/>
      <c r="AG366" s="2830"/>
      <c r="AH366" s="2831"/>
      <c r="AI366" s="2830"/>
      <c r="AJ366" s="2830"/>
      <c r="AK366" s="2830"/>
      <c r="AL366" s="2830"/>
      <c r="AM366" s="2830"/>
      <c r="AN366" s="2830"/>
      <c r="AO366" s="2830"/>
      <c r="AP366" s="2830"/>
      <c r="AQ366" s="2830"/>
      <c r="AR366" s="2820"/>
      <c r="AS366" s="2820"/>
      <c r="AT366" s="2820"/>
      <c r="AU366" s="2820"/>
      <c r="AV366" s="2766"/>
      <c r="AY366" s="2766"/>
    </row>
    <row r="367" spans="1:51">
      <c r="A367" s="2766"/>
      <c r="E367" s="2766"/>
      <c r="F367" s="2766"/>
      <c r="G367" s="2766"/>
      <c r="H367" s="2766"/>
      <c r="I367" s="2766"/>
      <c r="J367" s="2766"/>
      <c r="K367" s="2820"/>
      <c r="L367" s="2820"/>
      <c r="M367" s="2830"/>
      <c r="N367" s="2830"/>
      <c r="O367" s="2830"/>
      <c r="P367" s="2830"/>
      <c r="Q367" s="2830"/>
      <c r="R367" s="2830"/>
      <c r="S367" s="2830"/>
      <c r="T367" s="2830"/>
      <c r="U367" s="2830"/>
      <c r="V367" s="2830"/>
      <c r="W367" s="2830"/>
      <c r="X367" s="2830"/>
      <c r="Y367" s="2830"/>
      <c r="Z367" s="2830"/>
      <c r="AA367" s="2830"/>
      <c r="AB367" s="2830"/>
      <c r="AC367" s="2830"/>
      <c r="AD367" s="2830"/>
      <c r="AE367" s="2830"/>
      <c r="AF367" s="2830"/>
      <c r="AG367" s="2830"/>
      <c r="AH367" s="2831"/>
      <c r="AI367" s="2830"/>
      <c r="AJ367" s="2830"/>
      <c r="AK367" s="2830"/>
      <c r="AL367" s="2830"/>
      <c r="AM367" s="2830"/>
      <c r="AN367" s="2830"/>
      <c r="AO367" s="2830"/>
      <c r="AP367" s="2830"/>
      <c r="AQ367" s="2830"/>
      <c r="AR367" s="2820"/>
      <c r="AS367" s="2820"/>
      <c r="AT367" s="2820"/>
      <c r="AU367" s="2820"/>
      <c r="AV367" s="2766"/>
      <c r="AY367" s="2766"/>
    </row>
    <row r="368" spans="1:51">
      <c r="A368" s="2766"/>
      <c r="E368" s="2766"/>
      <c r="F368" s="2766"/>
      <c r="G368" s="2766"/>
      <c r="H368" s="2766"/>
      <c r="I368" s="2766"/>
      <c r="J368" s="2766"/>
      <c r="K368" s="2820"/>
      <c r="L368" s="2820"/>
      <c r="M368" s="2830"/>
      <c r="N368" s="2830"/>
      <c r="O368" s="2830"/>
      <c r="P368" s="2830"/>
      <c r="Q368" s="2830"/>
      <c r="R368" s="2830"/>
      <c r="S368" s="2830"/>
      <c r="T368" s="2830"/>
      <c r="U368" s="2830"/>
      <c r="V368" s="2830"/>
      <c r="W368" s="2830"/>
      <c r="X368" s="2830"/>
      <c r="Y368" s="2830"/>
      <c r="Z368" s="2830"/>
      <c r="AA368" s="2830"/>
      <c r="AB368" s="2830"/>
      <c r="AC368" s="2830"/>
      <c r="AD368" s="2830"/>
      <c r="AE368" s="2830"/>
      <c r="AF368" s="2830"/>
      <c r="AG368" s="2830"/>
      <c r="AH368" s="2831"/>
      <c r="AI368" s="2830"/>
      <c r="AJ368" s="2830"/>
      <c r="AK368" s="2830"/>
      <c r="AL368" s="2830"/>
      <c r="AM368" s="2830"/>
      <c r="AN368" s="2830"/>
      <c r="AO368" s="2830"/>
      <c r="AP368" s="2830"/>
      <c r="AQ368" s="2830"/>
      <c r="AR368" s="2820"/>
      <c r="AS368" s="2820"/>
      <c r="AT368" s="2820"/>
      <c r="AU368" s="2820"/>
      <c r="AV368" s="2766"/>
      <c r="AY368" s="2766"/>
    </row>
    <row r="369" spans="1:51">
      <c r="A369" s="2766"/>
      <c r="E369" s="2766"/>
      <c r="F369" s="2766"/>
      <c r="G369" s="2766"/>
      <c r="H369" s="2766"/>
      <c r="I369" s="2766"/>
      <c r="J369" s="2766"/>
      <c r="K369" s="2820"/>
      <c r="L369" s="2820"/>
      <c r="M369" s="2830"/>
      <c r="N369" s="2830"/>
      <c r="O369" s="2830"/>
      <c r="P369" s="2830"/>
      <c r="Q369" s="2830"/>
      <c r="R369" s="2830"/>
      <c r="S369" s="2830"/>
      <c r="T369" s="2830"/>
      <c r="U369" s="2830"/>
      <c r="V369" s="2830"/>
      <c r="W369" s="2830"/>
      <c r="X369" s="2830"/>
      <c r="Y369" s="2830"/>
      <c r="Z369" s="2830"/>
      <c r="AA369" s="2830"/>
      <c r="AB369" s="2830"/>
      <c r="AC369" s="2830"/>
      <c r="AD369" s="2830"/>
      <c r="AE369" s="2830"/>
      <c r="AF369" s="2830"/>
      <c r="AG369" s="2830"/>
      <c r="AH369" s="2831"/>
      <c r="AI369" s="2830"/>
      <c r="AJ369" s="2830"/>
      <c r="AK369" s="2830"/>
      <c r="AL369" s="2830"/>
      <c r="AM369" s="2830"/>
      <c r="AN369" s="2830"/>
      <c r="AO369" s="2830"/>
      <c r="AP369" s="2830"/>
      <c r="AQ369" s="2830"/>
      <c r="AR369" s="2820"/>
      <c r="AS369" s="2820"/>
      <c r="AT369" s="2820"/>
      <c r="AU369" s="2820"/>
      <c r="AV369" s="2766"/>
      <c r="AY369" s="2766"/>
    </row>
    <row r="370" spans="1:51">
      <c r="A370" s="2766"/>
      <c r="E370" s="2766"/>
      <c r="F370" s="2766"/>
      <c r="G370" s="2766"/>
      <c r="H370" s="2766"/>
      <c r="I370" s="2766"/>
      <c r="J370" s="2766"/>
      <c r="K370" s="2820"/>
      <c r="L370" s="2820"/>
      <c r="M370" s="2830"/>
      <c r="N370" s="2830"/>
      <c r="O370" s="2830"/>
      <c r="P370" s="2830"/>
      <c r="Q370" s="2830"/>
      <c r="R370" s="2830"/>
      <c r="S370" s="2830"/>
      <c r="T370" s="2830"/>
      <c r="U370" s="2830"/>
      <c r="V370" s="2830"/>
      <c r="W370" s="2830"/>
      <c r="X370" s="2830"/>
      <c r="Y370" s="2830"/>
      <c r="Z370" s="2830"/>
      <c r="AA370" s="2830"/>
      <c r="AB370" s="2830"/>
      <c r="AC370" s="2830"/>
      <c r="AD370" s="2830"/>
      <c r="AE370" s="2830"/>
      <c r="AF370" s="2830"/>
      <c r="AG370" s="2830"/>
      <c r="AH370" s="2831"/>
      <c r="AI370" s="2830"/>
      <c r="AJ370" s="2830"/>
      <c r="AK370" s="2830"/>
      <c r="AL370" s="2830"/>
      <c r="AM370" s="2830"/>
      <c r="AN370" s="2830"/>
      <c r="AO370" s="2830"/>
      <c r="AP370" s="2830"/>
      <c r="AQ370" s="2830"/>
      <c r="AR370" s="2820"/>
      <c r="AS370" s="2820"/>
      <c r="AT370" s="2820"/>
      <c r="AU370" s="2820"/>
      <c r="AV370" s="2766"/>
      <c r="AY370" s="2766"/>
    </row>
    <row r="371" spans="1:51">
      <c r="A371" s="2766"/>
      <c r="E371" s="2766"/>
      <c r="F371" s="2766"/>
      <c r="G371" s="2766"/>
      <c r="H371" s="2766"/>
      <c r="I371" s="2766"/>
      <c r="J371" s="2766"/>
      <c r="K371" s="2820"/>
      <c r="L371" s="2820"/>
      <c r="M371" s="2830"/>
      <c r="N371" s="2830"/>
      <c r="O371" s="2830"/>
      <c r="P371" s="2830"/>
      <c r="Q371" s="2830"/>
      <c r="R371" s="2830"/>
      <c r="S371" s="2830"/>
      <c r="T371" s="2830"/>
      <c r="U371" s="2830"/>
      <c r="V371" s="2830"/>
      <c r="W371" s="2830"/>
      <c r="X371" s="2830"/>
      <c r="Y371" s="2830"/>
      <c r="Z371" s="2830"/>
      <c r="AA371" s="2830"/>
      <c r="AB371" s="2830"/>
      <c r="AC371" s="2830"/>
      <c r="AD371" s="2830"/>
      <c r="AE371" s="2830"/>
      <c r="AF371" s="2830"/>
      <c r="AG371" s="2830"/>
      <c r="AH371" s="2831"/>
      <c r="AI371" s="2830"/>
      <c r="AJ371" s="2830"/>
      <c r="AK371" s="2830"/>
      <c r="AL371" s="2830"/>
      <c r="AM371" s="2830"/>
      <c r="AN371" s="2830"/>
      <c r="AO371" s="2830"/>
      <c r="AP371" s="2830"/>
      <c r="AQ371" s="2830"/>
      <c r="AR371" s="2820"/>
      <c r="AS371" s="2820"/>
      <c r="AT371" s="2820"/>
      <c r="AU371" s="2820"/>
      <c r="AV371" s="2766"/>
      <c r="AY371" s="2766"/>
    </row>
    <row r="372" spans="1:51">
      <c r="A372" s="2766"/>
      <c r="E372" s="2766"/>
      <c r="F372" s="2766"/>
      <c r="G372" s="2766"/>
      <c r="H372" s="2766"/>
      <c r="I372" s="2766"/>
      <c r="J372" s="2766"/>
      <c r="K372" s="2820"/>
      <c r="L372" s="2820"/>
      <c r="M372" s="2830"/>
      <c r="N372" s="2830"/>
      <c r="O372" s="2830"/>
      <c r="P372" s="2830"/>
      <c r="Q372" s="2830"/>
      <c r="R372" s="2830"/>
      <c r="S372" s="2830"/>
      <c r="T372" s="2830"/>
      <c r="U372" s="2830"/>
      <c r="V372" s="2830"/>
      <c r="W372" s="2830"/>
      <c r="X372" s="2830"/>
      <c r="Y372" s="2830"/>
      <c r="Z372" s="2830"/>
      <c r="AA372" s="2830"/>
      <c r="AB372" s="2830"/>
      <c r="AC372" s="2830"/>
      <c r="AD372" s="2830"/>
      <c r="AE372" s="2830"/>
      <c r="AF372" s="2830"/>
      <c r="AG372" s="2830"/>
      <c r="AH372" s="2831"/>
      <c r="AI372" s="2830"/>
      <c r="AJ372" s="2830"/>
      <c r="AK372" s="2830"/>
      <c r="AL372" s="2830"/>
      <c r="AM372" s="2830"/>
      <c r="AN372" s="2830"/>
      <c r="AO372" s="2830"/>
      <c r="AP372" s="2830"/>
      <c r="AQ372" s="2830"/>
      <c r="AR372" s="2820"/>
      <c r="AS372" s="2820"/>
      <c r="AT372" s="2820"/>
      <c r="AU372" s="2820"/>
      <c r="AV372" s="2766"/>
      <c r="AY372" s="2766"/>
    </row>
    <row r="373" spans="1:51">
      <c r="A373" s="2766"/>
      <c r="E373" s="2766"/>
      <c r="F373" s="2766"/>
      <c r="G373" s="2766"/>
      <c r="H373" s="2766"/>
      <c r="I373" s="2766"/>
      <c r="J373" s="2766"/>
      <c r="K373" s="2820"/>
      <c r="L373" s="2820"/>
      <c r="M373" s="2830"/>
      <c r="N373" s="2830"/>
      <c r="O373" s="2830"/>
      <c r="P373" s="2830"/>
      <c r="Q373" s="2830"/>
      <c r="R373" s="2830"/>
      <c r="S373" s="2830"/>
      <c r="T373" s="2830"/>
      <c r="U373" s="2830"/>
      <c r="V373" s="2830"/>
      <c r="W373" s="2830"/>
      <c r="X373" s="2830"/>
      <c r="Y373" s="2830"/>
      <c r="Z373" s="2830"/>
      <c r="AA373" s="2830"/>
      <c r="AB373" s="2830"/>
      <c r="AC373" s="2830"/>
      <c r="AD373" s="2830"/>
      <c r="AE373" s="2830"/>
      <c r="AF373" s="2830"/>
      <c r="AG373" s="2830"/>
      <c r="AH373" s="2831"/>
      <c r="AI373" s="2830"/>
      <c r="AJ373" s="2830"/>
      <c r="AK373" s="2830"/>
      <c r="AL373" s="2830"/>
      <c r="AM373" s="2830"/>
      <c r="AN373" s="2830"/>
      <c r="AO373" s="2830"/>
      <c r="AP373" s="2830"/>
      <c r="AQ373" s="2830"/>
      <c r="AR373" s="2820"/>
      <c r="AS373" s="2820"/>
      <c r="AT373" s="2820"/>
      <c r="AU373" s="2820"/>
      <c r="AV373" s="2766"/>
      <c r="AY373" s="2766"/>
    </row>
    <row r="374" spans="1:51">
      <c r="A374" s="2766"/>
      <c r="E374" s="2766"/>
      <c r="F374" s="2766"/>
      <c r="G374" s="2766"/>
      <c r="H374" s="2766"/>
      <c r="I374" s="2766"/>
      <c r="J374" s="2766"/>
      <c r="K374" s="2820"/>
      <c r="L374" s="2820"/>
      <c r="M374" s="2830"/>
      <c r="N374" s="2830"/>
      <c r="O374" s="2830"/>
      <c r="P374" s="2830"/>
      <c r="Q374" s="2830"/>
      <c r="R374" s="2830"/>
      <c r="S374" s="2830"/>
      <c r="T374" s="2830"/>
      <c r="U374" s="2830"/>
      <c r="V374" s="2830"/>
      <c r="W374" s="2830"/>
      <c r="X374" s="2830"/>
      <c r="Y374" s="2830"/>
      <c r="Z374" s="2830"/>
      <c r="AA374" s="2830"/>
      <c r="AB374" s="2830"/>
      <c r="AC374" s="2830"/>
      <c r="AD374" s="2830"/>
      <c r="AE374" s="2830"/>
      <c r="AF374" s="2830"/>
      <c r="AG374" s="2830"/>
      <c r="AH374" s="2831"/>
      <c r="AI374" s="2830"/>
      <c r="AJ374" s="2830"/>
      <c r="AK374" s="2830"/>
      <c r="AL374" s="2830"/>
      <c r="AM374" s="2830"/>
      <c r="AN374" s="2830"/>
      <c r="AO374" s="2830"/>
      <c r="AP374" s="2830"/>
      <c r="AQ374" s="2830"/>
      <c r="AR374" s="2820"/>
      <c r="AS374" s="2820"/>
      <c r="AT374" s="2820"/>
      <c r="AU374" s="2820"/>
      <c r="AV374" s="2766"/>
      <c r="AY374" s="2766"/>
    </row>
    <row r="375" spans="1:51">
      <c r="A375" s="2766"/>
      <c r="E375" s="2766"/>
      <c r="F375" s="2766"/>
      <c r="G375" s="2766"/>
      <c r="H375" s="2766"/>
      <c r="I375" s="2766"/>
      <c r="J375" s="2766"/>
      <c r="K375" s="2820"/>
      <c r="L375" s="2820"/>
      <c r="M375" s="2830"/>
      <c r="N375" s="2830"/>
      <c r="O375" s="2830"/>
      <c r="P375" s="2830"/>
      <c r="Q375" s="2830"/>
      <c r="R375" s="2830"/>
      <c r="S375" s="2830"/>
      <c r="T375" s="2830"/>
      <c r="U375" s="2830"/>
      <c r="V375" s="2830"/>
      <c r="W375" s="2830"/>
      <c r="X375" s="2830"/>
      <c r="Y375" s="2830"/>
      <c r="Z375" s="2830"/>
      <c r="AA375" s="2830"/>
      <c r="AB375" s="2830"/>
      <c r="AC375" s="2830"/>
      <c r="AD375" s="2830"/>
      <c r="AE375" s="2830"/>
      <c r="AF375" s="2830"/>
      <c r="AG375" s="2830"/>
      <c r="AH375" s="2831"/>
      <c r="AI375" s="2830"/>
      <c r="AJ375" s="2830"/>
      <c r="AK375" s="2830"/>
      <c r="AL375" s="2830"/>
      <c r="AM375" s="2830"/>
      <c r="AN375" s="2830"/>
      <c r="AO375" s="2830"/>
      <c r="AP375" s="2830"/>
      <c r="AQ375" s="2830"/>
      <c r="AR375" s="2820"/>
      <c r="AS375" s="2820"/>
      <c r="AT375" s="2820"/>
      <c r="AU375" s="2820"/>
      <c r="AV375" s="2766"/>
      <c r="AY375" s="2766"/>
    </row>
    <row r="376" spans="1:51">
      <c r="A376" s="2766"/>
      <c r="E376" s="2766"/>
      <c r="F376" s="2766"/>
      <c r="G376" s="2766"/>
      <c r="H376" s="2766"/>
      <c r="I376" s="2766"/>
      <c r="J376" s="2766"/>
      <c r="K376" s="2820"/>
      <c r="L376" s="2820"/>
      <c r="M376" s="2830"/>
      <c r="N376" s="2830"/>
      <c r="O376" s="2830"/>
      <c r="P376" s="2830"/>
      <c r="Q376" s="2830"/>
      <c r="R376" s="2830"/>
      <c r="S376" s="2830"/>
      <c r="T376" s="2830"/>
      <c r="U376" s="2830"/>
      <c r="V376" s="2830"/>
      <c r="W376" s="2830"/>
      <c r="X376" s="2830"/>
      <c r="Y376" s="2830"/>
      <c r="Z376" s="2830"/>
      <c r="AA376" s="2830"/>
      <c r="AB376" s="2830"/>
      <c r="AC376" s="2830"/>
      <c r="AD376" s="2830"/>
      <c r="AE376" s="2830"/>
      <c r="AF376" s="2830"/>
      <c r="AG376" s="2830"/>
      <c r="AH376" s="2831"/>
      <c r="AI376" s="2830"/>
      <c r="AJ376" s="2830"/>
      <c r="AK376" s="2830"/>
      <c r="AL376" s="2830"/>
      <c r="AM376" s="2830"/>
      <c r="AN376" s="2830"/>
      <c r="AO376" s="2830"/>
      <c r="AP376" s="2830"/>
      <c r="AQ376" s="2830"/>
      <c r="AR376" s="2820"/>
      <c r="AS376" s="2820"/>
      <c r="AT376" s="2820"/>
      <c r="AU376" s="2820"/>
      <c r="AV376" s="2766"/>
      <c r="AY376" s="2766"/>
    </row>
    <row r="377" spans="1:51">
      <c r="A377" s="2766"/>
      <c r="E377" s="2766"/>
      <c r="F377" s="2766"/>
      <c r="G377" s="2766"/>
      <c r="H377" s="2766"/>
      <c r="I377" s="2766"/>
      <c r="J377" s="2766"/>
      <c r="K377" s="2820"/>
      <c r="L377" s="2820"/>
      <c r="M377" s="2830"/>
      <c r="N377" s="2830"/>
      <c r="O377" s="2830"/>
      <c r="P377" s="2830"/>
      <c r="Q377" s="2830"/>
      <c r="R377" s="2830"/>
      <c r="S377" s="2830"/>
      <c r="T377" s="2830"/>
      <c r="U377" s="2830"/>
      <c r="V377" s="2830"/>
      <c r="W377" s="2830"/>
      <c r="X377" s="2830"/>
      <c r="Y377" s="2830"/>
      <c r="Z377" s="2830"/>
      <c r="AA377" s="2830"/>
      <c r="AB377" s="2830"/>
      <c r="AC377" s="2830"/>
      <c r="AD377" s="2830"/>
      <c r="AE377" s="2830"/>
      <c r="AF377" s="2830"/>
      <c r="AG377" s="2830"/>
      <c r="AH377" s="2831"/>
      <c r="AI377" s="2830"/>
      <c r="AJ377" s="2830"/>
      <c r="AK377" s="2830"/>
      <c r="AL377" s="2830"/>
      <c r="AM377" s="2830"/>
      <c r="AN377" s="2830"/>
      <c r="AO377" s="2830"/>
      <c r="AP377" s="2830"/>
      <c r="AQ377" s="2830"/>
      <c r="AR377" s="2820"/>
      <c r="AS377" s="2820"/>
      <c r="AT377" s="2820"/>
      <c r="AU377" s="2820"/>
      <c r="AV377" s="2766"/>
      <c r="AY377" s="2766"/>
    </row>
    <row r="378" spans="1:51">
      <c r="A378" s="2766"/>
      <c r="E378" s="2766"/>
      <c r="F378" s="2766"/>
      <c r="G378" s="2766"/>
      <c r="H378" s="2766"/>
      <c r="I378" s="2766"/>
      <c r="J378" s="2766"/>
      <c r="K378" s="2820"/>
      <c r="L378" s="2820"/>
      <c r="M378" s="2830"/>
      <c r="N378" s="2830"/>
      <c r="O378" s="2830"/>
      <c r="P378" s="2830"/>
      <c r="Q378" s="2830"/>
      <c r="R378" s="2830"/>
      <c r="S378" s="2830"/>
      <c r="T378" s="2830"/>
      <c r="U378" s="2830"/>
      <c r="V378" s="2830"/>
      <c r="W378" s="2830"/>
      <c r="X378" s="2830"/>
      <c r="Y378" s="2830"/>
      <c r="Z378" s="2830"/>
      <c r="AA378" s="2830"/>
      <c r="AB378" s="2830"/>
      <c r="AC378" s="2830"/>
      <c r="AD378" s="2830"/>
      <c r="AE378" s="2830"/>
      <c r="AF378" s="2830"/>
      <c r="AG378" s="2830"/>
      <c r="AH378" s="2831"/>
      <c r="AI378" s="2830"/>
      <c r="AJ378" s="2830"/>
      <c r="AK378" s="2830"/>
      <c r="AL378" s="2830"/>
      <c r="AM378" s="2830"/>
      <c r="AN378" s="2830"/>
      <c r="AO378" s="2830"/>
      <c r="AP378" s="2830"/>
      <c r="AQ378" s="2830"/>
      <c r="AR378" s="2820"/>
      <c r="AS378" s="2820"/>
      <c r="AT378" s="2820"/>
      <c r="AU378" s="2820"/>
      <c r="AV378" s="2766"/>
      <c r="AY378" s="2766"/>
    </row>
    <row r="379" spans="1:51">
      <c r="A379" s="2766"/>
      <c r="E379" s="2766"/>
      <c r="F379" s="2766"/>
      <c r="G379" s="2766"/>
      <c r="H379" s="2766"/>
      <c r="I379" s="2766"/>
      <c r="J379" s="2766"/>
      <c r="K379" s="2820"/>
      <c r="L379" s="2820"/>
      <c r="M379" s="2830"/>
      <c r="N379" s="2830"/>
      <c r="O379" s="2830"/>
      <c r="P379" s="2830"/>
      <c r="Q379" s="2830"/>
      <c r="R379" s="2830"/>
      <c r="S379" s="2830"/>
      <c r="T379" s="2830"/>
      <c r="U379" s="2830"/>
      <c r="V379" s="2830"/>
      <c r="W379" s="2830"/>
      <c r="X379" s="2830"/>
      <c r="Y379" s="2830"/>
      <c r="Z379" s="2830"/>
      <c r="AA379" s="2830"/>
      <c r="AB379" s="2830"/>
      <c r="AC379" s="2830"/>
      <c r="AD379" s="2830"/>
      <c r="AE379" s="2830"/>
      <c r="AF379" s="2830"/>
      <c r="AG379" s="2830"/>
      <c r="AH379" s="2831"/>
      <c r="AI379" s="2830"/>
      <c r="AJ379" s="2830"/>
      <c r="AK379" s="2830"/>
      <c r="AL379" s="2830"/>
      <c r="AM379" s="2830"/>
      <c r="AN379" s="2830"/>
      <c r="AO379" s="2830"/>
      <c r="AP379" s="2830"/>
      <c r="AQ379" s="2830"/>
      <c r="AR379" s="2820"/>
      <c r="AS379" s="2820"/>
      <c r="AT379" s="2820"/>
      <c r="AU379" s="2820"/>
      <c r="AV379" s="2766"/>
      <c r="AY379" s="2766"/>
    </row>
    <row r="380" spans="1:51">
      <c r="A380" s="2766"/>
      <c r="E380" s="2766"/>
      <c r="F380" s="2766"/>
      <c r="G380" s="2766"/>
      <c r="H380" s="2766"/>
      <c r="I380" s="2766"/>
      <c r="J380" s="2766"/>
      <c r="K380" s="2820"/>
      <c r="L380" s="2820"/>
      <c r="M380" s="2830"/>
      <c r="N380" s="2830"/>
      <c r="O380" s="2830"/>
      <c r="P380" s="2830"/>
      <c r="Q380" s="2830"/>
      <c r="R380" s="2830"/>
      <c r="S380" s="2830"/>
      <c r="T380" s="2830"/>
      <c r="U380" s="2830"/>
      <c r="V380" s="2830"/>
      <c r="W380" s="2830"/>
      <c r="X380" s="2830"/>
      <c r="Y380" s="2830"/>
      <c r="Z380" s="2830"/>
      <c r="AA380" s="2830"/>
      <c r="AB380" s="2830"/>
      <c r="AC380" s="2830"/>
      <c r="AD380" s="2830"/>
      <c r="AE380" s="2830"/>
      <c r="AF380" s="2830"/>
      <c r="AG380" s="2830"/>
      <c r="AH380" s="2831"/>
      <c r="AI380" s="2830"/>
      <c r="AJ380" s="2830"/>
      <c r="AK380" s="2830"/>
      <c r="AL380" s="2830"/>
      <c r="AM380" s="2830"/>
      <c r="AN380" s="2830"/>
      <c r="AO380" s="2830"/>
      <c r="AP380" s="2830"/>
      <c r="AQ380" s="2830"/>
      <c r="AR380" s="2820"/>
      <c r="AS380" s="2820"/>
      <c r="AT380" s="2820"/>
      <c r="AU380" s="2820"/>
      <c r="AV380" s="2766"/>
      <c r="AY380" s="2766"/>
    </row>
    <row r="381" spans="1:51">
      <c r="A381" s="2766"/>
      <c r="E381" s="2766"/>
      <c r="F381" s="2766"/>
      <c r="G381" s="2766"/>
      <c r="H381" s="2766"/>
      <c r="I381" s="2766"/>
      <c r="J381" s="2766"/>
      <c r="K381" s="2820"/>
      <c r="L381" s="2820"/>
      <c r="M381" s="2830"/>
      <c r="N381" s="2830"/>
      <c r="O381" s="2830"/>
      <c r="P381" s="2830"/>
      <c r="Q381" s="2830"/>
      <c r="R381" s="2830"/>
      <c r="S381" s="2830"/>
      <c r="T381" s="2830"/>
      <c r="U381" s="2830"/>
      <c r="V381" s="2830"/>
      <c r="W381" s="2830"/>
      <c r="X381" s="2830"/>
      <c r="Y381" s="2830"/>
      <c r="Z381" s="2830"/>
      <c r="AA381" s="2830"/>
      <c r="AB381" s="2830"/>
      <c r="AC381" s="2830"/>
      <c r="AD381" s="2830"/>
      <c r="AE381" s="2830"/>
      <c r="AF381" s="2830"/>
      <c r="AG381" s="2830"/>
      <c r="AH381" s="2831"/>
      <c r="AI381" s="2830"/>
      <c r="AJ381" s="2830"/>
      <c r="AK381" s="2830"/>
      <c r="AL381" s="2830"/>
      <c r="AM381" s="2830"/>
      <c r="AN381" s="2830"/>
      <c r="AO381" s="2830"/>
      <c r="AP381" s="2830"/>
      <c r="AQ381" s="2830"/>
      <c r="AR381" s="2820"/>
      <c r="AS381" s="2820"/>
      <c r="AT381" s="2820"/>
      <c r="AU381" s="2820"/>
      <c r="AV381" s="2766"/>
      <c r="AY381" s="2766"/>
    </row>
    <row r="382" spans="1:51">
      <c r="A382" s="2766"/>
      <c r="E382" s="2766"/>
      <c r="F382" s="2766"/>
      <c r="G382" s="2766"/>
      <c r="H382" s="2766"/>
      <c r="I382" s="2766"/>
      <c r="J382" s="2766"/>
      <c r="K382" s="2820"/>
      <c r="L382" s="2820"/>
      <c r="M382" s="2830"/>
      <c r="N382" s="2830"/>
      <c r="O382" s="2830"/>
      <c r="P382" s="2830"/>
      <c r="Q382" s="2830"/>
      <c r="R382" s="2830"/>
      <c r="S382" s="2830"/>
      <c r="T382" s="2830"/>
      <c r="U382" s="2830"/>
      <c r="V382" s="2830"/>
      <c r="W382" s="2830"/>
      <c r="X382" s="2830"/>
      <c r="Y382" s="2830"/>
      <c r="Z382" s="2830"/>
      <c r="AA382" s="2830"/>
      <c r="AB382" s="2830"/>
      <c r="AC382" s="2830"/>
      <c r="AD382" s="2830"/>
      <c r="AE382" s="2830"/>
      <c r="AF382" s="2830"/>
      <c r="AG382" s="2830"/>
      <c r="AH382" s="2831"/>
      <c r="AI382" s="2830"/>
      <c r="AJ382" s="2830"/>
      <c r="AK382" s="2830"/>
      <c r="AL382" s="2830"/>
      <c r="AM382" s="2830"/>
      <c r="AN382" s="2830"/>
      <c r="AO382" s="2830"/>
      <c r="AP382" s="2830"/>
      <c r="AQ382" s="2830"/>
      <c r="AR382" s="2820"/>
      <c r="AS382" s="2820"/>
      <c r="AT382" s="2820"/>
      <c r="AU382" s="2820"/>
      <c r="AV382" s="2766"/>
      <c r="AY382" s="2766"/>
    </row>
    <row r="383" spans="1:51">
      <c r="A383" s="2766"/>
      <c r="E383" s="2766"/>
      <c r="F383" s="2766"/>
      <c r="G383" s="2766"/>
      <c r="H383" s="2766"/>
      <c r="I383" s="2766"/>
      <c r="J383" s="2766"/>
      <c r="K383" s="2820"/>
      <c r="L383" s="2820"/>
      <c r="M383" s="2830"/>
      <c r="N383" s="2830"/>
      <c r="O383" s="2830"/>
      <c r="P383" s="2830"/>
      <c r="Q383" s="2830"/>
      <c r="R383" s="2830"/>
      <c r="S383" s="2830"/>
      <c r="T383" s="2830"/>
      <c r="U383" s="2830"/>
      <c r="V383" s="2830"/>
      <c r="W383" s="2830"/>
      <c r="X383" s="2830"/>
      <c r="Y383" s="2830"/>
      <c r="Z383" s="2830"/>
      <c r="AA383" s="2830"/>
      <c r="AB383" s="2830"/>
      <c r="AC383" s="2830"/>
      <c r="AD383" s="2830"/>
      <c r="AE383" s="2830"/>
      <c r="AF383" s="2830"/>
      <c r="AG383" s="2830"/>
      <c r="AH383" s="2831"/>
      <c r="AI383" s="2830"/>
      <c r="AJ383" s="2830"/>
      <c r="AK383" s="2830"/>
      <c r="AL383" s="2830"/>
      <c r="AM383" s="2830"/>
      <c r="AN383" s="2830"/>
      <c r="AO383" s="2830"/>
      <c r="AP383" s="2830"/>
      <c r="AQ383" s="2830"/>
      <c r="AR383" s="2820"/>
      <c r="AS383" s="2820"/>
      <c r="AT383" s="2820"/>
      <c r="AU383" s="2820"/>
      <c r="AV383" s="2766"/>
      <c r="AY383" s="2766"/>
    </row>
    <row r="384" spans="1:51">
      <c r="A384" s="2766"/>
      <c r="E384" s="2766"/>
      <c r="F384" s="2766"/>
      <c r="G384" s="2766"/>
      <c r="H384" s="2766"/>
      <c r="I384" s="2766"/>
      <c r="J384" s="2766"/>
      <c r="K384" s="2820"/>
      <c r="L384" s="2820"/>
      <c r="M384" s="2830"/>
      <c r="N384" s="2830"/>
      <c r="O384" s="2830"/>
      <c r="P384" s="2830"/>
      <c r="Q384" s="2830"/>
      <c r="R384" s="2830"/>
      <c r="S384" s="2830"/>
      <c r="T384" s="2830"/>
      <c r="U384" s="2830"/>
      <c r="V384" s="2830"/>
      <c r="W384" s="2830"/>
      <c r="X384" s="2830"/>
      <c r="Y384" s="2830"/>
      <c r="Z384" s="2830"/>
      <c r="AA384" s="2830"/>
      <c r="AB384" s="2830"/>
      <c r="AC384" s="2830"/>
      <c r="AD384" s="2830"/>
      <c r="AE384" s="2830"/>
      <c r="AF384" s="2830"/>
      <c r="AG384" s="2830"/>
      <c r="AH384" s="2831"/>
      <c r="AI384" s="2830"/>
      <c r="AJ384" s="2830"/>
      <c r="AK384" s="2830"/>
      <c r="AL384" s="2830"/>
      <c r="AM384" s="2830"/>
      <c r="AN384" s="2830"/>
      <c r="AO384" s="2830"/>
      <c r="AP384" s="2830"/>
      <c r="AQ384" s="2830"/>
      <c r="AR384" s="2820"/>
      <c r="AS384" s="2820"/>
      <c r="AT384" s="2820"/>
      <c r="AU384" s="2820"/>
      <c r="AV384" s="2766"/>
      <c r="AY384" s="2766"/>
    </row>
    <row r="385" spans="1:51">
      <c r="A385" s="2766"/>
      <c r="E385" s="2766"/>
      <c r="F385" s="2766"/>
      <c r="G385" s="2766"/>
      <c r="H385" s="2766"/>
      <c r="I385" s="2766"/>
      <c r="J385" s="2766"/>
      <c r="K385" s="2820"/>
      <c r="L385" s="2820"/>
      <c r="M385" s="2830"/>
      <c r="N385" s="2830"/>
      <c r="O385" s="2830"/>
      <c r="P385" s="2830"/>
      <c r="Q385" s="2830"/>
      <c r="R385" s="2830"/>
      <c r="S385" s="2830"/>
      <c r="T385" s="2830"/>
      <c r="U385" s="2830"/>
      <c r="V385" s="2830"/>
      <c r="W385" s="2830"/>
      <c r="X385" s="2830"/>
      <c r="Y385" s="2830"/>
      <c r="Z385" s="2830"/>
      <c r="AA385" s="2830"/>
      <c r="AB385" s="2830"/>
      <c r="AC385" s="2830"/>
      <c r="AD385" s="2830"/>
      <c r="AE385" s="2830"/>
      <c r="AF385" s="2830"/>
      <c r="AG385" s="2830"/>
      <c r="AH385" s="2831"/>
      <c r="AI385" s="2830"/>
      <c r="AJ385" s="2830"/>
      <c r="AK385" s="2830"/>
      <c r="AL385" s="2830"/>
      <c r="AM385" s="2830"/>
      <c r="AN385" s="2830"/>
      <c r="AO385" s="2830"/>
      <c r="AP385" s="2830"/>
      <c r="AQ385" s="2830"/>
      <c r="AR385" s="2820"/>
      <c r="AS385" s="2820"/>
      <c r="AT385" s="2820"/>
      <c r="AU385" s="2820"/>
      <c r="AV385" s="2766"/>
      <c r="AY385" s="2766"/>
    </row>
    <row r="386" spans="1:51">
      <c r="A386" s="2766"/>
      <c r="E386" s="2766"/>
      <c r="F386" s="2766"/>
      <c r="G386" s="2766"/>
      <c r="H386" s="2766"/>
      <c r="I386" s="2766"/>
      <c r="J386" s="2766"/>
      <c r="K386" s="2820"/>
      <c r="L386" s="2820"/>
      <c r="M386" s="2830"/>
      <c r="N386" s="2830"/>
      <c r="O386" s="2830"/>
      <c r="P386" s="2830"/>
      <c r="Q386" s="2830"/>
      <c r="R386" s="2830"/>
      <c r="S386" s="2830"/>
      <c r="T386" s="2830"/>
      <c r="U386" s="2830"/>
      <c r="V386" s="2830"/>
      <c r="W386" s="2830"/>
      <c r="X386" s="2830"/>
      <c r="Y386" s="2830"/>
      <c r="Z386" s="2830"/>
      <c r="AA386" s="2830"/>
      <c r="AB386" s="2830"/>
      <c r="AC386" s="2830"/>
      <c r="AD386" s="2830"/>
      <c r="AE386" s="2830"/>
      <c r="AF386" s="2830"/>
      <c r="AG386" s="2830"/>
      <c r="AH386" s="2831"/>
      <c r="AI386" s="2830"/>
      <c r="AJ386" s="2830"/>
      <c r="AK386" s="2830"/>
      <c r="AL386" s="2830"/>
      <c r="AM386" s="2830"/>
      <c r="AN386" s="2830"/>
      <c r="AO386" s="2830"/>
      <c r="AP386" s="2830"/>
      <c r="AQ386" s="2830"/>
      <c r="AR386" s="2820"/>
      <c r="AS386" s="2820"/>
      <c r="AT386" s="2820"/>
      <c r="AU386" s="2820"/>
      <c r="AV386" s="2766"/>
      <c r="AY386" s="2766"/>
    </row>
    <row r="387" spans="1:51">
      <c r="A387" s="2766"/>
      <c r="E387" s="2766"/>
      <c r="F387" s="2766"/>
      <c r="G387" s="2766"/>
      <c r="H387" s="2766"/>
      <c r="I387" s="2766"/>
      <c r="J387" s="2766"/>
      <c r="K387" s="2820"/>
      <c r="L387" s="2820"/>
      <c r="M387" s="2830"/>
      <c r="N387" s="2830"/>
      <c r="O387" s="2830"/>
      <c r="P387" s="2830"/>
      <c r="Q387" s="2830"/>
      <c r="R387" s="2830"/>
      <c r="S387" s="2830"/>
      <c r="T387" s="2830"/>
      <c r="U387" s="2830"/>
      <c r="V387" s="2830"/>
      <c r="W387" s="2830"/>
      <c r="X387" s="2830"/>
      <c r="Y387" s="2830"/>
      <c r="Z387" s="2830"/>
      <c r="AA387" s="2830"/>
      <c r="AB387" s="2830"/>
      <c r="AC387" s="2830"/>
      <c r="AD387" s="2830"/>
      <c r="AE387" s="2830"/>
      <c r="AF387" s="2830"/>
      <c r="AG387" s="2830"/>
      <c r="AH387" s="2831"/>
      <c r="AI387" s="2830"/>
      <c r="AJ387" s="2830"/>
      <c r="AK387" s="2830"/>
      <c r="AL387" s="2830"/>
      <c r="AM387" s="2830"/>
      <c r="AN387" s="2830"/>
      <c r="AO387" s="2830"/>
      <c r="AP387" s="2830"/>
      <c r="AQ387" s="2830"/>
      <c r="AR387" s="2820"/>
      <c r="AS387" s="2820"/>
      <c r="AT387" s="2820"/>
      <c r="AU387" s="2820"/>
      <c r="AV387" s="2766"/>
      <c r="AY387" s="2766"/>
    </row>
    <row r="388" spans="1:51">
      <c r="A388" s="2766"/>
      <c r="E388" s="2766"/>
      <c r="F388" s="2766"/>
      <c r="G388" s="2766"/>
      <c r="H388" s="2766"/>
      <c r="I388" s="2766"/>
      <c r="J388" s="2766"/>
      <c r="K388" s="2820"/>
      <c r="L388" s="2820"/>
      <c r="M388" s="2830"/>
      <c r="N388" s="2830"/>
      <c r="O388" s="2830"/>
      <c r="P388" s="2830"/>
      <c r="Q388" s="2830"/>
      <c r="R388" s="2830"/>
      <c r="S388" s="2830"/>
      <c r="T388" s="2830"/>
      <c r="U388" s="2830"/>
      <c r="V388" s="2830"/>
      <c r="W388" s="2830"/>
      <c r="X388" s="2830"/>
      <c r="Y388" s="2830"/>
      <c r="Z388" s="2830"/>
      <c r="AA388" s="2830"/>
      <c r="AB388" s="2830"/>
      <c r="AC388" s="2830"/>
      <c r="AD388" s="2830"/>
      <c r="AE388" s="2830"/>
      <c r="AF388" s="2830"/>
      <c r="AG388" s="2830"/>
      <c r="AH388" s="2831"/>
      <c r="AI388" s="2830"/>
      <c r="AJ388" s="2830"/>
      <c r="AK388" s="2830"/>
      <c r="AL388" s="2830"/>
      <c r="AM388" s="2830"/>
      <c r="AN388" s="2830"/>
      <c r="AO388" s="2830"/>
      <c r="AP388" s="2830"/>
      <c r="AQ388" s="2830"/>
      <c r="AR388" s="2820"/>
      <c r="AS388" s="2820"/>
      <c r="AT388" s="2820"/>
      <c r="AU388" s="2820"/>
      <c r="AV388" s="2766"/>
      <c r="AY388" s="2766"/>
    </row>
    <row r="389" spans="1:51">
      <c r="A389" s="2766"/>
      <c r="E389" s="2766"/>
      <c r="F389" s="2766"/>
      <c r="G389" s="2766"/>
      <c r="H389" s="2766"/>
      <c r="I389" s="2766"/>
      <c r="J389" s="2766"/>
      <c r="K389" s="2820"/>
      <c r="L389" s="2820"/>
      <c r="M389" s="2830"/>
      <c r="N389" s="2830"/>
      <c r="O389" s="2830"/>
      <c r="P389" s="2830"/>
      <c r="Q389" s="2830"/>
      <c r="R389" s="2830"/>
      <c r="S389" s="2830"/>
      <c r="T389" s="2830"/>
      <c r="U389" s="2830"/>
      <c r="V389" s="2830"/>
      <c r="W389" s="2830"/>
      <c r="X389" s="2830"/>
      <c r="Y389" s="2830"/>
      <c r="Z389" s="2830"/>
      <c r="AA389" s="2830"/>
      <c r="AB389" s="2830"/>
      <c r="AC389" s="2830"/>
      <c r="AD389" s="2830"/>
      <c r="AE389" s="2830"/>
      <c r="AF389" s="2830"/>
      <c r="AG389" s="2830"/>
      <c r="AH389" s="2831"/>
      <c r="AI389" s="2830"/>
      <c r="AJ389" s="2830"/>
      <c r="AK389" s="2830"/>
      <c r="AL389" s="2830"/>
      <c r="AM389" s="2830"/>
      <c r="AN389" s="2830"/>
      <c r="AO389" s="2830"/>
      <c r="AP389" s="2830"/>
      <c r="AQ389" s="2830"/>
      <c r="AR389" s="2820"/>
      <c r="AS389" s="2820"/>
      <c r="AT389" s="2820"/>
      <c r="AU389" s="2820"/>
      <c r="AV389" s="2766"/>
      <c r="AY389" s="2766"/>
    </row>
    <row r="390" spans="1:51">
      <c r="A390" s="2766"/>
      <c r="E390" s="2766"/>
      <c r="F390" s="2766"/>
      <c r="G390" s="2766"/>
      <c r="H390" s="2766"/>
      <c r="I390" s="2766"/>
      <c r="J390" s="2766"/>
      <c r="K390" s="2820"/>
      <c r="L390" s="2820"/>
      <c r="M390" s="2830"/>
      <c r="N390" s="2830"/>
      <c r="O390" s="2830"/>
      <c r="P390" s="2830"/>
      <c r="Q390" s="2830"/>
      <c r="R390" s="2830"/>
      <c r="S390" s="2830"/>
      <c r="T390" s="2830"/>
      <c r="U390" s="2830"/>
      <c r="V390" s="2830"/>
      <c r="W390" s="2830"/>
      <c r="X390" s="2830"/>
      <c r="Y390" s="2830"/>
      <c r="Z390" s="2830"/>
      <c r="AA390" s="2830"/>
      <c r="AB390" s="2830"/>
      <c r="AC390" s="2830"/>
      <c r="AD390" s="2830"/>
      <c r="AE390" s="2830"/>
      <c r="AF390" s="2830"/>
      <c r="AG390" s="2830"/>
      <c r="AH390" s="2831"/>
      <c r="AI390" s="2830"/>
      <c r="AJ390" s="2830"/>
      <c r="AK390" s="2830"/>
      <c r="AL390" s="2830"/>
      <c r="AM390" s="2830"/>
      <c r="AN390" s="2830"/>
      <c r="AO390" s="2830"/>
      <c r="AP390" s="2830"/>
      <c r="AQ390" s="2830"/>
      <c r="AR390" s="2820"/>
      <c r="AS390" s="2820"/>
      <c r="AT390" s="2820"/>
      <c r="AU390" s="2820"/>
      <c r="AV390" s="2766"/>
      <c r="AY390" s="2766"/>
    </row>
    <row r="391" spans="1:51">
      <c r="A391" s="2766"/>
      <c r="E391" s="2766"/>
      <c r="F391" s="2766"/>
      <c r="G391" s="2766"/>
      <c r="H391" s="2766"/>
      <c r="I391" s="2766"/>
      <c r="J391" s="2766"/>
      <c r="K391" s="2820"/>
      <c r="L391" s="2820"/>
      <c r="M391" s="2830"/>
      <c r="N391" s="2830"/>
      <c r="O391" s="2830"/>
      <c r="P391" s="2830"/>
      <c r="Q391" s="2830"/>
      <c r="R391" s="2830"/>
      <c r="S391" s="2830"/>
      <c r="T391" s="2830"/>
      <c r="U391" s="2830"/>
      <c r="V391" s="2830"/>
      <c r="W391" s="2830"/>
      <c r="X391" s="2830"/>
      <c r="Y391" s="2830"/>
      <c r="Z391" s="2830"/>
      <c r="AA391" s="2830"/>
      <c r="AB391" s="2830"/>
      <c r="AC391" s="2830"/>
      <c r="AD391" s="2830"/>
      <c r="AE391" s="2830"/>
      <c r="AF391" s="2830"/>
      <c r="AG391" s="2830"/>
      <c r="AH391" s="2831"/>
      <c r="AI391" s="2830"/>
      <c r="AJ391" s="2830"/>
      <c r="AK391" s="2830"/>
      <c r="AL391" s="2830"/>
      <c r="AM391" s="2830"/>
      <c r="AN391" s="2830"/>
      <c r="AO391" s="2830"/>
      <c r="AP391" s="2830"/>
      <c r="AQ391" s="2830"/>
      <c r="AR391" s="2820"/>
      <c r="AS391" s="2820"/>
      <c r="AT391" s="2820"/>
      <c r="AU391" s="2820"/>
      <c r="AV391" s="2766"/>
      <c r="AY391" s="2766"/>
    </row>
    <row r="392" spans="1:51">
      <c r="A392" s="2766"/>
      <c r="E392" s="2766"/>
      <c r="F392" s="2766"/>
      <c r="G392" s="2766"/>
      <c r="H392" s="2766"/>
      <c r="I392" s="2766"/>
      <c r="J392" s="2766"/>
      <c r="K392" s="2820"/>
      <c r="L392" s="2820"/>
      <c r="M392" s="2830"/>
      <c r="N392" s="2830"/>
      <c r="O392" s="2830"/>
      <c r="P392" s="2830"/>
      <c r="Q392" s="2830"/>
      <c r="R392" s="2830"/>
      <c r="S392" s="2830"/>
      <c r="T392" s="2830"/>
      <c r="U392" s="2830"/>
      <c r="V392" s="2830"/>
      <c r="W392" s="2830"/>
      <c r="X392" s="2830"/>
      <c r="Y392" s="2830"/>
      <c r="Z392" s="2830"/>
      <c r="AA392" s="2830"/>
      <c r="AB392" s="2830"/>
      <c r="AC392" s="2830"/>
      <c r="AD392" s="2830"/>
      <c r="AE392" s="2830"/>
      <c r="AF392" s="2830"/>
      <c r="AG392" s="2830"/>
      <c r="AH392" s="2831"/>
      <c r="AI392" s="2830"/>
      <c r="AJ392" s="2830"/>
      <c r="AK392" s="2830"/>
      <c r="AL392" s="2830"/>
      <c r="AM392" s="2830"/>
      <c r="AN392" s="2830"/>
      <c r="AO392" s="2830"/>
      <c r="AP392" s="2830"/>
      <c r="AQ392" s="2830"/>
      <c r="AR392" s="2820"/>
      <c r="AS392" s="2820"/>
      <c r="AT392" s="2820"/>
      <c r="AU392" s="2820"/>
      <c r="AV392" s="2766"/>
      <c r="AY392" s="2766"/>
    </row>
    <row r="393" spans="1:51">
      <c r="A393" s="2766"/>
      <c r="E393" s="2766"/>
      <c r="F393" s="2766"/>
      <c r="G393" s="2766"/>
      <c r="H393" s="2766"/>
      <c r="I393" s="2766"/>
      <c r="J393" s="2766"/>
      <c r="K393" s="2820"/>
      <c r="L393" s="2820"/>
      <c r="M393" s="2830"/>
      <c r="N393" s="2830"/>
      <c r="O393" s="2830"/>
      <c r="P393" s="2830"/>
      <c r="Q393" s="2830"/>
      <c r="R393" s="2830"/>
      <c r="S393" s="2830"/>
      <c r="T393" s="2830"/>
      <c r="U393" s="2830"/>
      <c r="V393" s="2830"/>
      <c r="W393" s="2830"/>
      <c r="X393" s="2830"/>
      <c r="Y393" s="2830"/>
      <c r="Z393" s="2830"/>
      <c r="AA393" s="2830"/>
      <c r="AB393" s="2830"/>
      <c r="AC393" s="2830"/>
      <c r="AD393" s="2830"/>
      <c r="AE393" s="2830"/>
      <c r="AF393" s="2830"/>
      <c r="AG393" s="2830"/>
      <c r="AH393" s="2831"/>
      <c r="AI393" s="2830"/>
      <c r="AJ393" s="2830"/>
      <c r="AK393" s="2830"/>
      <c r="AL393" s="2830"/>
      <c r="AM393" s="2830"/>
      <c r="AN393" s="2830"/>
      <c r="AO393" s="2830"/>
      <c r="AP393" s="2830"/>
      <c r="AQ393" s="2830"/>
      <c r="AR393" s="2820"/>
      <c r="AS393" s="2820"/>
      <c r="AT393" s="2820"/>
      <c r="AU393" s="2820"/>
      <c r="AV393" s="2766"/>
      <c r="AY393" s="2766"/>
    </row>
    <row r="394" spans="1:51">
      <c r="A394" s="2766"/>
      <c r="E394" s="2766"/>
      <c r="F394" s="2766"/>
      <c r="G394" s="2766"/>
      <c r="H394" s="2766"/>
      <c r="I394" s="2766"/>
      <c r="J394" s="2766"/>
      <c r="K394" s="2820"/>
      <c r="L394" s="2820"/>
      <c r="M394" s="2830"/>
      <c r="N394" s="2830"/>
      <c r="O394" s="2830"/>
      <c r="P394" s="2830"/>
      <c r="Q394" s="2830"/>
      <c r="R394" s="2830"/>
      <c r="S394" s="2830"/>
      <c r="T394" s="2830"/>
      <c r="U394" s="2830"/>
      <c r="V394" s="2830"/>
      <c r="W394" s="2830"/>
      <c r="X394" s="2830"/>
      <c r="Y394" s="2830"/>
      <c r="Z394" s="2830"/>
      <c r="AA394" s="2830"/>
      <c r="AB394" s="2830"/>
      <c r="AC394" s="2830"/>
      <c r="AD394" s="2830"/>
      <c r="AE394" s="2830"/>
      <c r="AF394" s="2830"/>
      <c r="AG394" s="2830"/>
      <c r="AH394" s="2831"/>
      <c r="AI394" s="2830"/>
      <c r="AJ394" s="2830"/>
      <c r="AK394" s="2830"/>
      <c r="AL394" s="2830"/>
      <c r="AM394" s="2830"/>
      <c r="AN394" s="2830"/>
      <c r="AO394" s="2830"/>
      <c r="AP394" s="2830"/>
      <c r="AQ394" s="2830"/>
      <c r="AR394" s="2820"/>
      <c r="AS394" s="2820"/>
      <c r="AT394" s="2820"/>
      <c r="AU394" s="2820"/>
      <c r="AV394" s="2766"/>
      <c r="AY394" s="2766"/>
    </row>
    <row r="395" spans="1:51">
      <c r="A395" s="2766"/>
      <c r="E395" s="2766"/>
      <c r="F395" s="2766"/>
      <c r="G395" s="2766"/>
      <c r="H395" s="2766"/>
      <c r="I395" s="2766"/>
      <c r="J395" s="2766"/>
      <c r="K395" s="2820"/>
      <c r="L395" s="2820"/>
      <c r="M395" s="2830"/>
      <c r="N395" s="2830"/>
      <c r="O395" s="2830"/>
      <c r="P395" s="2830"/>
      <c r="Q395" s="2830"/>
      <c r="R395" s="2830"/>
      <c r="S395" s="2830"/>
      <c r="T395" s="2830"/>
      <c r="U395" s="2830"/>
      <c r="V395" s="2830"/>
      <c r="W395" s="2830"/>
      <c r="X395" s="2830"/>
      <c r="Y395" s="2830"/>
      <c r="Z395" s="2830"/>
      <c r="AA395" s="2830"/>
      <c r="AB395" s="2830"/>
      <c r="AC395" s="2830"/>
      <c r="AD395" s="2830"/>
      <c r="AE395" s="2830"/>
      <c r="AF395" s="2830"/>
      <c r="AG395" s="2830"/>
      <c r="AH395" s="2831"/>
      <c r="AI395" s="2830"/>
      <c r="AJ395" s="2830"/>
      <c r="AK395" s="2830"/>
      <c r="AL395" s="2830"/>
      <c r="AM395" s="2830"/>
      <c r="AN395" s="2830"/>
      <c r="AO395" s="2830"/>
      <c r="AP395" s="2830"/>
      <c r="AQ395" s="2830"/>
      <c r="AR395" s="2820"/>
      <c r="AS395" s="2820"/>
      <c r="AT395" s="2820"/>
      <c r="AU395" s="2820"/>
      <c r="AV395" s="2766"/>
      <c r="AY395" s="2766"/>
    </row>
    <row r="396" spans="1:51">
      <c r="A396" s="2766"/>
      <c r="E396" s="2766"/>
      <c r="F396" s="2766"/>
      <c r="G396" s="2766"/>
      <c r="H396" s="2766"/>
      <c r="I396" s="2766"/>
      <c r="J396" s="2766"/>
      <c r="K396" s="2820"/>
      <c r="L396" s="2820"/>
      <c r="M396" s="2830"/>
      <c r="N396" s="2830"/>
      <c r="O396" s="2830"/>
      <c r="P396" s="2830"/>
      <c r="Q396" s="2830"/>
      <c r="R396" s="2830"/>
      <c r="S396" s="2830"/>
      <c r="T396" s="2830"/>
      <c r="U396" s="2830"/>
      <c r="V396" s="2830"/>
      <c r="W396" s="2830"/>
      <c r="X396" s="2830"/>
      <c r="Y396" s="2830"/>
      <c r="Z396" s="2830"/>
      <c r="AA396" s="2830"/>
      <c r="AB396" s="2830"/>
      <c r="AC396" s="2830"/>
      <c r="AD396" s="2830"/>
      <c r="AE396" s="2830"/>
      <c r="AF396" s="2830"/>
      <c r="AG396" s="2830"/>
      <c r="AH396" s="2831"/>
      <c r="AI396" s="2830"/>
      <c r="AJ396" s="2830"/>
      <c r="AK396" s="2830"/>
      <c r="AL396" s="2830"/>
      <c r="AM396" s="2830"/>
      <c r="AN396" s="2830"/>
      <c r="AO396" s="2830"/>
      <c r="AP396" s="2830"/>
      <c r="AQ396" s="2830"/>
      <c r="AR396" s="2820"/>
      <c r="AS396" s="2820"/>
      <c r="AT396" s="2820"/>
      <c r="AU396" s="2820"/>
      <c r="AV396" s="2766"/>
      <c r="AY396" s="2766"/>
    </row>
    <row r="397" spans="1:51">
      <c r="A397" s="2766"/>
      <c r="E397" s="2766"/>
      <c r="F397" s="2766"/>
      <c r="G397" s="2766"/>
      <c r="H397" s="2766"/>
      <c r="I397" s="2766"/>
      <c r="J397" s="2766"/>
      <c r="K397" s="2820"/>
      <c r="L397" s="2820"/>
      <c r="M397" s="2830"/>
      <c r="N397" s="2830"/>
      <c r="O397" s="2830"/>
      <c r="P397" s="2830"/>
      <c r="Q397" s="2830"/>
      <c r="R397" s="2830"/>
      <c r="S397" s="2830"/>
      <c r="T397" s="2830"/>
      <c r="U397" s="2830"/>
      <c r="V397" s="2830"/>
      <c r="W397" s="2830"/>
      <c r="X397" s="2830"/>
      <c r="Y397" s="2830"/>
      <c r="Z397" s="2830"/>
      <c r="AA397" s="2830"/>
      <c r="AB397" s="2830"/>
      <c r="AC397" s="2830"/>
      <c r="AD397" s="2830"/>
      <c r="AE397" s="2830"/>
      <c r="AF397" s="2830"/>
      <c r="AG397" s="2830"/>
      <c r="AH397" s="2831"/>
      <c r="AI397" s="2830"/>
      <c r="AJ397" s="2830"/>
      <c r="AK397" s="2830"/>
      <c r="AL397" s="2830"/>
      <c r="AM397" s="2830"/>
      <c r="AN397" s="2830"/>
      <c r="AO397" s="2830"/>
      <c r="AP397" s="2830"/>
      <c r="AQ397" s="2830"/>
      <c r="AR397" s="2820"/>
      <c r="AS397" s="2820"/>
      <c r="AT397" s="2820"/>
      <c r="AU397" s="2820"/>
      <c r="AV397" s="2766"/>
      <c r="AY397" s="2766"/>
    </row>
    <row r="398" spans="1:51">
      <c r="A398" s="2766"/>
      <c r="E398" s="2766"/>
      <c r="F398" s="2766"/>
      <c r="G398" s="2766"/>
      <c r="H398" s="2766"/>
      <c r="I398" s="2766"/>
      <c r="J398" s="2766"/>
      <c r="K398" s="2820"/>
      <c r="L398" s="2820"/>
      <c r="M398" s="2830"/>
      <c r="N398" s="2830"/>
      <c r="O398" s="2830"/>
      <c r="P398" s="2830"/>
      <c r="Q398" s="2830"/>
      <c r="R398" s="2830"/>
      <c r="S398" s="2830"/>
      <c r="T398" s="2830"/>
      <c r="U398" s="2830"/>
      <c r="V398" s="2830"/>
      <c r="W398" s="2830"/>
      <c r="X398" s="2830"/>
      <c r="Y398" s="2830"/>
      <c r="Z398" s="2830"/>
      <c r="AA398" s="2830"/>
      <c r="AB398" s="2830"/>
      <c r="AC398" s="2830"/>
      <c r="AD398" s="2830"/>
      <c r="AE398" s="2830"/>
      <c r="AF398" s="2830"/>
      <c r="AG398" s="2830"/>
      <c r="AH398" s="2831"/>
      <c r="AI398" s="2830"/>
      <c r="AJ398" s="2830"/>
      <c r="AK398" s="2830"/>
      <c r="AL398" s="2830"/>
      <c r="AM398" s="2830"/>
      <c r="AN398" s="2830"/>
      <c r="AO398" s="2830"/>
      <c r="AP398" s="2830"/>
      <c r="AQ398" s="2830"/>
      <c r="AR398" s="2820"/>
      <c r="AS398" s="2820"/>
      <c r="AT398" s="2820"/>
      <c r="AU398" s="2820"/>
      <c r="AV398" s="2766"/>
      <c r="AY398" s="2766"/>
    </row>
    <row r="399" spans="1:51">
      <c r="A399" s="2766"/>
      <c r="E399" s="2766"/>
      <c r="F399" s="2766"/>
      <c r="G399" s="2766"/>
      <c r="H399" s="2766"/>
      <c r="I399" s="2766"/>
      <c r="J399" s="2766"/>
      <c r="K399" s="2820"/>
      <c r="L399" s="2820"/>
      <c r="M399" s="2830"/>
      <c r="N399" s="2830"/>
      <c r="O399" s="2830"/>
      <c r="P399" s="2830"/>
      <c r="Q399" s="2830"/>
      <c r="R399" s="2830"/>
      <c r="S399" s="2830"/>
      <c r="T399" s="2830"/>
      <c r="U399" s="2830"/>
      <c r="V399" s="2830"/>
      <c r="W399" s="2830"/>
      <c r="X399" s="2830"/>
      <c r="Y399" s="2830"/>
      <c r="Z399" s="2830"/>
      <c r="AA399" s="2830"/>
      <c r="AB399" s="2830"/>
      <c r="AC399" s="2830"/>
      <c r="AD399" s="2830"/>
      <c r="AE399" s="2830"/>
      <c r="AF399" s="2830"/>
      <c r="AG399" s="2830"/>
      <c r="AH399" s="2831"/>
      <c r="AI399" s="2830"/>
      <c r="AJ399" s="2830"/>
      <c r="AK399" s="2830"/>
      <c r="AL399" s="2830"/>
      <c r="AM399" s="2830"/>
      <c r="AN399" s="2830"/>
      <c r="AO399" s="2830"/>
      <c r="AP399" s="2830"/>
      <c r="AQ399" s="2830"/>
      <c r="AR399" s="2820"/>
      <c r="AS399" s="2820"/>
      <c r="AT399" s="2820"/>
      <c r="AU399" s="2820"/>
      <c r="AV399" s="2766"/>
      <c r="AY399" s="2766"/>
    </row>
    <row r="400" spans="1:51">
      <c r="A400" s="2766"/>
      <c r="E400" s="2766"/>
      <c r="F400" s="2766"/>
      <c r="G400" s="2766"/>
      <c r="H400" s="2766"/>
      <c r="I400" s="2766"/>
      <c r="J400" s="2766"/>
      <c r="K400" s="2820"/>
      <c r="L400" s="2820"/>
      <c r="M400" s="2830"/>
      <c r="N400" s="2830"/>
      <c r="O400" s="2830"/>
      <c r="P400" s="2830"/>
      <c r="Q400" s="2830"/>
      <c r="R400" s="2830"/>
      <c r="S400" s="2830"/>
      <c r="T400" s="2830"/>
      <c r="U400" s="2830"/>
      <c r="V400" s="2830"/>
      <c r="W400" s="2830"/>
      <c r="X400" s="2830"/>
      <c r="Y400" s="2830"/>
      <c r="Z400" s="2830"/>
      <c r="AA400" s="2830"/>
      <c r="AB400" s="2830"/>
      <c r="AC400" s="2830"/>
      <c r="AD400" s="2830"/>
      <c r="AE400" s="2830"/>
      <c r="AF400" s="2830"/>
      <c r="AG400" s="2830"/>
      <c r="AH400" s="2831"/>
      <c r="AI400" s="2830"/>
      <c r="AJ400" s="2830"/>
      <c r="AK400" s="2830"/>
      <c r="AL400" s="2830"/>
      <c r="AM400" s="2830"/>
      <c r="AN400" s="2830"/>
      <c r="AO400" s="2830"/>
      <c r="AP400" s="2830"/>
      <c r="AQ400" s="2830"/>
      <c r="AR400" s="2820"/>
      <c r="AS400" s="2820"/>
      <c r="AT400" s="2820"/>
      <c r="AU400" s="2820"/>
      <c r="AV400" s="2766"/>
      <c r="AY400" s="2766"/>
    </row>
    <row r="401" spans="1:51">
      <c r="A401" s="2766"/>
      <c r="E401" s="2766"/>
      <c r="F401" s="2766"/>
      <c r="G401" s="2766"/>
      <c r="H401" s="2766"/>
      <c r="I401" s="2766"/>
      <c r="J401" s="2766"/>
      <c r="K401" s="2820"/>
      <c r="L401" s="2820"/>
      <c r="M401" s="2830"/>
      <c r="N401" s="2830"/>
      <c r="O401" s="2830"/>
      <c r="P401" s="2830"/>
      <c r="Q401" s="2830"/>
      <c r="R401" s="2830"/>
      <c r="S401" s="2830"/>
      <c r="T401" s="2830"/>
      <c r="U401" s="2830"/>
      <c r="V401" s="2830"/>
      <c r="W401" s="2830"/>
      <c r="X401" s="2830"/>
      <c r="Y401" s="2830"/>
      <c r="Z401" s="2830"/>
      <c r="AA401" s="2830"/>
      <c r="AB401" s="2830"/>
      <c r="AC401" s="2830"/>
      <c r="AD401" s="2830"/>
      <c r="AE401" s="2830"/>
      <c r="AF401" s="2830"/>
      <c r="AG401" s="2830"/>
      <c r="AH401" s="2831"/>
      <c r="AI401" s="2830"/>
      <c r="AJ401" s="2830"/>
      <c r="AK401" s="2830"/>
      <c r="AL401" s="2830"/>
      <c r="AM401" s="2830"/>
      <c r="AN401" s="2830"/>
      <c r="AO401" s="2830"/>
      <c r="AP401" s="2830"/>
      <c r="AQ401" s="2830"/>
      <c r="AR401" s="2820"/>
      <c r="AS401" s="2820"/>
      <c r="AT401" s="2820"/>
      <c r="AU401" s="2820"/>
      <c r="AV401" s="2766"/>
      <c r="AY401" s="2766"/>
    </row>
    <row r="402" spans="1:51">
      <c r="A402" s="2766"/>
      <c r="E402" s="2766"/>
      <c r="F402" s="2766"/>
      <c r="G402" s="2766"/>
      <c r="H402" s="2766"/>
      <c r="I402" s="2766"/>
      <c r="J402" s="2766"/>
      <c r="K402" s="2820"/>
      <c r="L402" s="2820"/>
      <c r="M402" s="2830"/>
      <c r="N402" s="2830"/>
      <c r="O402" s="2830"/>
      <c r="P402" s="2830"/>
      <c r="Q402" s="2830"/>
      <c r="R402" s="2830"/>
      <c r="S402" s="2830"/>
      <c r="T402" s="2830"/>
      <c r="U402" s="2830"/>
      <c r="V402" s="2830"/>
      <c r="W402" s="2830"/>
      <c r="X402" s="2830"/>
      <c r="Y402" s="2830"/>
      <c r="Z402" s="2830"/>
      <c r="AA402" s="2830"/>
      <c r="AB402" s="2830"/>
      <c r="AC402" s="2830"/>
      <c r="AD402" s="2830"/>
      <c r="AE402" s="2830"/>
      <c r="AF402" s="2830"/>
      <c r="AG402" s="2830"/>
      <c r="AH402" s="2831"/>
      <c r="AI402" s="2830"/>
      <c r="AJ402" s="2830"/>
      <c r="AK402" s="2830"/>
      <c r="AL402" s="2830"/>
      <c r="AM402" s="2830"/>
      <c r="AN402" s="2830"/>
      <c r="AO402" s="2830"/>
      <c r="AP402" s="2830"/>
      <c r="AQ402" s="2830"/>
      <c r="AR402" s="2820"/>
      <c r="AS402" s="2820"/>
      <c r="AT402" s="2820"/>
      <c r="AU402" s="2820"/>
      <c r="AV402" s="2766"/>
      <c r="AY402" s="2766"/>
    </row>
    <row r="403" spans="1:51">
      <c r="A403" s="2766"/>
      <c r="E403" s="2766"/>
      <c r="F403" s="2766"/>
      <c r="G403" s="2766"/>
      <c r="H403" s="2766"/>
      <c r="I403" s="2766"/>
      <c r="J403" s="2766"/>
      <c r="K403" s="2820"/>
      <c r="L403" s="2820"/>
      <c r="M403" s="2830"/>
      <c r="N403" s="2830"/>
      <c r="O403" s="2830"/>
      <c r="P403" s="2830"/>
      <c r="Q403" s="2830"/>
      <c r="R403" s="2830"/>
      <c r="S403" s="2830"/>
      <c r="T403" s="2830"/>
      <c r="U403" s="2830"/>
      <c r="V403" s="2830"/>
      <c r="W403" s="2830"/>
      <c r="X403" s="2830"/>
      <c r="Y403" s="2830"/>
      <c r="Z403" s="2830"/>
      <c r="AA403" s="2830"/>
      <c r="AB403" s="2830"/>
      <c r="AC403" s="2830"/>
      <c r="AD403" s="2830"/>
      <c r="AE403" s="2830"/>
      <c r="AF403" s="2830"/>
      <c r="AG403" s="2830"/>
      <c r="AH403" s="2831"/>
      <c r="AI403" s="2830"/>
      <c r="AJ403" s="2830"/>
      <c r="AK403" s="2830"/>
      <c r="AL403" s="2830"/>
      <c r="AM403" s="2830"/>
      <c r="AN403" s="2830"/>
      <c r="AO403" s="2830"/>
      <c r="AP403" s="2830"/>
      <c r="AQ403" s="2830"/>
      <c r="AR403" s="2820"/>
      <c r="AS403" s="2820"/>
      <c r="AT403" s="2820"/>
      <c r="AU403" s="2820"/>
      <c r="AV403" s="2766"/>
      <c r="AY403" s="2766"/>
    </row>
    <row r="404" spans="1:51">
      <c r="A404" s="2766"/>
      <c r="E404" s="2766"/>
      <c r="F404" s="2766"/>
      <c r="G404" s="2766"/>
      <c r="H404" s="2766"/>
      <c r="I404" s="2766"/>
      <c r="J404" s="2766"/>
      <c r="K404" s="2820"/>
      <c r="L404" s="2820"/>
      <c r="M404" s="2830"/>
      <c r="N404" s="2830"/>
      <c r="O404" s="2830"/>
      <c r="P404" s="2830"/>
      <c r="Q404" s="2830"/>
      <c r="R404" s="2830"/>
      <c r="S404" s="2830"/>
      <c r="T404" s="2830"/>
      <c r="U404" s="2830"/>
      <c r="V404" s="2830"/>
      <c r="W404" s="2830"/>
      <c r="X404" s="2830"/>
      <c r="Y404" s="2830"/>
      <c r="Z404" s="2830"/>
      <c r="AA404" s="2830"/>
      <c r="AB404" s="2830"/>
      <c r="AC404" s="2830"/>
      <c r="AD404" s="2830"/>
      <c r="AE404" s="2830"/>
      <c r="AF404" s="2830"/>
      <c r="AG404" s="2830"/>
      <c r="AH404" s="2831"/>
      <c r="AI404" s="2830"/>
      <c r="AJ404" s="2830"/>
      <c r="AK404" s="2830"/>
      <c r="AL404" s="2830"/>
      <c r="AM404" s="2830"/>
      <c r="AN404" s="2830"/>
      <c r="AO404" s="2830"/>
      <c r="AP404" s="2830"/>
      <c r="AQ404" s="2830"/>
      <c r="AR404" s="2820"/>
      <c r="AS404" s="2820"/>
      <c r="AT404" s="2820"/>
      <c r="AU404" s="2820"/>
      <c r="AV404" s="2766"/>
      <c r="AY404" s="2766"/>
    </row>
    <row r="405" spans="1:51">
      <c r="A405" s="2766"/>
      <c r="E405" s="2766"/>
      <c r="F405" s="2766"/>
      <c r="G405" s="2766"/>
      <c r="H405" s="2766"/>
      <c r="I405" s="2766"/>
      <c r="J405" s="2766"/>
      <c r="K405" s="2820"/>
      <c r="L405" s="2820"/>
      <c r="M405" s="2830"/>
      <c r="N405" s="2830"/>
      <c r="O405" s="2830"/>
      <c r="P405" s="2830"/>
      <c r="Q405" s="2830"/>
      <c r="R405" s="2830"/>
      <c r="S405" s="2830"/>
      <c r="T405" s="2830"/>
      <c r="U405" s="2830"/>
      <c r="V405" s="2830"/>
      <c r="W405" s="2830"/>
      <c r="X405" s="2830"/>
      <c r="Y405" s="2830"/>
      <c r="Z405" s="2830"/>
      <c r="AA405" s="2830"/>
      <c r="AB405" s="2830"/>
      <c r="AC405" s="2830"/>
      <c r="AD405" s="2830"/>
      <c r="AE405" s="2830"/>
      <c r="AF405" s="2830"/>
      <c r="AG405" s="2830"/>
      <c r="AH405" s="2831"/>
      <c r="AI405" s="2830"/>
      <c r="AJ405" s="2830"/>
      <c r="AK405" s="2830"/>
      <c r="AL405" s="2830"/>
      <c r="AM405" s="2830"/>
      <c r="AN405" s="2830"/>
      <c r="AO405" s="2830"/>
      <c r="AP405" s="2830"/>
      <c r="AQ405" s="2830"/>
      <c r="AR405" s="2820"/>
      <c r="AS405" s="2820"/>
      <c r="AT405" s="2820"/>
      <c r="AU405" s="2820"/>
      <c r="AV405" s="2766"/>
      <c r="AY405" s="2766"/>
    </row>
    <row r="406" spans="1:51">
      <c r="A406" s="2766"/>
      <c r="E406" s="2766"/>
      <c r="F406" s="2766"/>
      <c r="G406" s="2766"/>
      <c r="H406" s="2766"/>
      <c r="I406" s="2766"/>
      <c r="J406" s="2766"/>
      <c r="K406" s="2820"/>
      <c r="L406" s="2820"/>
      <c r="M406" s="2830"/>
      <c r="N406" s="2830"/>
      <c r="O406" s="2830"/>
      <c r="P406" s="2830"/>
      <c r="Q406" s="2830"/>
      <c r="R406" s="2830"/>
      <c r="S406" s="2830"/>
      <c r="T406" s="2830"/>
      <c r="U406" s="2830"/>
      <c r="V406" s="2830"/>
      <c r="W406" s="2830"/>
      <c r="X406" s="2830"/>
      <c r="Y406" s="2830"/>
      <c r="Z406" s="2830"/>
      <c r="AA406" s="2830"/>
      <c r="AB406" s="2830"/>
      <c r="AC406" s="2830"/>
      <c r="AD406" s="2830"/>
      <c r="AE406" s="2830"/>
      <c r="AF406" s="2830"/>
      <c r="AG406" s="2830"/>
      <c r="AH406" s="2831"/>
      <c r="AI406" s="2830"/>
      <c r="AJ406" s="2830"/>
      <c r="AK406" s="2830"/>
      <c r="AL406" s="2830"/>
      <c r="AM406" s="2830"/>
      <c r="AN406" s="2830"/>
      <c r="AO406" s="2830"/>
      <c r="AP406" s="2830"/>
      <c r="AQ406" s="2830"/>
      <c r="AR406" s="2820"/>
      <c r="AS406" s="2820"/>
      <c r="AT406" s="2820"/>
      <c r="AU406" s="2820"/>
      <c r="AV406" s="2766"/>
      <c r="AY406" s="2766"/>
    </row>
    <row r="407" spans="1:51">
      <c r="A407" s="2766"/>
      <c r="E407" s="2766"/>
      <c r="F407" s="2766"/>
      <c r="G407" s="2766"/>
      <c r="H407" s="2766"/>
      <c r="I407" s="2766"/>
      <c r="J407" s="2766"/>
      <c r="K407" s="2820"/>
      <c r="L407" s="2820"/>
      <c r="M407" s="2830"/>
      <c r="N407" s="2830"/>
      <c r="O407" s="2830"/>
      <c r="P407" s="2830"/>
      <c r="Q407" s="2830"/>
      <c r="R407" s="2830"/>
      <c r="S407" s="2830"/>
      <c r="T407" s="2830"/>
      <c r="U407" s="2830"/>
      <c r="V407" s="2830"/>
      <c r="W407" s="2830"/>
      <c r="X407" s="2830"/>
      <c r="Y407" s="2830"/>
      <c r="Z407" s="2830"/>
      <c r="AA407" s="2830"/>
      <c r="AB407" s="2830"/>
      <c r="AC407" s="2830"/>
      <c r="AD407" s="2830"/>
      <c r="AE407" s="2830"/>
      <c r="AF407" s="2830"/>
      <c r="AG407" s="2830"/>
      <c r="AH407" s="2831"/>
      <c r="AI407" s="2830"/>
      <c r="AJ407" s="2830"/>
      <c r="AK407" s="2830"/>
      <c r="AL407" s="2830"/>
      <c r="AM407" s="2830"/>
      <c r="AN407" s="2830"/>
      <c r="AO407" s="2830"/>
      <c r="AP407" s="2830"/>
      <c r="AQ407" s="2830"/>
      <c r="AR407" s="2820"/>
      <c r="AS407" s="2820"/>
      <c r="AT407" s="2820"/>
      <c r="AU407" s="2820"/>
      <c r="AV407" s="2766"/>
      <c r="AY407" s="2766"/>
    </row>
    <row r="408" spans="1:51">
      <c r="A408" s="2766"/>
      <c r="E408" s="2766"/>
      <c r="F408" s="2766"/>
      <c r="G408" s="2766"/>
      <c r="H408" s="2766"/>
      <c r="I408" s="2766"/>
      <c r="J408" s="2766"/>
      <c r="K408" s="2820"/>
      <c r="L408" s="2820"/>
      <c r="M408" s="2830"/>
      <c r="N408" s="2830"/>
      <c r="O408" s="2830"/>
      <c r="P408" s="2830"/>
      <c r="Q408" s="2830"/>
      <c r="R408" s="2830"/>
      <c r="S408" s="2830"/>
      <c r="T408" s="2830"/>
      <c r="U408" s="2830"/>
      <c r="V408" s="2830"/>
      <c r="W408" s="2830"/>
      <c r="X408" s="2830"/>
      <c r="Y408" s="2830"/>
      <c r="Z408" s="2830"/>
      <c r="AA408" s="2830"/>
      <c r="AB408" s="2830"/>
      <c r="AC408" s="2830"/>
      <c r="AD408" s="2830"/>
      <c r="AE408" s="2830"/>
      <c r="AF408" s="2830"/>
      <c r="AG408" s="2830"/>
      <c r="AH408" s="2831"/>
      <c r="AI408" s="2830"/>
      <c r="AJ408" s="2830"/>
      <c r="AK408" s="2830"/>
      <c r="AL408" s="2830"/>
      <c r="AM408" s="2830"/>
      <c r="AN408" s="2830"/>
      <c r="AO408" s="2830"/>
      <c r="AP408" s="2830"/>
      <c r="AQ408" s="2830"/>
      <c r="AR408" s="2820"/>
      <c r="AS408" s="2820"/>
      <c r="AT408" s="2820"/>
      <c r="AU408" s="2820"/>
      <c r="AV408" s="2766"/>
      <c r="AY408" s="2766"/>
    </row>
    <row r="409" spans="1:51">
      <c r="A409" s="2766"/>
      <c r="E409" s="2766"/>
      <c r="F409" s="2766"/>
      <c r="G409" s="2766"/>
      <c r="H409" s="2766"/>
      <c r="I409" s="2766"/>
      <c r="J409" s="2766"/>
      <c r="K409" s="2820"/>
      <c r="L409" s="2820"/>
      <c r="M409" s="2830"/>
      <c r="N409" s="2830"/>
      <c r="O409" s="2830"/>
      <c r="P409" s="2830"/>
      <c r="Q409" s="2830"/>
      <c r="R409" s="2830"/>
      <c r="S409" s="2830"/>
      <c r="T409" s="2830"/>
      <c r="U409" s="2830"/>
      <c r="V409" s="2830"/>
      <c r="W409" s="2830"/>
      <c r="X409" s="2830"/>
      <c r="Y409" s="2830"/>
      <c r="Z409" s="2830"/>
      <c r="AA409" s="2830"/>
      <c r="AB409" s="2830"/>
      <c r="AC409" s="2830"/>
      <c r="AD409" s="2830"/>
      <c r="AE409" s="2830"/>
      <c r="AF409" s="2830"/>
      <c r="AG409" s="2830"/>
      <c r="AH409" s="2831"/>
      <c r="AI409" s="2830"/>
      <c r="AJ409" s="2830"/>
      <c r="AK409" s="2830"/>
      <c r="AL409" s="2830"/>
      <c r="AM409" s="2830"/>
      <c r="AN409" s="2830"/>
      <c r="AO409" s="2830"/>
      <c r="AP409" s="2830"/>
      <c r="AQ409" s="2830"/>
      <c r="AR409" s="2820"/>
      <c r="AS409" s="2820"/>
      <c r="AT409" s="2820"/>
      <c r="AU409" s="2820"/>
      <c r="AV409" s="2766"/>
      <c r="AY409" s="2766"/>
    </row>
    <row r="410" spans="1:51">
      <c r="A410" s="2766"/>
      <c r="E410" s="2766"/>
      <c r="F410" s="2766"/>
      <c r="G410" s="2766"/>
      <c r="H410" s="2766"/>
      <c r="I410" s="2766"/>
      <c r="J410" s="2766"/>
      <c r="K410" s="2820"/>
      <c r="L410" s="2820"/>
      <c r="M410" s="2830"/>
      <c r="N410" s="2830"/>
      <c r="O410" s="2830"/>
      <c r="P410" s="2830"/>
      <c r="Q410" s="2830"/>
      <c r="R410" s="2830"/>
      <c r="S410" s="2830"/>
      <c r="T410" s="2830"/>
      <c r="U410" s="2830"/>
      <c r="V410" s="2830"/>
      <c r="W410" s="2830"/>
      <c r="X410" s="2830"/>
      <c r="Y410" s="2830"/>
      <c r="Z410" s="2830"/>
      <c r="AA410" s="2830"/>
      <c r="AB410" s="2830"/>
      <c r="AC410" s="2830"/>
      <c r="AD410" s="2830"/>
      <c r="AE410" s="2830"/>
      <c r="AF410" s="2830"/>
      <c r="AG410" s="2830"/>
      <c r="AH410" s="2831"/>
      <c r="AI410" s="2830"/>
      <c r="AJ410" s="2830"/>
      <c r="AK410" s="2830"/>
      <c r="AL410" s="2830"/>
      <c r="AM410" s="2830"/>
      <c r="AN410" s="2830"/>
      <c r="AO410" s="2830"/>
      <c r="AP410" s="2830"/>
      <c r="AQ410" s="2830"/>
      <c r="AR410" s="2820"/>
      <c r="AS410" s="2820"/>
      <c r="AT410" s="2820"/>
      <c r="AU410" s="2820"/>
      <c r="AV410" s="2766"/>
      <c r="AY410" s="2766"/>
    </row>
    <row r="411" spans="1:51">
      <c r="A411" s="2766"/>
      <c r="E411" s="2766"/>
      <c r="F411" s="2766"/>
      <c r="G411" s="2766"/>
      <c r="H411" s="2766"/>
      <c r="I411" s="2766"/>
      <c r="J411" s="2766"/>
      <c r="K411" s="2820"/>
      <c r="L411" s="2820"/>
      <c r="M411" s="2830"/>
      <c r="N411" s="2830"/>
      <c r="O411" s="2830"/>
      <c r="P411" s="2830"/>
      <c r="Q411" s="2830"/>
      <c r="R411" s="2830"/>
      <c r="S411" s="2830"/>
      <c r="T411" s="2830"/>
      <c r="U411" s="2830"/>
      <c r="V411" s="2830"/>
      <c r="W411" s="2830"/>
      <c r="X411" s="2830"/>
      <c r="Y411" s="2830"/>
      <c r="Z411" s="2830"/>
      <c r="AA411" s="2830"/>
      <c r="AB411" s="2830"/>
      <c r="AC411" s="2830"/>
      <c r="AD411" s="2830"/>
      <c r="AE411" s="2830"/>
      <c r="AF411" s="2830"/>
      <c r="AG411" s="2830"/>
      <c r="AH411" s="2831"/>
      <c r="AI411" s="2830"/>
      <c r="AJ411" s="2830"/>
      <c r="AK411" s="2830"/>
      <c r="AL411" s="2830"/>
      <c r="AM411" s="2830"/>
      <c r="AN411" s="2830"/>
      <c r="AO411" s="2830"/>
      <c r="AP411" s="2830"/>
      <c r="AQ411" s="2830"/>
      <c r="AR411" s="2820"/>
      <c r="AS411" s="2820"/>
      <c r="AT411" s="2820"/>
      <c r="AU411" s="2820"/>
      <c r="AV411" s="2766"/>
      <c r="AY411" s="2766"/>
    </row>
    <row r="412" spans="1:51">
      <c r="A412" s="2766"/>
      <c r="E412" s="2766"/>
      <c r="F412" s="2766"/>
      <c r="G412" s="2766"/>
      <c r="H412" s="2766"/>
      <c r="I412" s="2766"/>
      <c r="J412" s="2766"/>
      <c r="K412" s="2820"/>
      <c r="L412" s="2820"/>
      <c r="M412" s="2830"/>
      <c r="N412" s="2830"/>
      <c r="O412" s="2830"/>
      <c r="P412" s="2830"/>
      <c r="Q412" s="2830"/>
      <c r="R412" s="2830"/>
      <c r="S412" s="2830"/>
      <c r="T412" s="2830"/>
      <c r="U412" s="2830"/>
      <c r="V412" s="2830"/>
      <c r="W412" s="2830"/>
      <c r="X412" s="2830"/>
      <c r="Y412" s="2830"/>
      <c r="Z412" s="2830"/>
      <c r="AA412" s="2830"/>
      <c r="AB412" s="2830"/>
      <c r="AC412" s="2830"/>
      <c r="AD412" s="2830"/>
      <c r="AE412" s="2830"/>
      <c r="AF412" s="2830"/>
      <c r="AG412" s="2830"/>
      <c r="AH412" s="2831"/>
      <c r="AI412" s="2830"/>
      <c r="AJ412" s="2830"/>
      <c r="AK412" s="2830"/>
      <c r="AL412" s="2830"/>
      <c r="AM412" s="2830"/>
      <c r="AN412" s="2830"/>
      <c r="AO412" s="2830"/>
      <c r="AP412" s="2830"/>
      <c r="AQ412" s="2830"/>
      <c r="AR412" s="2820"/>
      <c r="AS412" s="2820"/>
      <c r="AT412" s="2820"/>
      <c r="AU412" s="2820"/>
      <c r="AV412" s="2766"/>
      <c r="AY412" s="2766"/>
    </row>
    <row r="413" spans="1:51">
      <c r="A413" s="2766"/>
      <c r="E413" s="2766"/>
      <c r="F413" s="2766"/>
      <c r="G413" s="2766"/>
      <c r="H413" s="2766"/>
      <c r="I413" s="2766"/>
      <c r="J413" s="2766"/>
      <c r="K413" s="2820"/>
      <c r="L413" s="2820"/>
      <c r="M413" s="2830"/>
      <c r="N413" s="2830"/>
      <c r="O413" s="2830"/>
      <c r="P413" s="2830"/>
      <c r="Q413" s="2830"/>
      <c r="R413" s="2830"/>
      <c r="S413" s="2830"/>
      <c r="T413" s="2830"/>
      <c r="U413" s="2830"/>
      <c r="V413" s="2830"/>
      <c r="W413" s="2830"/>
      <c r="X413" s="2830"/>
      <c r="Y413" s="2830"/>
      <c r="Z413" s="2830"/>
      <c r="AA413" s="2830"/>
      <c r="AB413" s="2830"/>
      <c r="AC413" s="2830"/>
      <c r="AD413" s="2830"/>
      <c r="AE413" s="2830"/>
      <c r="AF413" s="2830"/>
      <c r="AG413" s="2830"/>
      <c r="AH413" s="2831"/>
      <c r="AI413" s="2830"/>
      <c r="AJ413" s="2830"/>
      <c r="AK413" s="2830"/>
      <c r="AL413" s="2830"/>
      <c r="AM413" s="2830"/>
      <c r="AN413" s="2830"/>
      <c r="AO413" s="2830"/>
      <c r="AP413" s="2830"/>
      <c r="AQ413" s="2830"/>
      <c r="AR413" s="2820"/>
      <c r="AS413" s="2820"/>
      <c r="AT413" s="2820"/>
      <c r="AU413" s="2820"/>
      <c r="AV413" s="2766"/>
      <c r="AY413" s="2766"/>
    </row>
    <row r="414" spans="1:51">
      <c r="A414" s="2766"/>
      <c r="E414" s="2766"/>
      <c r="F414" s="2766"/>
      <c r="G414" s="2766"/>
      <c r="H414" s="2766"/>
      <c r="I414" s="2766"/>
      <c r="J414" s="2766"/>
      <c r="K414" s="2820"/>
      <c r="L414" s="2820"/>
      <c r="M414" s="2830"/>
      <c r="N414" s="2830"/>
      <c r="O414" s="2830"/>
      <c r="P414" s="2830"/>
      <c r="Q414" s="2830"/>
      <c r="R414" s="2830"/>
      <c r="S414" s="2830"/>
      <c r="T414" s="2830"/>
      <c r="U414" s="2830"/>
      <c r="V414" s="2830"/>
      <c r="W414" s="2830"/>
      <c r="X414" s="2830"/>
      <c r="Y414" s="2830"/>
      <c r="Z414" s="2830"/>
      <c r="AA414" s="2830"/>
      <c r="AB414" s="2830"/>
      <c r="AC414" s="2830"/>
      <c r="AD414" s="2830"/>
      <c r="AE414" s="2830"/>
      <c r="AF414" s="2830"/>
      <c r="AG414" s="2830"/>
      <c r="AH414" s="2831"/>
      <c r="AI414" s="2830"/>
      <c r="AJ414" s="2830"/>
      <c r="AK414" s="2830"/>
      <c r="AL414" s="2830"/>
      <c r="AM414" s="2830"/>
      <c r="AN414" s="2830"/>
      <c r="AO414" s="2830"/>
      <c r="AP414" s="2830"/>
      <c r="AQ414" s="2830"/>
      <c r="AR414" s="2820"/>
      <c r="AS414" s="2820"/>
      <c r="AT414" s="2820"/>
      <c r="AU414" s="2820"/>
      <c r="AV414" s="2766"/>
      <c r="AY414" s="2766"/>
    </row>
    <row r="415" spans="1:51">
      <c r="A415" s="2766"/>
      <c r="E415" s="2766"/>
      <c r="F415" s="2766"/>
      <c r="G415" s="2766"/>
      <c r="H415" s="2766"/>
      <c r="I415" s="2766"/>
      <c r="J415" s="2766"/>
      <c r="K415" s="2820"/>
      <c r="L415" s="2820"/>
      <c r="M415" s="2830"/>
      <c r="N415" s="2830"/>
      <c r="O415" s="2830"/>
      <c r="P415" s="2830"/>
      <c r="Q415" s="2830"/>
      <c r="R415" s="2830"/>
      <c r="S415" s="2830"/>
      <c r="T415" s="2830"/>
      <c r="U415" s="2830"/>
      <c r="V415" s="2830"/>
      <c r="W415" s="2830"/>
      <c r="X415" s="2830"/>
      <c r="Y415" s="2830"/>
      <c r="Z415" s="2830"/>
      <c r="AA415" s="2830"/>
      <c r="AB415" s="2830"/>
      <c r="AC415" s="2830"/>
      <c r="AD415" s="2830"/>
      <c r="AE415" s="2830"/>
      <c r="AF415" s="2830"/>
      <c r="AG415" s="2830"/>
      <c r="AH415" s="2831"/>
      <c r="AI415" s="2830"/>
      <c r="AJ415" s="2830"/>
      <c r="AK415" s="2830"/>
      <c r="AL415" s="2830"/>
      <c r="AM415" s="2830"/>
      <c r="AN415" s="2830"/>
      <c r="AO415" s="2830"/>
      <c r="AP415" s="2830"/>
      <c r="AQ415" s="2830"/>
      <c r="AR415" s="2820"/>
      <c r="AS415" s="2820"/>
      <c r="AT415" s="2820"/>
      <c r="AU415" s="2820"/>
      <c r="AV415" s="2766"/>
      <c r="AY415" s="2766"/>
    </row>
    <row r="416" spans="1:51">
      <c r="A416" s="2766"/>
      <c r="E416" s="2766"/>
      <c r="F416" s="2766"/>
      <c r="G416" s="2766"/>
      <c r="H416" s="2766"/>
      <c r="I416" s="2766"/>
      <c r="J416" s="2766"/>
      <c r="K416" s="2820"/>
      <c r="L416" s="2820"/>
      <c r="M416" s="2830"/>
      <c r="N416" s="2830"/>
      <c r="O416" s="2830"/>
      <c r="P416" s="2830"/>
      <c r="Q416" s="2830"/>
      <c r="R416" s="2830"/>
      <c r="S416" s="2830"/>
      <c r="T416" s="2830"/>
      <c r="U416" s="2830"/>
      <c r="V416" s="2830"/>
      <c r="W416" s="2830"/>
      <c r="X416" s="2830"/>
      <c r="Y416" s="2830"/>
      <c r="Z416" s="2830"/>
      <c r="AA416" s="2830"/>
      <c r="AB416" s="2830"/>
      <c r="AC416" s="2830"/>
      <c r="AD416" s="2830"/>
      <c r="AE416" s="2830"/>
      <c r="AF416" s="2830"/>
      <c r="AG416" s="2830"/>
      <c r="AH416" s="2831"/>
      <c r="AI416" s="2830"/>
      <c r="AJ416" s="2830"/>
      <c r="AK416" s="2830"/>
      <c r="AL416" s="2830"/>
      <c r="AM416" s="2830"/>
      <c r="AN416" s="2830"/>
      <c r="AO416" s="2830"/>
      <c r="AP416" s="2830"/>
      <c r="AQ416" s="2830"/>
      <c r="AR416" s="2820"/>
      <c r="AS416" s="2820"/>
      <c r="AT416" s="2820"/>
      <c r="AU416" s="2820"/>
      <c r="AV416" s="2766"/>
      <c r="AY416" s="2766"/>
    </row>
    <row r="417" spans="1:51">
      <c r="A417" s="2766"/>
      <c r="E417" s="2766"/>
      <c r="F417" s="2766"/>
      <c r="G417" s="2766"/>
      <c r="H417" s="2766"/>
      <c r="I417" s="2766"/>
      <c r="J417" s="2766"/>
      <c r="K417" s="2820"/>
      <c r="L417" s="2820"/>
      <c r="M417" s="2830"/>
      <c r="N417" s="2830"/>
      <c r="O417" s="2830"/>
      <c r="P417" s="2830"/>
      <c r="Q417" s="2830"/>
      <c r="R417" s="2830"/>
      <c r="S417" s="2830"/>
      <c r="T417" s="2830"/>
      <c r="U417" s="2830"/>
      <c r="V417" s="2830"/>
      <c r="W417" s="2830"/>
      <c r="X417" s="2830"/>
      <c r="Y417" s="2830"/>
      <c r="Z417" s="2830"/>
      <c r="AA417" s="2830"/>
      <c r="AB417" s="2830"/>
      <c r="AC417" s="2830"/>
      <c r="AD417" s="2830"/>
      <c r="AE417" s="2830"/>
      <c r="AF417" s="2830"/>
      <c r="AG417" s="2830"/>
      <c r="AH417" s="2831"/>
      <c r="AI417" s="2830"/>
      <c r="AJ417" s="2830"/>
      <c r="AK417" s="2830"/>
      <c r="AL417" s="2830"/>
      <c r="AM417" s="2830"/>
      <c r="AN417" s="2830"/>
      <c r="AO417" s="2830"/>
      <c r="AP417" s="2830"/>
      <c r="AQ417" s="2830"/>
      <c r="AR417" s="2820"/>
      <c r="AS417" s="2820"/>
      <c r="AT417" s="2820"/>
      <c r="AU417" s="2820"/>
      <c r="AV417" s="2766"/>
      <c r="AY417" s="2766"/>
    </row>
    <row r="418" spans="1:51">
      <c r="A418" s="2766"/>
      <c r="E418" s="2766"/>
      <c r="F418" s="2766"/>
      <c r="G418" s="2766"/>
      <c r="H418" s="2766"/>
      <c r="I418" s="2766"/>
      <c r="J418" s="2766"/>
      <c r="K418" s="2820"/>
      <c r="L418" s="2820"/>
      <c r="M418" s="2830"/>
      <c r="N418" s="2830"/>
      <c r="O418" s="2830"/>
      <c r="P418" s="2830"/>
      <c r="Q418" s="2830"/>
      <c r="R418" s="2830"/>
      <c r="S418" s="2830"/>
      <c r="T418" s="2830"/>
      <c r="U418" s="2830"/>
      <c r="V418" s="2830"/>
      <c r="W418" s="2830"/>
      <c r="X418" s="2830"/>
      <c r="Y418" s="2830"/>
      <c r="Z418" s="2830"/>
      <c r="AA418" s="2830"/>
      <c r="AB418" s="2830"/>
      <c r="AC418" s="2830"/>
      <c r="AD418" s="2830"/>
      <c r="AE418" s="2830"/>
      <c r="AF418" s="2830"/>
      <c r="AG418" s="2830"/>
      <c r="AH418" s="2831"/>
      <c r="AI418" s="2830"/>
      <c r="AJ418" s="2830"/>
      <c r="AK418" s="2830"/>
      <c r="AL418" s="2830"/>
      <c r="AM418" s="2830"/>
      <c r="AN418" s="2830"/>
      <c r="AO418" s="2830"/>
      <c r="AP418" s="2830"/>
      <c r="AQ418" s="2830"/>
      <c r="AR418" s="2820"/>
      <c r="AS418" s="2820"/>
      <c r="AT418" s="2820"/>
      <c r="AU418" s="2820"/>
      <c r="AV418" s="2766"/>
      <c r="AY418" s="2766"/>
    </row>
    <row r="419" spans="1:51">
      <c r="A419" s="2766"/>
      <c r="E419" s="2766"/>
      <c r="F419" s="2766"/>
      <c r="G419" s="2766"/>
      <c r="H419" s="2766"/>
      <c r="I419" s="2766"/>
      <c r="J419" s="2766"/>
      <c r="K419" s="2820"/>
      <c r="L419" s="2820"/>
      <c r="M419" s="2830"/>
      <c r="N419" s="2830"/>
      <c r="O419" s="2830"/>
      <c r="P419" s="2830"/>
      <c r="Q419" s="2830"/>
      <c r="R419" s="2830"/>
      <c r="S419" s="2830"/>
      <c r="T419" s="2830"/>
      <c r="U419" s="2830"/>
      <c r="V419" s="2830"/>
      <c r="W419" s="2830"/>
      <c r="X419" s="2830"/>
      <c r="Y419" s="2830"/>
      <c r="Z419" s="2830"/>
      <c r="AA419" s="2830"/>
      <c r="AB419" s="2830"/>
      <c r="AC419" s="2830"/>
      <c r="AD419" s="2830"/>
      <c r="AE419" s="2830"/>
      <c r="AF419" s="2830"/>
      <c r="AG419" s="2830"/>
      <c r="AH419" s="2831"/>
      <c r="AI419" s="2830"/>
      <c r="AJ419" s="2830"/>
      <c r="AK419" s="2830"/>
      <c r="AL419" s="2830"/>
      <c r="AM419" s="2830"/>
      <c r="AN419" s="2830"/>
      <c r="AO419" s="2830"/>
      <c r="AP419" s="2830"/>
      <c r="AQ419" s="2830"/>
      <c r="AR419" s="2820"/>
      <c r="AS419" s="2820"/>
      <c r="AT419" s="2820"/>
      <c r="AU419" s="2820"/>
      <c r="AV419" s="2766"/>
      <c r="AY419" s="2766"/>
    </row>
    <row r="420" spans="1:51">
      <c r="A420" s="2766"/>
      <c r="E420" s="2766"/>
      <c r="F420" s="2766"/>
      <c r="G420" s="2766"/>
      <c r="H420" s="2766"/>
      <c r="I420" s="2766"/>
      <c r="J420" s="2766"/>
      <c r="K420" s="2820"/>
      <c r="L420" s="2820"/>
      <c r="M420" s="2830"/>
      <c r="N420" s="2830"/>
      <c r="O420" s="2830"/>
      <c r="P420" s="2830"/>
      <c r="Q420" s="2830"/>
      <c r="R420" s="2830"/>
      <c r="S420" s="2830"/>
      <c r="T420" s="2830"/>
      <c r="U420" s="2830"/>
      <c r="V420" s="2830"/>
      <c r="W420" s="2830"/>
      <c r="X420" s="2830"/>
      <c r="Y420" s="2830"/>
      <c r="Z420" s="2830"/>
      <c r="AA420" s="2830"/>
      <c r="AB420" s="2830"/>
      <c r="AC420" s="2830"/>
      <c r="AD420" s="2830"/>
      <c r="AE420" s="2830"/>
      <c r="AF420" s="2830"/>
      <c r="AG420" s="2830"/>
      <c r="AH420" s="2831"/>
      <c r="AI420" s="2830"/>
      <c r="AJ420" s="2830"/>
      <c r="AK420" s="2830"/>
      <c r="AL420" s="2830"/>
      <c r="AM420" s="2830"/>
      <c r="AN420" s="2830"/>
      <c r="AO420" s="2830"/>
      <c r="AP420" s="2830"/>
      <c r="AQ420" s="2830"/>
      <c r="AR420" s="2820"/>
      <c r="AS420" s="2820"/>
      <c r="AT420" s="2820"/>
      <c r="AU420" s="2820"/>
      <c r="AV420" s="2766"/>
      <c r="AY420" s="2766"/>
    </row>
    <row r="421" spans="1:51">
      <c r="A421" s="2766"/>
      <c r="E421" s="2766"/>
      <c r="F421" s="2766"/>
      <c r="G421" s="2766"/>
      <c r="H421" s="2766"/>
      <c r="I421" s="2766"/>
      <c r="J421" s="2766"/>
      <c r="K421" s="2820"/>
      <c r="L421" s="2820"/>
      <c r="M421" s="2830"/>
      <c r="N421" s="2830"/>
      <c r="O421" s="2830"/>
      <c r="P421" s="2830"/>
      <c r="Q421" s="2830"/>
      <c r="R421" s="2830"/>
      <c r="S421" s="2830"/>
      <c r="T421" s="2830"/>
      <c r="U421" s="2830"/>
      <c r="V421" s="2830"/>
      <c r="W421" s="2830"/>
      <c r="X421" s="2830"/>
      <c r="Y421" s="2830"/>
      <c r="Z421" s="2830"/>
      <c r="AA421" s="2830"/>
      <c r="AB421" s="2830"/>
      <c r="AC421" s="2830"/>
      <c r="AD421" s="2830"/>
      <c r="AE421" s="2830"/>
      <c r="AF421" s="2830"/>
      <c r="AG421" s="2830"/>
      <c r="AH421" s="2831"/>
      <c r="AI421" s="2830"/>
      <c r="AJ421" s="2830"/>
      <c r="AK421" s="2830"/>
      <c r="AL421" s="2830"/>
      <c r="AM421" s="2830"/>
      <c r="AN421" s="2830"/>
      <c r="AO421" s="2830"/>
      <c r="AP421" s="2830"/>
      <c r="AQ421" s="2830"/>
      <c r="AR421" s="2820"/>
      <c r="AS421" s="2820"/>
      <c r="AT421" s="2820"/>
      <c r="AU421" s="2820"/>
      <c r="AV421" s="2766"/>
      <c r="AY421" s="2766"/>
    </row>
    <row r="422" spans="1:51">
      <c r="A422" s="2766"/>
      <c r="E422" s="2766"/>
      <c r="F422" s="2766"/>
      <c r="G422" s="2766"/>
      <c r="H422" s="2766"/>
      <c r="I422" s="2766"/>
      <c r="J422" s="2766"/>
      <c r="K422" s="2820"/>
      <c r="L422" s="2820"/>
      <c r="M422" s="2830"/>
      <c r="N422" s="2830"/>
      <c r="O422" s="2830"/>
      <c r="P422" s="2830"/>
      <c r="Q422" s="2830"/>
      <c r="R422" s="2830"/>
      <c r="S422" s="2830"/>
      <c r="T422" s="2830"/>
      <c r="U422" s="2830"/>
      <c r="V422" s="2830"/>
      <c r="W422" s="2830"/>
      <c r="X422" s="2830"/>
      <c r="Y422" s="2830"/>
      <c r="Z422" s="2830"/>
      <c r="AA422" s="2830"/>
      <c r="AB422" s="2830"/>
      <c r="AC422" s="2830"/>
      <c r="AD422" s="2830"/>
      <c r="AE422" s="2830"/>
      <c r="AF422" s="2830"/>
      <c r="AG422" s="2830"/>
      <c r="AH422" s="2831"/>
      <c r="AI422" s="2830"/>
      <c r="AJ422" s="2830"/>
      <c r="AK422" s="2830"/>
      <c r="AL422" s="2830"/>
      <c r="AM422" s="2830"/>
      <c r="AN422" s="2830"/>
      <c r="AO422" s="2830"/>
      <c r="AP422" s="2830"/>
      <c r="AQ422" s="2830"/>
      <c r="AR422" s="2820"/>
      <c r="AS422" s="2820"/>
      <c r="AT422" s="2820"/>
      <c r="AU422" s="2820"/>
      <c r="AV422" s="2766"/>
      <c r="AY422" s="2766"/>
    </row>
    <row r="423" spans="1:51">
      <c r="A423" s="2766"/>
      <c r="E423" s="2766"/>
      <c r="F423" s="2766"/>
      <c r="G423" s="2766"/>
      <c r="H423" s="2766"/>
      <c r="I423" s="2766"/>
      <c r="J423" s="2766"/>
      <c r="K423" s="2820"/>
      <c r="L423" s="2820"/>
      <c r="M423" s="2830"/>
      <c r="N423" s="2830"/>
      <c r="O423" s="2830"/>
      <c r="P423" s="2830"/>
      <c r="Q423" s="2830"/>
      <c r="R423" s="2830"/>
      <c r="S423" s="2830"/>
      <c r="T423" s="2830"/>
      <c r="U423" s="2830"/>
      <c r="V423" s="2830"/>
      <c r="W423" s="2830"/>
      <c r="X423" s="2830"/>
      <c r="Y423" s="2830"/>
      <c r="Z423" s="2830"/>
      <c r="AA423" s="2830"/>
      <c r="AB423" s="2830"/>
      <c r="AC423" s="2830"/>
      <c r="AD423" s="2830"/>
      <c r="AE423" s="2830"/>
      <c r="AF423" s="2830"/>
      <c r="AG423" s="2830"/>
      <c r="AH423" s="2831"/>
      <c r="AI423" s="2830"/>
      <c r="AJ423" s="2830"/>
      <c r="AK423" s="2830"/>
      <c r="AL423" s="2830"/>
      <c r="AM423" s="2830"/>
      <c r="AN423" s="2830"/>
      <c r="AO423" s="2830"/>
      <c r="AP423" s="2830"/>
      <c r="AQ423" s="2830"/>
      <c r="AR423" s="2820"/>
      <c r="AS423" s="2820"/>
      <c r="AT423" s="2820"/>
      <c r="AU423" s="2820"/>
      <c r="AV423" s="2766"/>
      <c r="AY423" s="2766"/>
    </row>
    <row r="424" spans="1:51">
      <c r="A424" s="2766"/>
      <c r="E424" s="2766"/>
      <c r="F424" s="2766"/>
      <c r="G424" s="2766"/>
      <c r="H424" s="2766"/>
      <c r="I424" s="2766"/>
      <c r="J424" s="2766"/>
      <c r="K424" s="2820"/>
      <c r="L424" s="2820"/>
      <c r="M424" s="2830"/>
      <c r="N424" s="2830"/>
      <c r="O424" s="2830"/>
      <c r="P424" s="2830"/>
      <c r="Q424" s="2830"/>
      <c r="R424" s="2830"/>
      <c r="S424" s="2830"/>
      <c r="T424" s="2830"/>
      <c r="U424" s="2830"/>
      <c r="V424" s="2830"/>
      <c r="W424" s="2830"/>
      <c r="X424" s="2830"/>
      <c r="Y424" s="2830"/>
      <c r="Z424" s="2830"/>
      <c r="AA424" s="2830"/>
      <c r="AB424" s="2830"/>
      <c r="AC424" s="2830"/>
      <c r="AD424" s="2830"/>
      <c r="AE424" s="2830"/>
      <c r="AF424" s="2830"/>
      <c r="AG424" s="2830"/>
      <c r="AH424" s="2831"/>
      <c r="AI424" s="2830"/>
      <c r="AJ424" s="2830"/>
      <c r="AK424" s="2830"/>
      <c r="AL424" s="2830"/>
      <c r="AM424" s="2830"/>
      <c r="AN424" s="2830"/>
      <c r="AO424" s="2830"/>
      <c r="AP424" s="2830"/>
      <c r="AQ424" s="2830"/>
      <c r="AR424" s="2820"/>
      <c r="AS424" s="2820"/>
      <c r="AT424" s="2820"/>
      <c r="AU424" s="2820"/>
      <c r="AV424" s="2766"/>
      <c r="AY424" s="2766"/>
    </row>
    <row r="425" spans="1:51">
      <c r="A425" s="2766"/>
      <c r="E425" s="2766"/>
      <c r="F425" s="2766"/>
      <c r="G425" s="2766"/>
      <c r="H425" s="2766"/>
      <c r="I425" s="2766"/>
      <c r="J425" s="2766"/>
      <c r="K425" s="2820"/>
      <c r="L425" s="2820"/>
      <c r="M425" s="2830"/>
      <c r="N425" s="2830"/>
      <c r="O425" s="2830"/>
      <c r="P425" s="2830"/>
      <c r="Q425" s="2830"/>
      <c r="R425" s="2830"/>
      <c r="S425" s="2830"/>
      <c r="T425" s="2830"/>
      <c r="U425" s="2830"/>
      <c r="V425" s="2830"/>
      <c r="W425" s="2830"/>
      <c r="X425" s="2830"/>
      <c r="Y425" s="2830"/>
      <c r="Z425" s="2830"/>
      <c r="AA425" s="2830"/>
      <c r="AB425" s="2830"/>
      <c r="AC425" s="2830"/>
      <c r="AD425" s="2830"/>
      <c r="AE425" s="2830"/>
      <c r="AF425" s="2830"/>
      <c r="AG425" s="2830"/>
      <c r="AH425" s="2831"/>
      <c r="AI425" s="2830"/>
      <c r="AJ425" s="2830"/>
      <c r="AK425" s="2830"/>
      <c r="AL425" s="2830"/>
      <c r="AM425" s="2830"/>
      <c r="AN425" s="2830"/>
      <c r="AO425" s="2830"/>
      <c r="AP425" s="2830"/>
      <c r="AQ425" s="2830"/>
      <c r="AR425" s="2820"/>
      <c r="AS425" s="2820"/>
      <c r="AT425" s="2820"/>
      <c r="AU425" s="2820"/>
      <c r="AV425" s="2766"/>
      <c r="AY425" s="2766"/>
    </row>
    <row r="426" spans="1:51">
      <c r="A426" s="2766"/>
      <c r="E426" s="2766"/>
      <c r="F426" s="2766"/>
      <c r="G426" s="2766"/>
      <c r="H426" s="2766"/>
      <c r="I426" s="2766"/>
      <c r="J426" s="2766"/>
      <c r="K426" s="2820"/>
      <c r="L426" s="2820"/>
      <c r="M426" s="2830"/>
      <c r="N426" s="2830"/>
      <c r="O426" s="2830"/>
      <c r="P426" s="2830"/>
      <c r="Q426" s="2830"/>
      <c r="R426" s="2830"/>
      <c r="S426" s="2830"/>
      <c r="T426" s="2830"/>
      <c r="U426" s="2830"/>
      <c r="V426" s="2830"/>
      <c r="W426" s="2830"/>
      <c r="X426" s="2830"/>
      <c r="Y426" s="2830"/>
      <c r="Z426" s="2830"/>
      <c r="AA426" s="2830"/>
      <c r="AB426" s="2830"/>
      <c r="AC426" s="2830"/>
      <c r="AD426" s="2830"/>
      <c r="AE426" s="2830"/>
      <c r="AF426" s="2830"/>
      <c r="AG426" s="2830"/>
      <c r="AH426" s="2831"/>
      <c r="AI426" s="2830"/>
      <c r="AJ426" s="2830"/>
      <c r="AK426" s="2830"/>
      <c r="AL426" s="2830"/>
      <c r="AM426" s="2830"/>
      <c r="AN426" s="2830"/>
      <c r="AO426" s="2830"/>
      <c r="AP426" s="2830"/>
      <c r="AQ426" s="2830"/>
      <c r="AR426" s="2820"/>
      <c r="AS426" s="2820"/>
      <c r="AT426" s="2820"/>
      <c r="AU426" s="2820"/>
      <c r="AV426" s="2766"/>
      <c r="AY426" s="2766"/>
    </row>
    <row r="427" spans="1:51">
      <c r="A427" s="2766"/>
      <c r="E427" s="2766"/>
      <c r="F427" s="2766"/>
      <c r="G427" s="2766"/>
      <c r="H427" s="2766"/>
      <c r="I427" s="2766"/>
      <c r="J427" s="2766"/>
      <c r="K427" s="2820"/>
      <c r="L427" s="2820"/>
      <c r="M427" s="2830"/>
      <c r="N427" s="2830"/>
      <c r="O427" s="2830"/>
      <c r="P427" s="2830"/>
      <c r="Q427" s="2830"/>
      <c r="R427" s="2830"/>
      <c r="S427" s="2830"/>
      <c r="T427" s="2830"/>
      <c r="U427" s="2830"/>
      <c r="V427" s="2830"/>
      <c r="W427" s="2830"/>
      <c r="X427" s="2830"/>
      <c r="Y427" s="2830"/>
      <c r="Z427" s="2830"/>
      <c r="AA427" s="2830"/>
      <c r="AB427" s="2830"/>
      <c r="AC427" s="2830"/>
      <c r="AD427" s="2830"/>
      <c r="AE427" s="2830"/>
      <c r="AF427" s="2830"/>
      <c r="AG427" s="2830"/>
      <c r="AH427" s="2831"/>
      <c r="AI427" s="2830"/>
      <c r="AJ427" s="2830"/>
      <c r="AK427" s="2830"/>
      <c r="AL427" s="2830"/>
      <c r="AM427" s="2830"/>
      <c r="AN427" s="2830"/>
      <c r="AO427" s="2830"/>
      <c r="AP427" s="2830"/>
      <c r="AQ427" s="2830"/>
      <c r="AR427" s="2820"/>
      <c r="AS427" s="2820"/>
      <c r="AT427" s="2820"/>
      <c r="AU427" s="2820"/>
      <c r="AV427" s="2766"/>
      <c r="AY427" s="2766"/>
    </row>
    <row r="428" spans="1:51">
      <c r="A428" s="2766"/>
      <c r="E428" s="2766"/>
      <c r="F428" s="2766"/>
      <c r="G428" s="2766"/>
      <c r="H428" s="2766"/>
      <c r="I428" s="2766"/>
      <c r="J428" s="2766"/>
      <c r="K428" s="2820"/>
      <c r="L428" s="2820"/>
      <c r="M428" s="2830"/>
      <c r="N428" s="2830"/>
      <c r="O428" s="2830"/>
      <c r="P428" s="2830"/>
      <c r="Q428" s="2830"/>
      <c r="R428" s="2830"/>
      <c r="S428" s="2830"/>
      <c r="T428" s="2830"/>
      <c r="U428" s="2830"/>
      <c r="V428" s="2830"/>
      <c r="W428" s="2830"/>
      <c r="X428" s="2830"/>
      <c r="Y428" s="2830"/>
      <c r="Z428" s="2830"/>
      <c r="AA428" s="2830"/>
      <c r="AB428" s="2830"/>
      <c r="AC428" s="2830"/>
      <c r="AD428" s="2830"/>
      <c r="AE428" s="2830"/>
      <c r="AF428" s="2830"/>
      <c r="AG428" s="2830"/>
      <c r="AH428" s="2831"/>
      <c r="AI428" s="2830"/>
      <c r="AJ428" s="2830"/>
      <c r="AK428" s="2830"/>
      <c r="AL428" s="2830"/>
      <c r="AM428" s="2830"/>
      <c r="AN428" s="2830"/>
      <c r="AO428" s="2830"/>
      <c r="AP428" s="2830"/>
      <c r="AQ428" s="2830"/>
      <c r="AR428" s="2820"/>
      <c r="AS428" s="2820"/>
      <c r="AT428" s="2820"/>
      <c r="AU428" s="2820"/>
      <c r="AV428" s="2766"/>
      <c r="AY428" s="2766"/>
    </row>
    <row r="429" spans="1:51">
      <c r="A429" s="2766"/>
      <c r="E429" s="2766"/>
      <c r="F429" s="2766"/>
      <c r="G429" s="2766"/>
      <c r="H429" s="2766"/>
      <c r="I429" s="2766"/>
      <c r="J429" s="2766"/>
      <c r="K429" s="2820"/>
      <c r="L429" s="2820"/>
      <c r="M429" s="2830"/>
      <c r="N429" s="2830"/>
      <c r="O429" s="2830"/>
      <c r="P429" s="2830"/>
      <c r="Q429" s="2830"/>
      <c r="R429" s="2830"/>
      <c r="S429" s="2830"/>
      <c r="T429" s="2830"/>
      <c r="U429" s="2830"/>
      <c r="V429" s="2830"/>
      <c r="W429" s="2830"/>
      <c r="X429" s="2830"/>
      <c r="Y429" s="2830"/>
      <c r="Z429" s="2830"/>
      <c r="AA429" s="2830"/>
      <c r="AB429" s="2830"/>
      <c r="AC429" s="2830"/>
      <c r="AD429" s="2830"/>
      <c r="AE429" s="2830"/>
      <c r="AF429" s="2830"/>
      <c r="AG429" s="2830"/>
      <c r="AH429" s="2831"/>
      <c r="AI429" s="2830"/>
      <c r="AJ429" s="2830"/>
      <c r="AK429" s="2830"/>
      <c r="AL429" s="2830"/>
      <c r="AM429" s="2830"/>
      <c r="AN429" s="2830"/>
      <c r="AO429" s="2830"/>
      <c r="AP429" s="2830"/>
      <c r="AQ429" s="2830"/>
      <c r="AR429" s="2820"/>
      <c r="AS429" s="2820"/>
      <c r="AT429" s="2820"/>
      <c r="AU429" s="2820"/>
      <c r="AV429" s="2766"/>
      <c r="AY429" s="2766"/>
    </row>
    <row r="430" spans="1:51">
      <c r="A430" s="2766"/>
      <c r="E430" s="2766"/>
      <c r="F430" s="2766"/>
      <c r="G430" s="2766"/>
      <c r="H430" s="2766"/>
      <c r="I430" s="2766"/>
      <c r="J430" s="2766"/>
      <c r="K430" s="2820"/>
      <c r="L430" s="2820"/>
      <c r="M430" s="2830"/>
      <c r="N430" s="2830"/>
      <c r="O430" s="2830"/>
      <c r="P430" s="2830"/>
      <c r="Q430" s="2830"/>
      <c r="R430" s="2830"/>
      <c r="S430" s="2830"/>
      <c r="T430" s="2830"/>
      <c r="U430" s="2830"/>
      <c r="V430" s="2830"/>
      <c r="W430" s="2830"/>
      <c r="X430" s="2830"/>
      <c r="Y430" s="2830"/>
      <c r="Z430" s="2830"/>
      <c r="AA430" s="2830"/>
      <c r="AB430" s="2830"/>
      <c r="AC430" s="2830"/>
      <c r="AD430" s="2830"/>
      <c r="AE430" s="2830"/>
      <c r="AF430" s="2830"/>
      <c r="AG430" s="2830"/>
      <c r="AH430" s="2831"/>
      <c r="AI430" s="2830"/>
      <c r="AJ430" s="2830"/>
      <c r="AK430" s="2830"/>
      <c r="AL430" s="2830"/>
      <c r="AM430" s="2830"/>
      <c r="AN430" s="2830"/>
      <c r="AO430" s="2830"/>
      <c r="AP430" s="2830"/>
      <c r="AQ430" s="2830"/>
      <c r="AR430" s="2820"/>
      <c r="AS430" s="2820"/>
      <c r="AT430" s="2820"/>
      <c r="AU430" s="2820"/>
      <c r="AV430" s="2766"/>
      <c r="AY430" s="2766"/>
    </row>
    <row r="431" spans="1:51">
      <c r="A431" s="2766"/>
      <c r="E431" s="2766"/>
      <c r="F431" s="2766"/>
      <c r="G431" s="2766"/>
      <c r="H431" s="2766"/>
      <c r="I431" s="2766"/>
      <c r="J431" s="2766"/>
      <c r="K431" s="2820"/>
      <c r="L431" s="2820"/>
      <c r="M431" s="2830"/>
      <c r="N431" s="2830"/>
      <c r="O431" s="2830"/>
      <c r="P431" s="2830"/>
      <c r="Q431" s="2830"/>
      <c r="R431" s="2830"/>
      <c r="S431" s="2830"/>
      <c r="T431" s="2830"/>
      <c r="U431" s="2830"/>
      <c r="V431" s="2830"/>
      <c r="W431" s="2830"/>
      <c r="X431" s="2830"/>
      <c r="Y431" s="2830"/>
      <c r="Z431" s="2830"/>
      <c r="AA431" s="2830"/>
      <c r="AB431" s="2830"/>
      <c r="AC431" s="2830"/>
      <c r="AD431" s="2830"/>
      <c r="AE431" s="2830"/>
      <c r="AF431" s="2830"/>
      <c r="AG431" s="2830"/>
      <c r="AH431" s="2831"/>
      <c r="AI431" s="2830"/>
      <c r="AJ431" s="2830"/>
      <c r="AK431" s="2830"/>
      <c r="AL431" s="2830"/>
      <c r="AM431" s="2830"/>
      <c r="AN431" s="2830"/>
      <c r="AO431" s="2830"/>
      <c r="AP431" s="2830"/>
      <c r="AQ431" s="2830"/>
      <c r="AR431" s="2820"/>
      <c r="AS431" s="2820"/>
      <c r="AT431" s="2820"/>
      <c r="AU431" s="2820"/>
      <c r="AV431" s="2766"/>
      <c r="AY431" s="2766"/>
    </row>
    <row r="432" spans="1:51">
      <c r="A432" s="2766"/>
      <c r="E432" s="2766"/>
      <c r="F432" s="2766"/>
      <c r="G432" s="2766"/>
      <c r="H432" s="2766"/>
      <c r="I432" s="2766"/>
      <c r="J432" s="2766"/>
      <c r="K432" s="2820"/>
      <c r="L432" s="2820"/>
      <c r="M432" s="2830"/>
      <c r="N432" s="2830"/>
      <c r="O432" s="2830"/>
      <c r="P432" s="2830"/>
      <c r="Q432" s="2830"/>
      <c r="R432" s="2830"/>
      <c r="S432" s="2830"/>
      <c r="T432" s="2830"/>
      <c r="U432" s="2830"/>
      <c r="V432" s="2830"/>
      <c r="W432" s="2830"/>
      <c r="X432" s="2830"/>
      <c r="Y432" s="2830"/>
      <c r="Z432" s="2830"/>
      <c r="AA432" s="2830"/>
      <c r="AB432" s="2830"/>
      <c r="AC432" s="2830"/>
      <c r="AD432" s="2830"/>
      <c r="AE432" s="2830"/>
      <c r="AF432" s="2830"/>
      <c r="AG432" s="2830"/>
      <c r="AH432" s="2831"/>
      <c r="AI432" s="2830"/>
      <c r="AJ432" s="2830"/>
      <c r="AK432" s="2830"/>
      <c r="AL432" s="2830"/>
      <c r="AM432" s="2830"/>
      <c r="AN432" s="2830"/>
      <c r="AO432" s="2830"/>
      <c r="AP432" s="2830"/>
      <c r="AQ432" s="2830"/>
      <c r="AR432" s="2820"/>
      <c r="AS432" s="2820"/>
      <c r="AT432" s="2820"/>
      <c r="AU432" s="2820"/>
      <c r="AV432" s="2766"/>
      <c r="AY432" s="2766"/>
    </row>
    <row r="433" spans="1:51">
      <c r="A433" s="2766"/>
      <c r="E433" s="2766"/>
      <c r="F433" s="2766"/>
      <c r="G433" s="2766"/>
      <c r="H433" s="2766"/>
      <c r="I433" s="2766"/>
      <c r="J433" s="2766"/>
      <c r="K433" s="2820"/>
      <c r="L433" s="2820"/>
      <c r="M433" s="2830"/>
      <c r="N433" s="2830"/>
      <c r="O433" s="2830"/>
      <c r="P433" s="2830"/>
      <c r="Q433" s="2830"/>
      <c r="R433" s="2830"/>
      <c r="S433" s="2830"/>
      <c r="T433" s="2830"/>
      <c r="U433" s="2830"/>
      <c r="V433" s="2830"/>
      <c r="W433" s="2830"/>
      <c r="X433" s="2830"/>
      <c r="Y433" s="2830"/>
      <c r="Z433" s="2830"/>
      <c r="AA433" s="2830"/>
      <c r="AB433" s="2830"/>
      <c r="AC433" s="2830"/>
      <c r="AD433" s="2830"/>
      <c r="AE433" s="2830"/>
      <c r="AF433" s="2830"/>
      <c r="AG433" s="2830"/>
      <c r="AH433" s="2831"/>
      <c r="AI433" s="2830"/>
      <c r="AJ433" s="2830"/>
      <c r="AK433" s="2830"/>
      <c r="AL433" s="2830"/>
      <c r="AM433" s="2830"/>
      <c r="AN433" s="2830"/>
      <c r="AO433" s="2830"/>
      <c r="AP433" s="2830"/>
      <c r="AQ433" s="2830"/>
      <c r="AR433" s="2820"/>
      <c r="AS433" s="2820"/>
      <c r="AT433" s="2820"/>
      <c r="AU433" s="2820"/>
      <c r="AV433" s="2766"/>
      <c r="AY433" s="2766"/>
    </row>
    <row r="434" spans="1:51">
      <c r="A434" s="2766"/>
      <c r="E434" s="2766"/>
      <c r="F434" s="2766"/>
      <c r="G434" s="2766"/>
      <c r="H434" s="2766"/>
      <c r="I434" s="2766"/>
      <c r="J434" s="2766"/>
      <c r="K434" s="2820"/>
      <c r="L434" s="2820"/>
      <c r="M434" s="2830"/>
      <c r="N434" s="2830"/>
      <c r="O434" s="2830"/>
      <c r="P434" s="2830"/>
      <c r="Q434" s="2830"/>
      <c r="R434" s="2830"/>
      <c r="S434" s="2830"/>
      <c r="T434" s="2830"/>
      <c r="U434" s="2830"/>
      <c r="V434" s="2830"/>
      <c r="W434" s="2830"/>
      <c r="X434" s="2830"/>
      <c r="Y434" s="2830"/>
      <c r="Z434" s="2830"/>
      <c r="AA434" s="2830"/>
      <c r="AB434" s="2830"/>
      <c r="AC434" s="2830"/>
      <c r="AD434" s="2830"/>
      <c r="AE434" s="2830"/>
      <c r="AF434" s="2830"/>
      <c r="AG434" s="2830"/>
      <c r="AH434" s="2831"/>
      <c r="AI434" s="2830"/>
      <c r="AJ434" s="2830"/>
      <c r="AK434" s="2830"/>
      <c r="AL434" s="2830"/>
      <c r="AM434" s="2830"/>
      <c r="AN434" s="2830"/>
      <c r="AO434" s="2830"/>
      <c r="AP434" s="2830"/>
      <c r="AQ434" s="2830"/>
      <c r="AR434" s="2820"/>
      <c r="AS434" s="2820"/>
      <c r="AT434" s="2820"/>
      <c r="AU434" s="2820"/>
      <c r="AV434" s="2766"/>
      <c r="AY434" s="2766"/>
    </row>
    <row r="435" spans="1:51">
      <c r="A435" s="2766"/>
      <c r="E435" s="2766"/>
      <c r="F435" s="2766"/>
      <c r="G435" s="2766"/>
      <c r="H435" s="2766"/>
      <c r="I435" s="2766"/>
      <c r="J435" s="2766"/>
      <c r="K435" s="2820"/>
      <c r="L435" s="2820"/>
      <c r="M435" s="2830"/>
      <c r="N435" s="2830"/>
      <c r="O435" s="2830"/>
      <c r="P435" s="2830"/>
      <c r="Q435" s="2830"/>
      <c r="R435" s="2830"/>
      <c r="S435" s="2830"/>
      <c r="T435" s="2830"/>
      <c r="U435" s="2830"/>
      <c r="V435" s="2830"/>
      <c r="W435" s="2830"/>
      <c r="X435" s="2830"/>
      <c r="Y435" s="2830"/>
      <c r="Z435" s="2830"/>
      <c r="AA435" s="2830"/>
      <c r="AB435" s="2830"/>
      <c r="AC435" s="2830"/>
      <c r="AD435" s="2830"/>
      <c r="AE435" s="2830"/>
      <c r="AF435" s="2830"/>
      <c r="AG435" s="2830"/>
      <c r="AH435" s="2831"/>
      <c r="AI435" s="2830"/>
      <c r="AJ435" s="2830"/>
      <c r="AK435" s="2830"/>
      <c r="AL435" s="2830"/>
      <c r="AM435" s="2830"/>
      <c r="AN435" s="2830"/>
      <c r="AO435" s="2830"/>
      <c r="AP435" s="2830"/>
      <c r="AQ435" s="2830"/>
      <c r="AR435" s="2820"/>
      <c r="AS435" s="2820"/>
      <c r="AT435" s="2820"/>
      <c r="AU435" s="2820"/>
      <c r="AV435" s="2766"/>
      <c r="AY435" s="2766"/>
    </row>
    <row r="436" spans="1:51">
      <c r="A436" s="2766"/>
      <c r="E436" s="2766"/>
      <c r="F436" s="2766"/>
      <c r="G436" s="2766"/>
      <c r="H436" s="2766"/>
      <c r="I436" s="2766"/>
      <c r="J436" s="2766"/>
      <c r="K436" s="2820"/>
      <c r="L436" s="2820"/>
      <c r="M436" s="2830"/>
      <c r="N436" s="2830"/>
      <c r="O436" s="2830"/>
      <c r="P436" s="2830"/>
      <c r="Q436" s="2830"/>
      <c r="R436" s="2830"/>
      <c r="S436" s="2830"/>
      <c r="T436" s="2830"/>
      <c r="U436" s="2830"/>
      <c r="V436" s="2830"/>
      <c r="W436" s="2830"/>
      <c r="X436" s="2830"/>
      <c r="Y436" s="2830"/>
      <c r="Z436" s="2830"/>
      <c r="AA436" s="2830"/>
      <c r="AB436" s="2830"/>
      <c r="AC436" s="2830"/>
      <c r="AD436" s="2830"/>
      <c r="AE436" s="2830"/>
      <c r="AF436" s="2830"/>
      <c r="AG436" s="2830"/>
      <c r="AH436" s="2831"/>
      <c r="AI436" s="2830"/>
      <c r="AJ436" s="2830"/>
      <c r="AK436" s="2830"/>
      <c r="AL436" s="2830"/>
      <c r="AM436" s="2830"/>
      <c r="AN436" s="2830"/>
      <c r="AO436" s="2830"/>
      <c r="AP436" s="2830"/>
      <c r="AQ436" s="2830"/>
      <c r="AR436" s="2820"/>
      <c r="AS436" s="2820"/>
      <c r="AT436" s="2820"/>
      <c r="AU436" s="2820"/>
      <c r="AV436" s="2766"/>
      <c r="AY436" s="2766"/>
    </row>
    <row r="437" spans="1:51">
      <c r="A437" s="2766"/>
      <c r="E437" s="2766"/>
      <c r="F437" s="2766"/>
      <c r="G437" s="2766"/>
      <c r="H437" s="2766"/>
      <c r="I437" s="2766"/>
      <c r="J437" s="2766"/>
      <c r="K437" s="2820"/>
      <c r="L437" s="2820"/>
      <c r="M437" s="2830"/>
      <c r="N437" s="2830"/>
      <c r="O437" s="2830"/>
      <c r="P437" s="2830"/>
      <c r="Q437" s="2830"/>
      <c r="R437" s="2830"/>
      <c r="S437" s="2830"/>
      <c r="T437" s="2830"/>
      <c r="U437" s="2830"/>
      <c r="V437" s="2830"/>
      <c r="W437" s="2830"/>
      <c r="X437" s="2830"/>
      <c r="Y437" s="2830"/>
      <c r="Z437" s="2830"/>
      <c r="AA437" s="2830"/>
      <c r="AB437" s="2830"/>
      <c r="AC437" s="2830"/>
      <c r="AD437" s="2830"/>
      <c r="AE437" s="2830"/>
      <c r="AF437" s="2830"/>
      <c r="AG437" s="2830"/>
      <c r="AH437" s="2831"/>
      <c r="AI437" s="2830"/>
      <c r="AJ437" s="2830"/>
      <c r="AK437" s="2830"/>
      <c r="AL437" s="2830"/>
      <c r="AM437" s="2830"/>
      <c r="AN437" s="2830"/>
      <c r="AO437" s="2830"/>
      <c r="AP437" s="2830"/>
      <c r="AQ437" s="2830"/>
      <c r="AR437" s="2820"/>
      <c r="AS437" s="2820"/>
      <c r="AT437" s="2820"/>
      <c r="AU437" s="2820"/>
      <c r="AV437" s="2766"/>
      <c r="AY437" s="2766"/>
    </row>
    <row r="438" spans="1:51">
      <c r="A438" s="2766"/>
      <c r="E438" s="2766"/>
      <c r="F438" s="2766"/>
      <c r="G438" s="2766"/>
      <c r="H438" s="2766"/>
      <c r="I438" s="2766"/>
      <c r="J438" s="2766"/>
      <c r="K438" s="2820"/>
      <c r="L438" s="2820"/>
      <c r="M438" s="2830"/>
      <c r="N438" s="2830"/>
      <c r="O438" s="2830"/>
      <c r="P438" s="2830"/>
      <c r="Q438" s="2830"/>
      <c r="R438" s="2830"/>
      <c r="S438" s="2830"/>
      <c r="T438" s="2830"/>
      <c r="U438" s="2830"/>
      <c r="V438" s="2830"/>
      <c r="W438" s="2830"/>
      <c r="X438" s="2830"/>
      <c r="Y438" s="2830"/>
      <c r="Z438" s="2830"/>
      <c r="AA438" s="2830"/>
      <c r="AB438" s="2830"/>
      <c r="AC438" s="2830"/>
      <c r="AD438" s="2830"/>
      <c r="AE438" s="2830"/>
      <c r="AF438" s="2830"/>
      <c r="AG438" s="2830"/>
      <c r="AH438" s="2831"/>
      <c r="AI438" s="2830"/>
      <c r="AJ438" s="2830"/>
      <c r="AK438" s="2830"/>
      <c r="AL438" s="2830"/>
      <c r="AM438" s="2830"/>
      <c r="AN438" s="2830"/>
      <c r="AO438" s="2830"/>
      <c r="AP438" s="2830"/>
      <c r="AQ438" s="2830"/>
      <c r="AR438" s="2820"/>
      <c r="AS438" s="2820"/>
      <c r="AT438" s="2820"/>
      <c r="AU438" s="2820"/>
      <c r="AV438" s="2766"/>
      <c r="AY438" s="2766"/>
    </row>
    <row r="439" spans="1:51">
      <c r="A439" s="2766"/>
      <c r="E439" s="2766"/>
      <c r="F439" s="2766"/>
      <c r="G439" s="2766"/>
      <c r="H439" s="2766"/>
      <c r="I439" s="2766"/>
      <c r="J439" s="2766"/>
      <c r="K439" s="2820"/>
      <c r="L439" s="2820"/>
      <c r="M439" s="2830"/>
      <c r="N439" s="2830"/>
      <c r="O439" s="2830"/>
      <c r="P439" s="2830"/>
      <c r="Q439" s="2830"/>
      <c r="R439" s="2830"/>
      <c r="S439" s="2830"/>
      <c r="T439" s="2830"/>
      <c r="U439" s="2830"/>
      <c r="V439" s="2830"/>
      <c r="W439" s="2830"/>
      <c r="X439" s="2830"/>
      <c r="Y439" s="2830"/>
      <c r="Z439" s="2830"/>
      <c r="AA439" s="2830"/>
      <c r="AB439" s="2830"/>
      <c r="AC439" s="2830"/>
      <c r="AD439" s="2830"/>
      <c r="AE439" s="2830"/>
      <c r="AF439" s="2830"/>
      <c r="AG439" s="2830"/>
      <c r="AH439" s="2831"/>
      <c r="AI439" s="2830"/>
      <c r="AJ439" s="2830"/>
      <c r="AK439" s="2830"/>
      <c r="AL439" s="2830"/>
      <c r="AM439" s="2830"/>
      <c r="AN439" s="2830"/>
      <c r="AO439" s="2830"/>
      <c r="AP439" s="2830"/>
      <c r="AQ439" s="2830"/>
      <c r="AR439" s="2820"/>
      <c r="AS439" s="2820"/>
      <c r="AT439" s="2820"/>
      <c r="AU439" s="2820"/>
      <c r="AV439" s="2766"/>
      <c r="AY439" s="2766"/>
    </row>
    <row r="440" spans="1:51">
      <c r="A440" s="2766"/>
      <c r="E440" s="2766"/>
      <c r="F440" s="2766"/>
      <c r="G440" s="2766"/>
      <c r="H440" s="2766"/>
      <c r="I440" s="2766"/>
      <c r="J440" s="2766"/>
      <c r="K440" s="2820"/>
      <c r="L440" s="2820"/>
      <c r="M440" s="2830"/>
      <c r="N440" s="2830"/>
      <c r="O440" s="2830"/>
      <c r="P440" s="2830"/>
      <c r="Q440" s="2830"/>
      <c r="R440" s="2830"/>
      <c r="S440" s="2830"/>
      <c r="T440" s="2830"/>
      <c r="U440" s="2830"/>
      <c r="V440" s="2830"/>
      <c r="W440" s="2830"/>
      <c r="X440" s="2830"/>
      <c r="Y440" s="2830"/>
      <c r="Z440" s="2830"/>
      <c r="AA440" s="2830"/>
      <c r="AB440" s="2830"/>
      <c r="AC440" s="2830"/>
      <c r="AD440" s="2830"/>
      <c r="AE440" s="2830"/>
      <c r="AF440" s="2830"/>
      <c r="AG440" s="2830"/>
      <c r="AH440" s="2831"/>
      <c r="AI440" s="2830"/>
      <c r="AJ440" s="2830"/>
      <c r="AK440" s="2830"/>
      <c r="AL440" s="2830"/>
      <c r="AM440" s="2830"/>
      <c r="AN440" s="2830"/>
      <c r="AO440" s="2830"/>
      <c r="AP440" s="2830"/>
      <c r="AQ440" s="2830"/>
      <c r="AR440" s="2820"/>
      <c r="AS440" s="2820"/>
      <c r="AT440" s="2820"/>
      <c r="AU440" s="2820"/>
      <c r="AV440" s="2766"/>
      <c r="AY440" s="2766"/>
    </row>
    <row r="441" spans="1:51">
      <c r="A441" s="2766"/>
      <c r="E441" s="2766"/>
      <c r="F441" s="2766"/>
      <c r="G441" s="2766"/>
      <c r="H441" s="2766"/>
      <c r="I441" s="2766"/>
      <c r="J441" s="2766"/>
      <c r="K441" s="2820"/>
      <c r="L441" s="2820"/>
      <c r="M441" s="2830"/>
      <c r="N441" s="2830"/>
      <c r="O441" s="2830"/>
      <c r="P441" s="2830"/>
      <c r="Q441" s="2830"/>
      <c r="R441" s="2830"/>
      <c r="S441" s="2830"/>
      <c r="T441" s="2830"/>
      <c r="U441" s="2830"/>
      <c r="V441" s="2830"/>
      <c r="W441" s="2830"/>
      <c r="X441" s="2830"/>
      <c r="Y441" s="2830"/>
      <c r="Z441" s="2830"/>
      <c r="AA441" s="2830"/>
      <c r="AB441" s="2830"/>
      <c r="AC441" s="2830"/>
      <c r="AD441" s="2830"/>
      <c r="AE441" s="2830"/>
      <c r="AF441" s="2830"/>
      <c r="AG441" s="2830"/>
      <c r="AH441" s="2831"/>
      <c r="AI441" s="2830"/>
      <c r="AJ441" s="2830"/>
      <c r="AK441" s="2830"/>
      <c r="AL441" s="2830"/>
      <c r="AM441" s="2830"/>
      <c r="AN441" s="2830"/>
      <c r="AO441" s="2830"/>
      <c r="AP441" s="2830"/>
      <c r="AQ441" s="2830"/>
      <c r="AR441" s="2820"/>
      <c r="AS441" s="2820"/>
      <c r="AT441" s="2820"/>
      <c r="AU441" s="2820"/>
      <c r="AV441" s="2766"/>
      <c r="AY441" s="2766"/>
    </row>
    <row r="442" spans="1:51">
      <c r="A442" s="2766"/>
      <c r="E442" s="2766"/>
      <c r="F442" s="2766"/>
      <c r="G442" s="2766"/>
      <c r="H442" s="2766"/>
      <c r="I442" s="2766"/>
      <c r="J442" s="2766"/>
      <c r="K442" s="2820"/>
      <c r="L442" s="2820"/>
      <c r="M442" s="2830"/>
      <c r="N442" s="2830"/>
      <c r="O442" s="2830"/>
      <c r="P442" s="2830"/>
      <c r="Q442" s="2830"/>
      <c r="R442" s="2830"/>
      <c r="S442" s="2830"/>
      <c r="T442" s="2830"/>
      <c r="U442" s="2830"/>
      <c r="V442" s="2830"/>
      <c r="W442" s="2830"/>
      <c r="X442" s="2830"/>
      <c r="Y442" s="2830"/>
      <c r="Z442" s="2830"/>
      <c r="AA442" s="2830"/>
      <c r="AB442" s="2830"/>
      <c r="AC442" s="2830"/>
      <c r="AD442" s="2830"/>
      <c r="AE442" s="2830"/>
      <c r="AF442" s="2830"/>
      <c r="AG442" s="2830"/>
      <c r="AH442" s="2831"/>
      <c r="AI442" s="2830"/>
      <c r="AJ442" s="2830"/>
      <c r="AK442" s="2830"/>
      <c r="AL442" s="2830"/>
      <c r="AM442" s="2830"/>
      <c r="AN442" s="2830"/>
      <c r="AO442" s="2830"/>
      <c r="AP442" s="2830"/>
      <c r="AQ442" s="2830"/>
      <c r="AR442" s="2820"/>
      <c r="AS442" s="2820"/>
      <c r="AT442" s="2820"/>
      <c r="AU442" s="2820"/>
      <c r="AV442" s="2766"/>
      <c r="AY442" s="2766"/>
    </row>
    <row r="443" spans="1:51">
      <c r="A443" s="2766"/>
      <c r="E443" s="2766"/>
      <c r="F443" s="2766"/>
      <c r="G443" s="2766"/>
      <c r="H443" s="2766"/>
      <c r="I443" s="2766"/>
      <c r="J443" s="2766"/>
      <c r="K443" s="2820"/>
      <c r="L443" s="2820"/>
      <c r="M443" s="2830"/>
      <c r="N443" s="2830"/>
      <c r="O443" s="2830"/>
      <c r="P443" s="2830"/>
      <c r="Q443" s="2830"/>
      <c r="R443" s="2830"/>
      <c r="S443" s="2830"/>
      <c r="T443" s="2830"/>
      <c r="U443" s="2830"/>
      <c r="V443" s="2830"/>
      <c r="W443" s="2830"/>
      <c r="X443" s="2830"/>
      <c r="Y443" s="2830"/>
      <c r="Z443" s="2830"/>
      <c r="AA443" s="2830"/>
      <c r="AB443" s="2830"/>
      <c r="AC443" s="2830"/>
      <c r="AD443" s="2830"/>
      <c r="AE443" s="2830"/>
      <c r="AF443" s="2830"/>
      <c r="AG443" s="2830"/>
      <c r="AH443" s="2831"/>
      <c r="AI443" s="2830"/>
      <c r="AJ443" s="2830"/>
      <c r="AK443" s="2830"/>
      <c r="AL443" s="2830"/>
      <c r="AM443" s="2830"/>
      <c r="AN443" s="2830"/>
      <c r="AO443" s="2830"/>
      <c r="AP443" s="2830"/>
      <c r="AQ443" s="2830"/>
      <c r="AR443" s="2820"/>
      <c r="AS443" s="2820"/>
      <c r="AT443" s="2820"/>
      <c r="AU443" s="2820"/>
      <c r="AV443" s="2766"/>
      <c r="AY443" s="2766"/>
    </row>
    <row r="444" spans="1:51">
      <c r="A444" s="2766"/>
      <c r="E444" s="2766"/>
      <c r="F444" s="2766"/>
      <c r="G444" s="2766"/>
      <c r="H444" s="2766"/>
      <c r="I444" s="2766"/>
      <c r="J444" s="2766"/>
      <c r="K444" s="2820"/>
      <c r="L444" s="2820"/>
      <c r="M444" s="2830"/>
      <c r="N444" s="2830"/>
      <c r="O444" s="2830"/>
      <c r="P444" s="2830"/>
      <c r="Q444" s="2830"/>
      <c r="R444" s="2830"/>
      <c r="S444" s="2830"/>
      <c r="T444" s="2830"/>
      <c r="U444" s="2830"/>
      <c r="V444" s="2830"/>
      <c r="W444" s="2830"/>
      <c r="X444" s="2830"/>
      <c r="Y444" s="2830"/>
      <c r="Z444" s="2830"/>
      <c r="AA444" s="2830"/>
      <c r="AB444" s="2830"/>
      <c r="AC444" s="2830"/>
      <c r="AD444" s="2830"/>
      <c r="AE444" s="2830"/>
      <c r="AF444" s="2830"/>
      <c r="AG444" s="2830"/>
      <c r="AH444" s="2831"/>
      <c r="AI444" s="2830"/>
      <c r="AJ444" s="2830"/>
      <c r="AK444" s="2830"/>
      <c r="AL444" s="2830"/>
      <c r="AM444" s="2830"/>
      <c r="AN444" s="2830"/>
      <c r="AO444" s="2830"/>
      <c r="AP444" s="2830"/>
      <c r="AQ444" s="2830"/>
      <c r="AR444" s="2820"/>
      <c r="AS444" s="2820"/>
      <c r="AT444" s="2820"/>
      <c r="AU444" s="2820"/>
      <c r="AV444" s="2766"/>
      <c r="AY444" s="2766"/>
    </row>
    <row r="445" spans="1:51">
      <c r="A445" s="2766"/>
      <c r="E445" s="2766"/>
      <c r="F445" s="2766"/>
      <c r="G445" s="2766"/>
      <c r="H445" s="2766"/>
      <c r="I445" s="2766"/>
      <c r="J445" s="2766"/>
      <c r="K445" s="2820"/>
      <c r="L445" s="2820"/>
      <c r="M445" s="2830"/>
      <c r="N445" s="2830"/>
      <c r="O445" s="2830"/>
      <c r="P445" s="2830"/>
      <c r="Q445" s="2830"/>
      <c r="R445" s="2830"/>
      <c r="S445" s="2830"/>
      <c r="T445" s="2830"/>
      <c r="U445" s="2830"/>
      <c r="V445" s="2830"/>
      <c r="W445" s="2830"/>
      <c r="X445" s="2830"/>
      <c r="Y445" s="2830"/>
      <c r="Z445" s="2830"/>
      <c r="AA445" s="2830"/>
      <c r="AB445" s="2830"/>
      <c r="AC445" s="2830"/>
      <c r="AD445" s="2830"/>
      <c r="AE445" s="2830"/>
      <c r="AF445" s="2830"/>
      <c r="AG445" s="2830"/>
      <c r="AH445" s="2831"/>
      <c r="AI445" s="2830"/>
      <c r="AJ445" s="2830"/>
      <c r="AK445" s="2830"/>
      <c r="AL445" s="2830"/>
      <c r="AM445" s="2830"/>
      <c r="AN445" s="2830"/>
      <c r="AO445" s="2830"/>
      <c r="AP445" s="2830"/>
      <c r="AQ445" s="2830"/>
      <c r="AR445" s="2820"/>
      <c r="AS445" s="2820"/>
      <c r="AT445" s="2820"/>
      <c r="AU445" s="2820"/>
      <c r="AV445" s="2766"/>
      <c r="AY445" s="2766"/>
    </row>
    <row r="446" spans="1:51">
      <c r="A446" s="2766"/>
      <c r="E446" s="2766"/>
      <c r="F446" s="2766"/>
      <c r="G446" s="2766"/>
      <c r="H446" s="2766"/>
      <c r="I446" s="2766"/>
      <c r="J446" s="2766"/>
      <c r="K446" s="2820"/>
      <c r="L446" s="2820"/>
      <c r="M446" s="2830"/>
      <c r="N446" s="2830"/>
      <c r="O446" s="2830"/>
      <c r="P446" s="2830"/>
      <c r="Q446" s="2830"/>
      <c r="R446" s="2830"/>
      <c r="S446" s="2830"/>
      <c r="T446" s="2830"/>
      <c r="U446" s="2830"/>
      <c r="V446" s="2830"/>
      <c r="W446" s="2830"/>
      <c r="X446" s="2830"/>
      <c r="Y446" s="2830"/>
      <c r="Z446" s="2830"/>
      <c r="AA446" s="2830"/>
      <c r="AB446" s="2830"/>
      <c r="AC446" s="2830"/>
      <c r="AD446" s="2830"/>
      <c r="AE446" s="2830"/>
      <c r="AF446" s="2830"/>
      <c r="AG446" s="2830"/>
      <c r="AH446" s="2831"/>
      <c r="AI446" s="2830"/>
      <c r="AJ446" s="2830"/>
      <c r="AK446" s="2830"/>
      <c r="AL446" s="2830"/>
      <c r="AM446" s="2830"/>
      <c r="AN446" s="2830"/>
      <c r="AO446" s="2830"/>
      <c r="AP446" s="2830"/>
      <c r="AQ446" s="2830"/>
      <c r="AR446" s="2820"/>
      <c r="AS446" s="2820"/>
      <c r="AT446" s="2820"/>
      <c r="AU446" s="2820"/>
      <c r="AV446" s="2766"/>
      <c r="AY446" s="2766"/>
    </row>
    <row r="447" spans="1:51">
      <c r="A447" s="2766"/>
      <c r="E447" s="2766"/>
      <c r="F447" s="2766"/>
      <c r="G447" s="2766"/>
      <c r="H447" s="2766"/>
      <c r="I447" s="2766"/>
      <c r="J447" s="2766"/>
      <c r="K447" s="2820"/>
      <c r="L447" s="2820"/>
      <c r="M447" s="2830"/>
      <c r="N447" s="2830"/>
      <c r="O447" s="2830"/>
      <c r="P447" s="2830"/>
      <c r="Q447" s="2830"/>
      <c r="R447" s="2830"/>
      <c r="S447" s="2830"/>
      <c r="T447" s="2830"/>
      <c r="U447" s="2830"/>
      <c r="V447" s="2830"/>
      <c r="W447" s="2830"/>
      <c r="X447" s="2830"/>
      <c r="Y447" s="2830"/>
      <c r="Z447" s="2830"/>
      <c r="AA447" s="2830"/>
      <c r="AB447" s="2830"/>
      <c r="AC447" s="2830"/>
      <c r="AD447" s="2830"/>
      <c r="AE447" s="2830"/>
      <c r="AF447" s="2830"/>
      <c r="AG447" s="2830"/>
      <c r="AH447" s="2831"/>
      <c r="AI447" s="2830"/>
      <c r="AJ447" s="2830"/>
      <c r="AK447" s="2830"/>
      <c r="AL447" s="2830"/>
      <c r="AM447" s="2830"/>
      <c r="AN447" s="2830"/>
      <c r="AO447" s="2830"/>
      <c r="AP447" s="2830"/>
      <c r="AQ447" s="2830"/>
      <c r="AR447" s="2820"/>
      <c r="AS447" s="2820"/>
      <c r="AT447" s="2820"/>
      <c r="AU447" s="2820"/>
      <c r="AV447" s="2766"/>
      <c r="AY447" s="2766"/>
    </row>
    <row r="448" spans="1:51">
      <c r="A448" s="2766"/>
      <c r="E448" s="2766"/>
      <c r="F448" s="2766"/>
      <c r="G448" s="2766"/>
      <c r="H448" s="2766"/>
      <c r="I448" s="2766"/>
      <c r="J448" s="2766"/>
      <c r="K448" s="2820"/>
      <c r="L448" s="2820"/>
      <c r="M448" s="2830"/>
      <c r="N448" s="2830"/>
      <c r="O448" s="2830"/>
      <c r="P448" s="2830"/>
      <c r="Q448" s="2830"/>
      <c r="R448" s="2830"/>
      <c r="S448" s="2830"/>
      <c r="T448" s="2830"/>
      <c r="U448" s="2830"/>
      <c r="V448" s="2830"/>
      <c r="W448" s="2830"/>
      <c r="X448" s="2830"/>
      <c r="Y448" s="2830"/>
      <c r="Z448" s="2830"/>
      <c r="AA448" s="2830"/>
      <c r="AB448" s="2830"/>
      <c r="AC448" s="2830"/>
      <c r="AD448" s="2830"/>
      <c r="AE448" s="2830"/>
      <c r="AF448" s="2830"/>
      <c r="AG448" s="2830"/>
      <c r="AH448" s="2831"/>
      <c r="AI448" s="2830"/>
      <c r="AJ448" s="2830"/>
      <c r="AK448" s="2830"/>
      <c r="AL448" s="2830"/>
      <c r="AM448" s="2830"/>
      <c r="AN448" s="2830"/>
      <c r="AO448" s="2830"/>
      <c r="AP448" s="2830"/>
      <c r="AQ448" s="2830"/>
      <c r="AR448" s="2820"/>
      <c r="AS448" s="2820"/>
      <c r="AT448" s="2820"/>
      <c r="AU448" s="2820"/>
      <c r="AV448" s="2766"/>
      <c r="AY448" s="2766"/>
    </row>
    <row r="449" spans="1:51">
      <c r="A449" s="2766"/>
      <c r="E449" s="2766"/>
      <c r="F449" s="2766"/>
      <c r="G449" s="2766"/>
      <c r="H449" s="2766"/>
      <c r="I449" s="2766"/>
      <c r="J449" s="2766"/>
      <c r="K449" s="2820"/>
      <c r="L449" s="2820"/>
      <c r="M449" s="2830"/>
      <c r="N449" s="2830"/>
      <c r="O449" s="2830"/>
      <c r="P449" s="2830"/>
      <c r="Q449" s="2830"/>
      <c r="R449" s="2830"/>
      <c r="S449" s="2830"/>
      <c r="T449" s="2830"/>
      <c r="U449" s="2830"/>
      <c r="V449" s="2830"/>
      <c r="W449" s="2830"/>
      <c r="X449" s="2830"/>
      <c r="Y449" s="2830"/>
      <c r="Z449" s="2830"/>
      <c r="AA449" s="2830"/>
      <c r="AB449" s="2830"/>
      <c r="AC449" s="2830"/>
      <c r="AD449" s="2830"/>
      <c r="AE449" s="2830"/>
      <c r="AF449" s="2830"/>
      <c r="AG449" s="2830"/>
      <c r="AH449" s="2831"/>
      <c r="AI449" s="2830"/>
      <c r="AJ449" s="2830"/>
      <c r="AK449" s="2830"/>
      <c r="AL449" s="2830"/>
      <c r="AM449" s="2830"/>
      <c r="AN449" s="2830"/>
      <c r="AO449" s="2830"/>
      <c r="AP449" s="2830"/>
      <c r="AQ449" s="2830"/>
      <c r="AR449" s="2820"/>
      <c r="AS449" s="2820"/>
      <c r="AT449" s="2820"/>
      <c r="AU449" s="2820"/>
      <c r="AV449" s="2766"/>
      <c r="AY449" s="2766"/>
    </row>
    <row r="450" spans="1:51">
      <c r="A450" s="2766"/>
      <c r="E450" s="2766"/>
      <c r="F450" s="2766"/>
      <c r="G450" s="2766"/>
      <c r="H450" s="2766"/>
      <c r="I450" s="2766"/>
      <c r="J450" s="2766"/>
      <c r="K450" s="2820"/>
      <c r="L450" s="2820"/>
      <c r="M450" s="2830"/>
      <c r="N450" s="2830"/>
      <c r="O450" s="2830"/>
      <c r="P450" s="2830"/>
      <c r="Q450" s="2830"/>
      <c r="R450" s="2830"/>
      <c r="S450" s="2830"/>
      <c r="T450" s="2830"/>
      <c r="U450" s="2830"/>
      <c r="V450" s="2830"/>
      <c r="W450" s="2830"/>
      <c r="X450" s="2830"/>
      <c r="Y450" s="2830"/>
      <c r="Z450" s="2830"/>
      <c r="AA450" s="2830"/>
      <c r="AB450" s="2830"/>
      <c r="AC450" s="2830"/>
      <c r="AD450" s="2830"/>
      <c r="AE450" s="2830"/>
      <c r="AF450" s="2830"/>
      <c r="AG450" s="2830"/>
      <c r="AH450" s="2831"/>
      <c r="AI450" s="2830"/>
      <c r="AJ450" s="2830"/>
      <c r="AK450" s="2830"/>
      <c r="AL450" s="2830"/>
      <c r="AM450" s="2830"/>
      <c r="AN450" s="2830"/>
      <c r="AO450" s="2830"/>
      <c r="AP450" s="2830"/>
      <c r="AQ450" s="2830"/>
      <c r="AR450" s="2820"/>
      <c r="AS450" s="2820"/>
      <c r="AT450" s="2820"/>
      <c r="AU450" s="2820"/>
      <c r="AV450" s="2766"/>
      <c r="AY450" s="2766"/>
    </row>
    <row r="451" spans="1:51">
      <c r="A451" s="2766"/>
      <c r="E451" s="2766"/>
      <c r="F451" s="2766"/>
      <c r="G451" s="2766"/>
      <c r="H451" s="2766"/>
      <c r="I451" s="2766"/>
      <c r="J451" s="2766"/>
      <c r="K451" s="2820"/>
      <c r="L451" s="2820"/>
      <c r="M451" s="2830"/>
      <c r="N451" s="2830"/>
      <c r="O451" s="2830"/>
      <c r="P451" s="2830"/>
      <c r="Q451" s="2830"/>
      <c r="R451" s="2830"/>
      <c r="S451" s="2830"/>
      <c r="T451" s="2830"/>
      <c r="U451" s="2830"/>
      <c r="V451" s="2830"/>
      <c r="W451" s="2830"/>
      <c r="X451" s="2830"/>
      <c r="Y451" s="2830"/>
      <c r="Z451" s="2830"/>
      <c r="AA451" s="2830"/>
      <c r="AB451" s="2830"/>
      <c r="AC451" s="2830"/>
      <c r="AD451" s="2830"/>
      <c r="AE451" s="2830"/>
      <c r="AF451" s="2830"/>
      <c r="AG451" s="2830"/>
      <c r="AH451" s="2831"/>
      <c r="AI451" s="2830"/>
      <c r="AJ451" s="2830"/>
      <c r="AK451" s="2830"/>
      <c r="AL451" s="2830"/>
      <c r="AM451" s="2830"/>
      <c r="AN451" s="2830"/>
      <c r="AO451" s="2830"/>
      <c r="AP451" s="2830"/>
      <c r="AQ451" s="2830"/>
      <c r="AR451" s="2820"/>
      <c r="AS451" s="2820"/>
      <c r="AT451" s="2820"/>
      <c r="AU451" s="2820"/>
      <c r="AV451" s="2766"/>
      <c r="AY451" s="2766"/>
    </row>
    <row r="452" spans="1:51">
      <c r="A452" s="2766"/>
      <c r="E452" s="2766"/>
      <c r="F452" s="2766"/>
      <c r="G452" s="2766"/>
      <c r="H452" s="2766"/>
      <c r="I452" s="2766"/>
      <c r="J452" s="2766"/>
      <c r="K452" s="2820"/>
      <c r="L452" s="2820"/>
      <c r="M452" s="2830"/>
      <c r="N452" s="2830"/>
      <c r="O452" s="2830"/>
      <c r="P452" s="2830"/>
      <c r="Q452" s="2830"/>
      <c r="R452" s="2830"/>
      <c r="S452" s="2830"/>
      <c r="T452" s="2830"/>
      <c r="U452" s="2830"/>
      <c r="V452" s="2830"/>
      <c r="W452" s="2830"/>
      <c r="X452" s="2830"/>
      <c r="Y452" s="2830"/>
      <c r="Z452" s="2830"/>
      <c r="AA452" s="2830"/>
      <c r="AB452" s="2830"/>
      <c r="AC452" s="2830"/>
      <c r="AD452" s="2830"/>
      <c r="AE452" s="2830"/>
      <c r="AF452" s="2830"/>
      <c r="AG452" s="2830"/>
      <c r="AH452" s="2831"/>
      <c r="AI452" s="2830"/>
      <c r="AJ452" s="2830"/>
      <c r="AK452" s="2830"/>
      <c r="AL452" s="2830"/>
      <c r="AM452" s="2830"/>
      <c r="AN452" s="2830"/>
      <c r="AO452" s="2830"/>
      <c r="AP452" s="2830"/>
      <c r="AQ452" s="2830"/>
      <c r="AR452" s="2820"/>
      <c r="AS452" s="2820"/>
      <c r="AT452" s="2820"/>
      <c r="AU452" s="2820"/>
      <c r="AV452" s="2766"/>
      <c r="AY452" s="2766"/>
    </row>
    <row r="453" spans="1:51">
      <c r="A453" s="2766"/>
      <c r="E453" s="2766"/>
      <c r="F453" s="2766"/>
      <c r="G453" s="2766"/>
      <c r="H453" s="2766"/>
      <c r="I453" s="2766"/>
      <c r="J453" s="2766"/>
      <c r="K453" s="2820"/>
      <c r="L453" s="2820"/>
      <c r="M453" s="2830"/>
      <c r="N453" s="2830"/>
      <c r="O453" s="2830"/>
      <c r="P453" s="2830"/>
      <c r="Q453" s="2830"/>
      <c r="R453" s="2830"/>
      <c r="S453" s="2830"/>
      <c r="T453" s="2830"/>
      <c r="U453" s="2830"/>
      <c r="V453" s="2830"/>
      <c r="W453" s="2830"/>
      <c r="X453" s="2830"/>
      <c r="Y453" s="2830"/>
      <c r="Z453" s="2830"/>
      <c r="AA453" s="2830"/>
      <c r="AB453" s="2830"/>
      <c r="AC453" s="2830"/>
      <c r="AD453" s="2830"/>
      <c r="AE453" s="2830"/>
      <c r="AF453" s="2830"/>
      <c r="AG453" s="2830"/>
      <c r="AH453" s="2831"/>
      <c r="AI453" s="2830"/>
      <c r="AJ453" s="2830"/>
      <c r="AK453" s="2830"/>
      <c r="AL453" s="2830"/>
      <c r="AM453" s="2830"/>
      <c r="AN453" s="2830"/>
      <c r="AO453" s="2830"/>
      <c r="AP453" s="2830"/>
      <c r="AQ453" s="2830"/>
      <c r="AR453" s="2820"/>
      <c r="AS453" s="2820"/>
      <c r="AT453" s="2820"/>
      <c r="AU453" s="2820"/>
      <c r="AV453" s="2766"/>
      <c r="AY453" s="2766"/>
    </row>
    <row r="454" spans="1:51">
      <c r="A454" s="2766"/>
      <c r="E454" s="2766"/>
      <c r="F454" s="2766"/>
      <c r="G454" s="2766"/>
      <c r="H454" s="2766"/>
      <c r="I454" s="2766"/>
      <c r="J454" s="2766"/>
      <c r="K454" s="2820"/>
      <c r="L454" s="2820"/>
      <c r="M454" s="2830"/>
      <c r="N454" s="2830"/>
      <c r="O454" s="2830"/>
      <c r="P454" s="2830"/>
      <c r="Q454" s="2830"/>
      <c r="R454" s="2830"/>
      <c r="S454" s="2830"/>
      <c r="T454" s="2830"/>
      <c r="U454" s="2830"/>
      <c r="V454" s="2830"/>
      <c r="W454" s="2830"/>
      <c r="X454" s="2830"/>
      <c r="Y454" s="2830"/>
      <c r="Z454" s="2830"/>
      <c r="AA454" s="2830"/>
      <c r="AB454" s="2830"/>
      <c r="AC454" s="2830"/>
      <c r="AD454" s="2830"/>
      <c r="AE454" s="2830"/>
      <c r="AF454" s="2830"/>
      <c r="AG454" s="2830"/>
      <c r="AH454" s="2831"/>
      <c r="AI454" s="2830"/>
      <c r="AJ454" s="2830"/>
      <c r="AK454" s="2830"/>
      <c r="AL454" s="2830"/>
      <c r="AM454" s="2830"/>
      <c r="AN454" s="2830"/>
      <c r="AO454" s="2830"/>
      <c r="AP454" s="2830"/>
      <c r="AQ454" s="2830"/>
      <c r="AR454" s="2820"/>
      <c r="AS454" s="2820"/>
      <c r="AT454" s="2820"/>
      <c r="AU454" s="2820"/>
      <c r="AV454" s="2766"/>
      <c r="AY454" s="2766"/>
    </row>
    <row r="455" spans="1:51">
      <c r="A455" s="2766"/>
      <c r="E455" s="2766"/>
      <c r="F455" s="2766"/>
      <c r="G455" s="2766"/>
      <c r="H455" s="2766"/>
      <c r="I455" s="2766"/>
      <c r="J455" s="2766"/>
      <c r="K455" s="2820"/>
      <c r="L455" s="2820"/>
      <c r="M455" s="2830"/>
      <c r="N455" s="2830"/>
      <c r="O455" s="2830"/>
      <c r="P455" s="2830"/>
      <c r="Q455" s="2830"/>
      <c r="R455" s="2830"/>
      <c r="S455" s="2830"/>
      <c r="T455" s="2830"/>
      <c r="U455" s="2830"/>
      <c r="V455" s="2830"/>
      <c r="W455" s="2830"/>
      <c r="X455" s="2830"/>
      <c r="Y455" s="2830"/>
      <c r="Z455" s="2830"/>
      <c r="AA455" s="2830"/>
      <c r="AB455" s="2830"/>
      <c r="AC455" s="2830"/>
      <c r="AD455" s="2830"/>
      <c r="AE455" s="2830"/>
      <c r="AF455" s="2830"/>
      <c r="AG455" s="2830"/>
      <c r="AH455" s="2831"/>
      <c r="AI455" s="2830"/>
      <c r="AJ455" s="2830"/>
      <c r="AK455" s="2830"/>
      <c r="AL455" s="2830"/>
      <c r="AM455" s="2830"/>
      <c r="AN455" s="2830"/>
      <c r="AO455" s="2830"/>
      <c r="AP455" s="2830"/>
      <c r="AQ455" s="2830"/>
      <c r="AR455" s="2820"/>
      <c r="AS455" s="2820"/>
      <c r="AT455" s="2820"/>
      <c r="AU455" s="2820"/>
      <c r="AV455" s="2766"/>
      <c r="AY455" s="2766"/>
    </row>
    <row r="456" spans="1:51">
      <c r="A456" s="2766"/>
      <c r="E456" s="2766"/>
      <c r="F456" s="2766"/>
      <c r="G456" s="2766"/>
      <c r="H456" s="2766"/>
      <c r="I456" s="2766"/>
      <c r="J456" s="2766"/>
      <c r="K456" s="2820"/>
      <c r="L456" s="2820"/>
      <c r="M456" s="2830"/>
      <c r="N456" s="2830"/>
      <c r="O456" s="2830"/>
      <c r="P456" s="2830"/>
      <c r="Q456" s="2830"/>
      <c r="R456" s="2830"/>
      <c r="S456" s="2830"/>
      <c r="T456" s="2830"/>
      <c r="U456" s="2830"/>
      <c r="V456" s="2830"/>
      <c r="W456" s="2830"/>
      <c r="X456" s="2830"/>
      <c r="Y456" s="2830"/>
      <c r="Z456" s="2830"/>
      <c r="AA456" s="2830"/>
      <c r="AB456" s="2830"/>
      <c r="AC456" s="2830"/>
      <c r="AD456" s="2830"/>
      <c r="AE456" s="2830"/>
      <c r="AF456" s="2830"/>
      <c r="AG456" s="2830"/>
      <c r="AH456" s="2831"/>
      <c r="AI456" s="2830"/>
      <c r="AJ456" s="2830"/>
      <c r="AK456" s="2830"/>
      <c r="AL456" s="2830"/>
      <c r="AM456" s="2830"/>
      <c r="AN456" s="2830"/>
      <c r="AO456" s="2830"/>
      <c r="AP456" s="2830"/>
      <c r="AQ456" s="2830"/>
      <c r="AR456" s="2820"/>
      <c r="AS456" s="2820"/>
      <c r="AT456" s="2820"/>
      <c r="AU456" s="2820"/>
      <c r="AV456" s="2766"/>
      <c r="AY456" s="2766"/>
    </row>
    <row r="457" spans="1:51">
      <c r="A457" s="2766"/>
      <c r="E457" s="2766"/>
      <c r="F457" s="2766"/>
      <c r="G457" s="2766"/>
      <c r="H457" s="2766"/>
      <c r="I457" s="2766"/>
      <c r="J457" s="2766"/>
      <c r="K457" s="2820"/>
      <c r="L457" s="2820"/>
      <c r="M457" s="2830"/>
      <c r="N457" s="2830"/>
      <c r="O457" s="2830"/>
      <c r="P457" s="2830"/>
      <c r="Q457" s="2830"/>
      <c r="R457" s="2830"/>
      <c r="S457" s="2830"/>
      <c r="T457" s="2830"/>
      <c r="U457" s="2830"/>
      <c r="V457" s="2830"/>
      <c r="W457" s="2830"/>
      <c r="X457" s="2830"/>
      <c r="Y457" s="2830"/>
      <c r="Z457" s="2830"/>
      <c r="AA457" s="2830"/>
      <c r="AB457" s="2830"/>
      <c r="AC457" s="2830"/>
      <c r="AD457" s="2830"/>
      <c r="AE457" s="2830"/>
      <c r="AF457" s="2830"/>
      <c r="AG457" s="2830"/>
      <c r="AH457" s="2831"/>
      <c r="AI457" s="2830"/>
      <c r="AJ457" s="2830"/>
      <c r="AK457" s="2830"/>
      <c r="AL457" s="2830"/>
      <c r="AM457" s="2830"/>
      <c r="AN457" s="2830"/>
      <c r="AO457" s="2830"/>
      <c r="AP457" s="2830"/>
      <c r="AQ457" s="2830"/>
      <c r="AR457" s="2820"/>
      <c r="AS457" s="2820"/>
      <c r="AT457" s="2820"/>
      <c r="AU457" s="2820"/>
      <c r="AV457" s="2766"/>
      <c r="AY457" s="2766"/>
    </row>
    <row r="458" spans="1:51">
      <c r="A458" s="2766"/>
      <c r="E458" s="2766"/>
      <c r="F458" s="2766"/>
      <c r="G458" s="2766"/>
      <c r="H458" s="2766"/>
      <c r="I458" s="2766"/>
      <c r="J458" s="2766"/>
      <c r="K458" s="2820"/>
      <c r="L458" s="2820"/>
      <c r="M458" s="2830"/>
      <c r="N458" s="2830"/>
      <c r="O458" s="2830"/>
      <c r="P458" s="2830"/>
      <c r="Q458" s="2830"/>
      <c r="R458" s="2830"/>
      <c r="S458" s="2830"/>
      <c r="T458" s="2830"/>
      <c r="U458" s="2830"/>
      <c r="V458" s="2830"/>
      <c r="W458" s="2830"/>
      <c r="X458" s="2830"/>
      <c r="Y458" s="2830"/>
      <c r="Z458" s="2830"/>
      <c r="AA458" s="2830"/>
      <c r="AB458" s="2830"/>
      <c r="AC458" s="2830"/>
      <c r="AD458" s="2830"/>
      <c r="AE458" s="2830"/>
      <c r="AF458" s="2830"/>
      <c r="AG458" s="2830"/>
      <c r="AH458" s="2831"/>
      <c r="AI458" s="2830"/>
      <c r="AJ458" s="2830"/>
      <c r="AK458" s="2830"/>
      <c r="AL458" s="2830"/>
      <c r="AM458" s="2830"/>
      <c r="AN458" s="2830"/>
      <c r="AO458" s="2830"/>
      <c r="AP458" s="2830"/>
      <c r="AQ458" s="2830"/>
      <c r="AR458" s="2820"/>
      <c r="AS458" s="2820"/>
      <c r="AT458" s="2820"/>
      <c r="AU458" s="2820"/>
      <c r="AV458" s="2766"/>
      <c r="AY458" s="2766"/>
    </row>
    <row r="459" spans="1:51">
      <c r="A459" s="2766"/>
      <c r="E459" s="2766"/>
      <c r="F459" s="2766"/>
      <c r="G459" s="2766"/>
      <c r="H459" s="2766"/>
      <c r="I459" s="2766"/>
      <c r="J459" s="2766"/>
      <c r="K459" s="2820"/>
      <c r="L459" s="2820"/>
      <c r="M459" s="2830"/>
      <c r="N459" s="2830"/>
      <c r="O459" s="2830"/>
      <c r="P459" s="2830"/>
      <c r="Q459" s="2830"/>
      <c r="R459" s="2830"/>
      <c r="S459" s="2830"/>
      <c r="T459" s="2830"/>
      <c r="U459" s="2830"/>
      <c r="V459" s="2830"/>
      <c r="W459" s="2830"/>
      <c r="X459" s="2830"/>
      <c r="Y459" s="2830"/>
      <c r="Z459" s="2830"/>
      <c r="AA459" s="2830"/>
      <c r="AB459" s="2830"/>
      <c r="AC459" s="2830"/>
      <c r="AD459" s="2830"/>
      <c r="AE459" s="2830"/>
      <c r="AF459" s="2830"/>
      <c r="AG459" s="2830"/>
      <c r="AH459" s="2831"/>
      <c r="AI459" s="2830"/>
      <c r="AJ459" s="2830"/>
      <c r="AK459" s="2830"/>
      <c r="AL459" s="2830"/>
      <c r="AM459" s="2830"/>
      <c r="AN459" s="2830"/>
      <c r="AO459" s="2830"/>
      <c r="AP459" s="2830"/>
      <c r="AQ459" s="2830"/>
      <c r="AR459" s="2820"/>
      <c r="AS459" s="2820"/>
      <c r="AT459" s="2820"/>
      <c r="AU459" s="2820"/>
      <c r="AV459" s="2766"/>
      <c r="AY459" s="2766"/>
    </row>
    <row r="460" spans="1:51">
      <c r="A460" s="2766"/>
      <c r="E460" s="2766"/>
      <c r="F460" s="2766"/>
      <c r="G460" s="2766"/>
      <c r="H460" s="2766"/>
      <c r="I460" s="2766"/>
      <c r="J460" s="2766"/>
      <c r="K460" s="2820"/>
      <c r="L460" s="2820"/>
      <c r="M460" s="2830"/>
      <c r="N460" s="2830"/>
      <c r="O460" s="2830"/>
      <c r="P460" s="2830"/>
      <c r="Q460" s="2830"/>
      <c r="R460" s="2830"/>
      <c r="S460" s="2830"/>
      <c r="T460" s="2830"/>
      <c r="U460" s="2830"/>
      <c r="V460" s="2830"/>
      <c r="W460" s="2830"/>
      <c r="X460" s="2830"/>
      <c r="Y460" s="2830"/>
      <c r="Z460" s="2830"/>
      <c r="AA460" s="2830"/>
      <c r="AB460" s="2830"/>
      <c r="AC460" s="2830"/>
      <c r="AD460" s="2830"/>
      <c r="AE460" s="2830"/>
      <c r="AF460" s="2830"/>
      <c r="AG460" s="2830"/>
      <c r="AH460" s="2831"/>
      <c r="AI460" s="2830"/>
      <c r="AJ460" s="2830"/>
      <c r="AK460" s="2830"/>
      <c r="AL460" s="2830"/>
      <c r="AM460" s="2830"/>
      <c r="AN460" s="2830"/>
      <c r="AO460" s="2830"/>
      <c r="AP460" s="2830"/>
      <c r="AQ460" s="2830"/>
      <c r="AR460" s="2820"/>
      <c r="AS460" s="2820"/>
      <c r="AT460" s="2820"/>
      <c r="AU460" s="2820"/>
      <c r="AV460" s="2766"/>
      <c r="AY460" s="2766"/>
    </row>
    <row r="461" spans="1:51">
      <c r="A461" s="2766"/>
      <c r="E461" s="2766"/>
      <c r="F461" s="2766"/>
      <c r="G461" s="2766"/>
      <c r="H461" s="2766"/>
      <c r="I461" s="2766"/>
      <c r="J461" s="2766"/>
      <c r="K461" s="2820"/>
      <c r="L461" s="2820"/>
      <c r="M461" s="2830"/>
      <c r="N461" s="2830"/>
      <c r="O461" s="2830"/>
      <c r="P461" s="2830"/>
      <c r="Q461" s="2830"/>
      <c r="R461" s="2830"/>
      <c r="S461" s="2830"/>
      <c r="T461" s="2830"/>
      <c r="U461" s="2830"/>
      <c r="V461" s="2830"/>
      <c r="W461" s="2830"/>
      <c r="X461" s="2830"/>
      <c r="Y461" s="2830"/>
      <c r="Z461" s="2830"/>
      <c r="AA461" s="2830"/>
      <c r="AB461" s="2830"/>
      <c r="AC461" s="2830"/>
      <c r="AD461" s="2830"/>
      <c r="AE461" s="2830"/>
      <c r="AF461" s="2830"/>
      <c r="AG461" s="2830"/>
      <c r="AH461" s="2831"/>
      <c r="AI461" s="2830"/>
      <c r="AJ461" s="2830"/>
      <c r="AK461" s="2830"/>
      <c r="AL461" s="2830"/>
      <c r="AM461" s="2830"/>
      <c r="AN461" s="2830"/>
      <c r="AO461" s="2830"/>
      <c r="AP461" s="2830"/>
      <c r="AQ461" s="2830"/>
      <c r="AR461" s="2820"/>
      <c r="AS461" s="2820"/>
      <c r="AT461" s="2820"/>
      <c r="AU461" s="2820"/>
      <c r="AV461" s="2766"/>
      <c r="AY461" s="2766"/>
    </row>
    <row r="462" spans="1:51">
      <c r="A462" s="2766"/>
      <c r="E462" s="2766"/>
      <c r="F462" s="2766"/>
      <c r="G462" s="2766"/>
      <c r="H462" s="2766"/>
      <c r="I462" s="2766"/>
      <c r="J462" s="2766"/>
      <c r="K462" s="2820"/>
      <c r="L462" s="2820"/>
      <c r="M462" s="2830"/>
      <c r="N462" s="2830"/>
      <c r="O462" s="2830"/>
      <c r="P462" s="2830"/>
      <c r="Q462" s="2830"/>
      <c r="R462" s="2830"/>
      <c r="S462" s="2830"/>
      <c r="T462" s="2830"/>
      <c r="U462" s="2830"/>
      <c r="V462" s="2830"/>
      <c r="W462" s="2830"/>
      <c r="X462" s="2830"/>
      <c r="Y462" s="2830"/>
      <c r="Z462" s="2830"/>
      <c r="AA462" s="2830"/>
      <c r="AB462" s="2830"/>
      <c r="AC462" s="2830"/>
      <c r="AD462" s="2830"/>
      <c r="AE462" s="2830"/>
      <c r="AF462" s="2830"/>
      <c r="AG462" s="2830"/>
      <c r="AH462" s="2831"/>
      <c r="AI462" s="2830"/>
      <c r="AJ462" s="2830"/>
      <c r="AK462" s="2830"/>
      <c r="AL462" s="2830"/>
      <c r="AM462" s="2830"/>
      <c r="AN462" s="2830"/>
      <c r="AO462" s="2830"/>
      <c r="AP462" s="2830"/>
      <c r="AQ462" s="2830"/>
      <c r="AR462" s="2820"/>
      <c r="AS462" s="2820"/>
      <c r="AT462" s="2820"/>
      <c r="AU462" s="2820"/>
      <c r="AV462" s="2766"/>
      <c r="AY462" s="2766"/>
    </row>
    <row r="463" spans="1:51">
      <c r="A463" s="2766"/>
      <c r="E463" s="2766"/>
      <c r="F463" s="2766"/>
      <c r="G463" s="2766"/>
      <c r="H463" s="2766"/>
      <c r="I463" s="2766"/>
      <c r="J463" s="2766"/>
      <c r="K463" s="2820"/>
      <c r="L463" s="2820"/>
      <c r="M463" s="2830"/>
      <c r="N463" s="2830"/>
      <c r="O463" s="2830"/>
      <c r="P463" s="2830"/>
      <c r="Q463" s="2830"/>
      <c r="R463" s="2830"/>
      <c r="S463" s="2830"/>
      <c r="T463" s="2830"/>
      <c r="U463" s="2830"/>
      <c r="V463" s="2830"/>
      <c r="W463" s="2830"/>
      <c r="X463" s="2830"/>
      <c r="Y463" s="2830"/>
      <c r="Z463" s="2830"/>
      <c r="AA463" s="2830"/>
      <c r="AB463" s="2830"/>
      <c r="AC463" s="2830"/>
      <c r="AD463" s="2830"/>
      <c r="AE463" s="2830"/>
      <c r="AF463" s="2830"/>
      <c r="AG463" s="2830"/>
      <c r="AH463" s="2831"/>
      <c r="AI463" s="2830"/>
      <c r="AJ463" s="2830"/>
      <c r="AK463" s="2830"/>
      <c r="AL463" s="2830"/>
      <c r="AM463" s="2830"/>
      <c r="AN463" s="2830"/>
      <c r="AO463" s="2830"/>
      <c r="AP463" s="2830"/>
      <c r="AQ463" s="2830"/>
      <c r="AR463" s="2820"/>
      <c r="AS463" s="2820"/>
      <c r="AT463" s="2820"/>
      <c r="AU463" s="2820"/>
      <c r="AV463" s="2766"/>
      <c r="AY463" s="2766"/>
    </row>
    <row r="464" spans="1:51">
      <c r="A464" s="2766"/>
      <c r="E464" s="2766"/>
      <c r="F464" s="2766"/>
      <c r="G464" s="2766"/>
      <c r="H464" s="2766"/>
      <c r="I464" s="2766"/>
      <c r="J464" s="2766"/>
      <c r="K464" s="2820"/>
      <c r="L464" s="2820"/>
      <c r="M464" s="2830"/>
      <c r="N464" s="2830"/>
      <c r="O464" s="2830"/>
      <c r="P464" s="2830"/>
      <c r="Q464" s="2830"/>
      <c r="R464" s="2830"/>
      <c r="S464" s="2830"/>
      <c r="T464" s="2830"/>
      <c r="U464" s="2830"/>
      <c r="V464" s="2830"/>
      <c r="W464" s="2830"/>
      <c r="X464" s="2830"/>
      <c r="Y464" s="2830"/>
      <c r="Z464" s="2830"/>
      <c r="AA464" s="2830"/>
      <c r="AB464" s="2830"/>
      <c r="AC464" s="2830"/>
      <c r="AD464" s="2830"/>
      <c r="AE464" s="2830"/>
      <c r="AF464" s="2830"/>
      <c r="AG464" s="2830"/>
      <c r="AH464" s="2831"/>
      <c r="AI464" s="2830"/>
      <c r="AJ464" s="2830"/>
      <c r="AK464" s="2830"/>
      <c r="AL464" s="2830"/>
      <c r="AM464" s="2830"/>
      <c r="AN464" s="2830"/>
      <c r="AO464" s="2830"/>
      <c r="AP464" s="2830"/>
      <c r="AQ464" s="2830"/>
      <c r="AR464" s="2820"/>
      <c r="AS464" s="2820"/>
      <c r="AT464" s="2820"/>
      <c r="AU464" s="2820"/>
      <c r="AV464" s="2766"/>
      <c r="AY464" s="2766"/>
    </row>
    <row r="465" spans="1:51">
      <c r="A465" s="2766"/>
      <c r="E465" s="2766"/>
      <c r="F465" s="2766"/>
      <c r="G465" s="2766"/>
      <c r="H465" s="2766"/>
      <c r="I465" s="2766"/>
      <c r="J465" s="2766"/>
      <c r="K465" s="2820"/>
      <c r="L465" s="2820"/>
      <c r="M465" s="2830"/>
      <c r="N465" s="2830"/>
      <c r="O465" s="2830"/>
      <c r="P465" s="2830"/>
      <c r="Q465" s="2830"/>
      <c r="R465" s="2830"/>
      <c r="S465" s="2830"/>
      <c r="T465" s="2830"/>
      <c r="U465" s="2830"/>
      <c r="V465" s="2830"/>
      <c r="W465" s="2830"/>
      <c r="X465" s="2830"/>
      <c r="Y465" s="2830"/>
      <c r="Z465" s="2830"/>
      <c r="AA465" s="2830"/>
      <c r="AB465" s="2830"/>
      <c r="AC465" s="2830"/>
      <c r="AD465" s="2830"/>
      <c r="AE465" s="2830"/>
      <c r="AF465" s="2830"/>
      <c r="AG465" s="2830"/>
      <c r="AH465" s="2831"/>
      <c r="AI465" s="2830"/>
      <c r="AJ465" s="2830"/>
      <c r="AK465" s="2830"/>
      <c r="AL465" s="2830"/>
      <c r="AM465" s="2830"/>
      <c r="AN465" s="2830"/>
      <c r="AO465" s="2830"/>
      <c r="AP465" s="2830"/>
      <c r="AQ465" s="2830"/>
      <c r="AR465" s="2820"/>
      <c r="AS465" s="2820"/>
      <c r="AT465" s="2820"/>
      <c r="AU465" s="2820"/>
      <c r="AV465" s="2766"/>
      <c r="AY465" s="2766"/>
    </row>
    <row r="466" spans="1:51">
      <c r="A466" s="2766"/>
      <c r="E466" s="2766"/>
      <c r="F466" s="2766"/>
      <c r="G466" s="2766"/>
      <c r="H466" s="2766"/>
      <c r="I466" s="2766"/>
      <c r="J466" s="2766"/>
      <c r="K466" s="2820"/>
      <c r="L466" s="2820"/>
      <c r="M466" s="2830"/>
      <c r="N466" s="2830"/>
      <c r="O466" s="2830"/>
      <c r="P466" s="2830"/>
      <c r="Q466" s="2830"/>
      <c r="R466" s="2830"/>
      <c r="S466" s="2830"/>
      <c r="T466" s="2830"/>
      <c r="U466" s="2830"/>
      <c r="V466" s="2830"/>
      <c r="W466" s="2830"/>
      <c r="X466" s="2830"/>
      <c r="Y466" s="2830"/>
      <c r="Z466" s="2830"/>
      <c r="AA466" s="2830"/>
      <c r="AB466" s="2830"/>
      <c r="AC466" s="2830"/>
      <c r="AD466" s="2830"/>
      <c r="AE466" s="2830"/>
      <c r="AF466" s="2830"/>
      <c r="AG466" s="2830"/>
      <c r="AH466" s="2831"/>
      <c r="AI466" s="2830"/>
      <c r="AJ466" s="2830"/>
      <c r="AK466" s="2830"/>
      <c r="AL466" s="2830"/>
      <c r="AM466" s="2830"/>
      <c r="AN466" s="2830"/>
      <c r="AO466" s="2830"/>
      <c r="AP466" s="2830"/>
      <c r="AQ466" s="2830"/>
      <c r="AR466" s="2820"/>
      <c r="AS466" s="2820"/>
      <c r="AT466" s="2820"/>
      <c r="AU466" s="2820"/>
      <c r="AV466" s="2766"/>
      <c r="AY466" s="2766"/>
    </row>
    <row r="467" spans="1:51">
      <c r="A467" s="2766"/>
      <c r="E467" s="2766"/>
      <c r="F467" s="2766"/>
      <c r="G467" s="2766"/>
      <c r="H467" s="2766"/>
      <c r="I467" s="2766"/>
      <c r="J467" s="2766"/>
      <c r="K467" s="2820"/>
      <c r="L467" s="2820"/>
      <c r="M467" s="2830"/>
      <c r="N467" s="2830"/>
      <c r="O467" s="2830"/>
      <c r="P467" s="2830"/>
      <c r="Q467" s="2830"/>
      <c r="R467" s="2830"/>
      <c r="S467" s="2830"/>
      <c r="T467" s="2830"/>
      <c r="U467" s="2830"/>
      <c r="V467" s="2830"/>
      <c r="W467" s="2830"/>
      <c r="X467" s="2830"/>
      <c r="Y467" s="2830"/>
      <c r="Z467" s="2830"/>
      <c r="AA467" s="2830"/>
      <c r="AB467" s="2830"/>
      <c r="AC467" s="2830"/>
      <c r="AD467" s="2830"/>
      <c r="AE467" s="2830"/>
      <c r="AF467" s="2830"/>
      <c r="AG467" s="2830"/>
      <c r="AH467" s="2831"/>
      <c r="AI467" s="2830"/>
      <c r="AJ467" s="2830"/>
      <c r="AK467" s="2830"/>
      <c r="AL467" s="2830"/>
      <c r="AM467" s="2830"/>
      <c r="AN467" s="2830"/>
      <c r="AO467" s="2830"/>
      <c r="AP467" s="2830"/>
      <c r="AQ467" s="2830"/>
      <c r="AR467" s="2820"/>
      <c r="AS467" s="2820"/>
      <c r="AT467" s="2820"/>
      <c r="AU467" s="2820"/>
      <c r="AV467" s="2766"/>
      <c r="AY467" s="2766"/>
    </row>
    <row r="468" spans="1:51">
      <c r="A468" s="2766"/>
      <c r="E468" s="2766"/>
      <c r="F468" s="2766"/>
      <c r="G468" s="2766"/>
      <c r="H468" s="2766"/>
      <c r="I468" s="2766"/>
      <c r="J468" s="2766"/>
      <c r="K468" s="2820"/>
      <c r="L468" s="2820"/>
      <c r="M468" s="2830"/>
      <c r="N468" s="2830"/>
      <c r="O468" s="2830"/>
      <c r="P468" s="2830"/>
      <c r="Q468" s="2830"/>
      <c r="R468" s="2830"/>
      <c r="S468" s="2830"/>
      <c r="T468" s="2830"/>
      <c r="U468" s="2830"/>
      <c r="V468" s="2830"/>
      <c r="W468" s="2830"/>
      <c r="X468" s="2830"/>
      <c r="Y468" s="2830"/>
      <c r="Z468" s="2830"/>
      <c r="AA468" s="2830"/>
      <c r="AB468" s="2830"/>
      <c r="AC468" s="2830"/>
      <c r="AD468" s="2830"/>
      <c r="AE468" s="2830"/>
      <c r="AF468" s="2830"/>
      <c r="AG468" s="2830"/>
      <c r="AH468" s="2831"/>
      <c r="AI468" s="2830"/>
      <c r="AJ468" s="2830"/>
      <c r="AK468" s="2830"/>
      <c r="AL468" s="2830"/>
      <c r="AM468" s="2830"/>
      <c r="AN468" s="2830"/>
      <c r="AO468" s="2830"/>
      <c r="AP468" s="2830"/>
      <c r="AQ468" s="2830"/>
      <c r="AR468" s="2820"/>
      <c r="AS468" s="2820"/>
      <c r="AT468" s="2820"/>
      <c r="AU468" s="2820"/>
      <c r="AV468" s="2766"/>
      <c r="AY468" s="2766"/>
    </row>
    <row r="469" spans="1:51">
      <c r="A469" s="2766"/>
      <c r="E469" s="2766"/>
      <c r="F469" s="2766"/>
      <c r="G469" s="2766"/>
      <c r="H469" s="2766"/>
      <c r="I469" s="2766"/>
      <c r="J469" s="2766"/>
      <c r="K469" s="2820"/>
      <c r="L469" s="2820"/>
      <c r="M469" s="2830"/>
      <c r="N469" s="2830"/>
      <c r="O469" s="2830"/>
      <c r="P469" s="2830"/>
      <c r="Q469" s="2830"/>
      <c r="R469" s="2830"/>
      <c r="S469" s="2830"/>
      <c r="T469" s="2830"/>
      <c r="U469" s="2830"/>
      <c r="V469" s="2830"/>
      <c r="W469" s="2830"/>
      <c r="X469" s="2830"/>
      <c r="Y469" s="2830"/>
      <c r="Z469" s="2830"/>
      <c r="AA469" s="2830"/>
      <c r="AB469" s="2830"/>
      <c r="AC469" s="2830"/>
      <c r="AD469" s="2830"/>
      <c r="AE469" s="2830"/>
      <c r="AF469" s="2830"/>
      <c r="AG469" s="2830"/>
      <c r="AH469" s="2831"/>
      <c r="AI469" s="2830"/>
      <c r="AJ469" s="2830"/>
      <c r="AK469" s="2830"/>
      <c r="AL469" s="2830"/>
      <c r="AM469" s="2830"/>
      <c r="AN469" s="2830"/>
      <c r="AO469" s="2830"/>
      <c r="AP469" s="2830"/>
      <c r="AQ469" s="2830"/>
      <c r="AR469" s="2820"/>
      <c r="AS469" s="2820"/>
      <c r="AT469" s="2820"/>
      <c r="AU469" s="2820"/>
      <c r="AV469" s="2766"/>
      <c r="AY469" s="2766"/>
    </row>
    <row r="470" spans="1:51">
      <c r="A470" s="2766"/>
      <c r="E470" s="2766"/>
      <c r="F470" s="2766"/>
      <c r="G470" s="2766"/>
      <c r="H470" s="2766"/>
      <c r="I470" s="2766"/>
      <c r="J470" s="2766"/>
      <c r="K470" s="2820"/>
      <c r="L470" s="2820"/>
      <c r="M470" s="2830"/>
      <c r="N470" s="2830"/>
      <c r="O470" s="2830"/>
      <c r="P470" s="2830"/>
      <c r="Q470" s="2830"/>
      <c r="R470" s="2830"/>
      <c r="S470" s="2830"/>
      <c r="T470" s="2830"/>
      <c r="U470" s="2830"/>
      <c r="V470" s="2830"/>
      <c r="W470" s="2830"/>
      <c r="X470" s="2830"/>
      <c r="Y470" s="2830"/>
      <c r="Z470" s="2830"/>
      <c r="AA470" s="2830"/>
      <c r="AB470" s="2830"/>
      <c r="AC470" s="2830"/>
      <c r="AD470" s="2830"/>
      <c r="AE470" s="2830"/>
      <c r="AF470" s="2830"/>
      <c r="AG470" s="2830"/>
      <c r="AH470" s="2831"/>
      <c r="AI470" s="2830"/>
      <c r="AJ470" s="2830"/>
      <c r="AK470" s="2830"/>
      <c r="AL470" s="2830"/>
      <c r="AM470" s="2830"/>
      <c r="AN470" s="2830"/>
      <c r="AO470" s="2830"/>
      <c r="AP470" s="2830"/>
      <c r="AQ470" s="2830"/>
      <c r="AR470" s="2820"/>
      <c r="AS470" s="2820"/>
      <c r="AT470" s="2820"/>
      <c r="AU470" s="2820"/>
      <c r="AV470" s="2766"/>
      <c r="AY470" s="2766"/>
    </row>
    <row r="471" spans="1:51">
      <c r="A471" s="2766"/>
      <c r="E471" s="2766"/>
      <c r="F471" s="2766"/>
      <c r="G471" s="2766"/>
      <c r="H471" s="2766"/>
      <c r="I471" s="2766"/>
      <c r="J471" s="2766"/>
      <c r="K471" s="2820"/>
      <c r="L471" s="2820"/>
      <c r="M471" s="2830"/>
      <c r="N471" s="2830"/>
      <c r="O471" s="2830"/>
      <c r="P471" s="2830"/>
      <c r="Q471" s="2830"/>
      <c r="R471" s="2830"/>
      <c r="S471" s="2830"/>
      <c r="T471" s="2830"/>
      <c r="U471" s="2830"/>
      <c r="V471" s="2830"/>
      <c r="W471" s="2830"/>
      <c r="X471" s="2830"/>
      <c r="Y471" s="2830"/>
      <c r="Z471" s="2830"/>
      <c r="AA471" s="2830"/>
      <c r="AB471" s="2830"/>
      <c r="AC471" s="2830"/>
      <c r="AD471" s="2830"/>
      <c r="AE471" s="2830"/>
      <c r="AF471" s="2830"/>
      <c r="AG471" s="2830"/>
      <c r="AH471" s="2831"/>
      <c r="AI471" s="2830"/>
      <c r="AJ471" s="2830"/>
      <c r="AK471" s="2830"/>
      <c r="AL471" s="2830"/>
      <c r="AM471" s="2830"/>
      <c r="AN471" s="2830"/>
      <c r="AO471" s="2830"/>
      <c r="AP471" s="2830"/>
      <c r="AQ471" s="2830"/>
      <c r="AR471" s="2820"/>
      <c r="AS471" s="2820"/>
      <c r="AT471" s="2820"/>
      <c r="AU471" s="2820"/>
      <c r="AV471" s="2766"/>
      <c r="AY471" s="2766"/>
    </row>
    <row r="472" spans="1:51">
      <c r="A472" s="2766"/>
      <c r="E472" s="2766"/>
      <c r="F472" s="2766"/>
      <c r="G472" s="2766"/>
      <c r="H472" s="2766"/>
      <c r="I472" s="2766"/>
      <c r="J472" s="2766"/>
      <c r="K472" s="2820"/>
      <c r="L472" s="2820"/>
      <c r="M472" s="2830"/>
      <c r="N472" s="2830"/>
      <c r="O472" s="2830"/>
      <c r="P472" s="2830"/>
      <c r="Q472" s="2830"/>
      <c r="R472" s="2830"/>
      <c r="S472" s="2830"/>
      <c r="T472" s="2830"/>
      <c r="U472" s="2830"/>
      <c r="V472" s="2830"/>
      <c r="W472" s="2830"/>
      <c r="X472" s="2830"/>
      <c r="Y472" s="2830"/>
      <c r="Z472" s="2830"/>
      <c r="AA472" s="2830"/>
      <c r="AB472" s="2830"/>
      <c r="AC472" s="2830"/>
      <c r="AD472" s="2830"/>
      <c r="AE472" s="2830"/>
      <c r="AF472" s="2830"/>
      <c r="AG472" s="2830"/>
      <c r="AH472" s="2831"/>
      <c r="AI472" s="2830"/>
      <c r="AJ472" s="2830"/>
      <c r="AK472" s="2830"/>
      <c r="AL472" s="2830"/>
      <c r="AM472" s="2830"/>
      <c r="AN472" s="2830"/>
      <c r="AO472" s="2830"/>
      <c r="AP472" s="2830"/>
      <c r="AQ472" s="2830"/>
      <c r="AR472" s="2820"/>
      <c r="AS472" s="2820"/>
      <c r="AT472" s="2820"/>
      <c r="AU472" s="2820"/>
      <c r="AV472" s="2766"/>
      <c r="AY472" s="2766"/>
    </row>
    <row r="473" spans="1:51">
      <c r="A473" s="2766"/>
      <c r="E473" s="2766"/>
      <c r="F473" s="2766"/>
      <c r="G473" s="2766"/>
      <c r="H473" s="2766"/>
      <c r="I473" s="2766"/>
      <c r="J473" s="2766"/>
      <c r="K473" s="2820"/>
      <c r="L473" s="2820"/>
      <c r="M473" s="2830"/>
      <c r="N473" s="2830"/>
      <c r="O473" s="2830"/>
      <c r="P473" s="2830"/>
      <c r="Q473" s="2830"/>
      <c r="R473" s="2830"/>
      <c r="S473" s="2830"/>
      <c r="T473" s="2830"/>
      <c r="U473" s="2830"/>
      <c r="V473" s="2830"/>
      <c r="W473" s="2830"/>
      <c r="X473" s="2830"/>
      <c r="Y473" s="2830"/>
      <c r="Z473" s="2830"/>
      <c r="AA473" s="2830"/>
      <c r="AB473" s="2830"/>
      <c r="AC473" s="2830"/>
      <c r="AD473" s="2830"/>
      <c r="AE473" s="2830"/>
      <c r="AF473" s="2830"/>
      <c r="AG473" s="2830"/>
      <c r="AH473" s="2831"/>
      <c r="AI473" s="2830"/>
      <c r="AJ473" s="2830"/>
      <c r="AK473" s="2830"/>
      <c r="AL473" s="2830"/>
      <c r="AM473" s="2830"/>
      <c r="AN473" s="2830"/>
      <c r="AO473" s="2830"/>
      <c r="AP473" s="2830"/>
      <c r="AQ473" s="2830"/>
      <c r="AR473" s="2820"/>
      <c r="AS473" s="2820"/>
      <c r="AT473" s="2820"/>
      <c r="AU473" s="2820"/>
      <c r="AV473" s="2766"/>
      <c r="AY473" s="2766"/>
    </row>
    <row r="474" spans="1:51">
      <c r="A474" s="2766"/>
      <c r="E474" s="2766"/>
      <c r="F474" s="2766"/>
      <c r="G474" s="2766"/>
      <c r="H474" s="2766"/>
      <c r="I474" s="2766"/>
      <c r="J474" s="2766"/>
      <c r="K474" s="2820"/>
      <c r="L474" s="2820"/>
      <c r="M474" s="2830"/>
      <c r="N474" s="2830"/>
      <c r="O474" s="2830"/>
      <c r="P474" s="2830"/>
      <c r="Q474" s="2830"/>
      <c r="R474" s="2830"/>
      <c r="S474" s="2830"/>
      <c r="T474" s="2830"/>
      <c r="U474" s="2830"/>
      <c r="V474" s="2830"/>
      <c r="W474" s="2830"/>
      <c r="X474" s="2830"/>
      <c r="Y474" s="2830"/>
      <c r="Z474" s="2830"/>
      <c r="AA474" s="2830"/>
      <c r="AB474" s="2830"/>
      <c r="AC474" s="2830"/>
      <c r="AD474" s="2830"/>
      <c r="AE474" s="2830"/>
      <c r="AF474" s="2830"/>
      <c r="AG474" s="2830"/>
      <c r="AH474" s="2831"/>
      <c r="AI474" s="2830"/>
      <c r="AJ474" s="2830"/>
      <c r="AK474" s="2830"/>
      <c r="AL474" s="2830"/>
      <c r="AM474" s="2830"/>
      <c r="AN474" s="2830"/>
      <c r="AO474" s="2830"/>
      <c r="AP474" s="2830"/>
      <c r="AQ474" s="2830"/>
      <c r="AR474" s="2820"/>
      <c r="AS474" s="2820"/>
      <c r="AT474" s="2820"/>
      <c r="AU474" s="2820"/>
      <c r="AV474" s="2766"/>
      <c r="AY474" s="2766"/>
    </row>
    <row r="475" spans="1:51">
      <c r="A475" s="2766"/>
      <c r="E475" s="2766"/>
      <c r="F475" s="2766"/>
      <c r="G475" s="2766"/>
      <c r="H475" s="2766"/>
      <c r="I475" s="2766"/>
      <c r="J475" s="2766"/>
      <c r="K475" s="2820"/>
      <c r="L475" s="2820"/>
      <c r="M475" s="2830"/>
      <c r="N475" s="2830"/>
      <c r="O475" s="2830"/>
      <c r="P475" s="2830"/>
      <c r="Q475" s="2830"/>
      <c r="R475" s="2830"/>
      <c r="S475" s="2830"/>
      <c r="T475" s="2830"/>
      <c r="U475" s="2830"/>
      <c r="V475" s="2830"/>
      <c r="W475" s="2830"/>
      <c r="X475" s="2830"/>
      <c r="Y475" s="2830"/>
      <c r="Z475" s="2830"/>
      <c r="AA475" s="2830"/>
      <c r="AB475" s="2830"/>
      <c r="AC475" s="2830"/>
      <c r="AD475" s="2830"/>
      <c r="AE475" s="2830"/>
      <c r="AF475" s="2830"/>
      <c r="AG475" s="2830"/>
      <c r="AH475" s="2831"/>
      <c r="AI475" s="2830"/>
      <c r="AJ475" s="2830"/>
      <c r="AK475" s="2830"/>
      <c r="AL475" s="2830"/>
      <c r="AM475" s="2830"/>
      <c r="AN475" s="2830"/>
      <c r="AO475" s="2830"/>
      <c r="AP475" s="2830"/>
      <c r="AQ475" s="2830"/>
      <c r="AR475" s="2820"/>
      <c r="AS475" s="2820"/>
      <c r="AT475" s="2820"/>
      <c r="AU475" s="2820"/>
      <c r="AV475" s="2766"/>
      <c r="AY475" s="2766"/>
    </row>
    <row r="476" spans="1:51">
      <c r="A476" s="2766"/>
      <c r="E476" s="2766"/>
      <c r="F476" s="2766"/>
      <c r="G476" s="2766"/>
      <c r="H476" s="2766"/>
      <c r="I476" s="2766"/>
      <c r="J476" s="2766"/>
      <c r="K476" s="2820"/>
      <c r="L476" s="2820"/>
      <c r="M476" s="2830"/>
      <c r="N476" s="2830"/>
      <c r="O476" s="2830"/>
      <c r="P476" s="2830"/>
      <c r="Q476" s="2830"/>
      <c r="R476" s="2830"/>
      <c r="S476" s="2830"/>
      <c r="T476" s="2830"/>
      <c r="U476" s="2830"/>
      <c r="V476" s="2830"/>
      <c r="W476" s="2830"/>
      <c r="X476" s="2830"/>
      <c r="Y476" s="2830"/>
      <c r="Z476" s="2830"/>
      <c r="AA476" s="2830"/>
      <c r="AB476" s="2830"/>
      <c r="AC476" s="2830"/>
      <c r="AD476" s="2830"/>
      <c r="AE476" s="2830"/>
      <c r="AF476" s="2830"/>
      <c r="AG476" s="2830"/>
      <c r="AH476" s="2831"/>
      <c r="AI476" s="2830"/>
      <c r="AJ476" s="2830"/>
      <c r="AK476" s="2830"/>
      <c r="AL476" s="2830"/>
      <c r="AM476" s="2830"/>
      <c r="AN476" s="2830"/>
      <c r="AO476" s="2830"/>
      <c r="AP476" s="2830"/>
      <c r="AQ476" s="2830"/>
      <c r="AR476" s="2820"/>
      <c r="AS476" s="2820"/>
      <c r="AT476" s="2820"/>
      <c r="AU476" s="2820"/>
      <c r="AV476" s="2766"/>
      <c r="AY476" s="2766"/>
    </row>
    <row r="477" spans="1:51">
      <c r="A477" s="2766"/>
      <c r="E477" s="2766"/>
      <c r="F477" s="2766"/>
      <c r="G477" s="2766"/>
      <c r="H477" s="2766"/>
      <c r="I477" s="2766"/>
      <c r="J477" s="2766"/>
      <c r="K477" s="2820"/>
      <c r="L477" s="2820"/>
      <c r="M477" s="2830"/>
      <c r="N477" s="2830"/>
      <c r="O477" s="2830"/>
      <c r="P477" s="2830"/>
      <c r="Q477" s="2830"/>
      <c r="R477" s="2830"/>
      <c r="S477" s="2830"/>
      <c r="T477" s="2830"/>
      <c r="U477" s="2830"/>
      <c r="V477" s="2830"/>
      <c r="W477" s="2830"/>
      <c r="X477" s="2830"/>
      <c r="Y477" s="2830"/>
      <c r="Z477" s="2830"/>
      <c r="AA477" s="2830"/>
      <c r="AB477" s="2830"/>
      <c r="AC477" s="2830"/>
      <c r="AD477" s="2830"/>
      <c r="AE477" s="2830"/>
      <c r="AF477" s="2830"/>
      <c r="AG477" s="2830"/>
      <c r="AH477" s="2831"/>
      <c r="AI477" s="2830"/>
      <c r="AJ477" s="2830"/>
      <c r="AK477" s="2830"/>
      <c r="AL477" s="2830"/>
      <c r="AM477" s="2830"/>
      <c r="AN477" s="2830"/>
      <c r="AO477" s="2830"/>
      <c r="AP477" s="2830"/>
      <c r="AQ477" s="2830"/>
      <c r="AR477" s="2820"/>
      <c r="AS477" s="2820"/>
      <c r="AT477" s="2820"/>
      <c r="AU477" s="2820"/>
      <c r="AV477" s="2766"/>
      <c r="AY477" s="2766"/>
    </row>
    <row r="478" spans="1:51">
      <c r="A478" s="2766"/>
      <c r="E478" s="2766"/>
      <c r="F478" s="2766"/>
      <c r="G478" s="2766"/>
      <c r="H478" s="2766"/>
      <c r="I478" s="2766"/>
      <c r="J478" s="2766"/>
      <c r="K478" s="2820"/>
      <c r="L478" s="2820"/>
      <c r="M478" s="2830"/>
      <c r="N478" s="2830"/>
      <c r="O478" s="2830"/>
      <c r="P478" s="2830"/>
      <c r="Q478" s="2830"/>
      <c r="R478" s="2830"/>
      <c r="S478" s="2830"/>
      <c r="T478" s="2830"/>
      <c r="U478" s="2830"/>
      <c r="V478" s="2830"/>
      <c r="W478" s="2830"/>
      <c r="X478" s="2830"/>
      <c r="Y478" s="2830"/>
      <c r="Z478" s="2830"/>
      <c r="AA478" s="2830"/>
      <c r="AB478" s="2830"/>
      <c r="AC478" s="2830"/>
      <c r="AD478" s="2830"/>
      <c r="AE478" s="2830"/>
      <c r="AF478" s="2830"/>
      <c r="AG478" s="2830"/>
      <c r="AH478" s="2831"/>
      <c r="AI478" s="2830"/>
      <c r="AJ478" s="2830"/>
      <c r="AK478" s="2830"/>
      <c r="AL478" s="2830"/>
      <c r="AM478" s="2830"/>
      <c r="AN478" s="2830"/>
      <c r="AO478" s="2830"/>
      <c r="AP478" s="2830"/>
      <c r="AQ478" s="2830"/>
      <c r="AR478" s="2820"/>
      <c r="AS478" s="2820"/>
      <c r="AT478" s="2820"/>
      <c r="AU478" s="2820"/>
      <c r="AV478" s="2766"/>
      <c r="AY478" s="2766"/>
    </row>
    <row r="479" spans="1:51">
      <c r="A479" s="2766"/>
      <c r="E479" s="2766"/>
      <c r="F479" s="2766"/>
      <c r="G479" s="2766"/>
      <c r="H479" s="2766"/>
      <c r="I479" s="2766"/>
      <c r="J479" s="2766"/>
      <c r="K479" s="2820"/>
      <c r="L479" s="2820"/>
      <c r="M479" s="2830"/>
      <c r="N479" s="2830"/>
      <c r="O479" s="2830"/>
      <c r="P479" s="2830"/>
      <c r="Q479" s="2830"/>
      <c r="R479" s="2830"/>
      <c r="S479" s="2830"/>
      <c r="T479" s="2830"/>
      <c r="U479" s="2830"/>
      <c r="V479" s="2830"/>
      <c r="W479" s="2830"/>
      <c r="X479" s="2830"/>
      <c r="Y479" s="2830"/>
      <c r="Z479" s="2830"/>
      <c r="AA479" s="2830"/>
      <c r="AB479" s="2830"/>
      <c r="AC479" s="2830"/>
      <c r="AD479" s="2830"/>
      <c r="AE479" s="2830"/>
      <c r="AF479" s="2830"/>
      <c r="AG479" s="2830"/>
      <c r="AH479" s="2831"/>
      <c r="AI479" s="2830"/>
      <c r="AJ479" s="2830"/>
      <c r="AK479" s="2830"/>
      <c r="AL479" s="2830"/>
      <c r="AM479" s="2830"/>
      <c r="AN479" s="2830"/>
      <c r="AO479" s="2830"/>
      <c r="AP479" s="2830"/>
      <c r="AQ479" s="2830"/>
      <c r="AR479" s="2820"/>
      <c r="AS479" s="2820"/>
      <c r="AT479" s="2820"/>
      <c r="AU479" s="2820"/>
      <c r="AV479" s="2766"/>
      <c r="AY479" s="2766"/>
    </row>
    <row r="480" spans="1:51">
      <c r="A480" s="2766"/>
      <c r="E480" s="2766"/>
      <c r="F480" s="2766"/>
      <c r="G480" s="2766"/>
      <c r="H480" s="2766"/>
      <c r="I480" s="2766"/>
      <c r="J480" s="2766"/>
      <c r="K480" s="2820"/>
      <c r="L480" s="2820"/>
      <c r="M480" s="2830"/>
      <c r="N480" s="2830"/>
      <c r="O480" s="2830"/>
      <c r="P480" s="2830"/>
      <c r="Q480" s="2830"/>
      <c r="R480" s="2830"/>
      <c r="S480" s="2830"/>
      <c r="T480" s="2830"/>
      <c r="U480" s="2830"/>
      <c r="V480" s="2830"/>
      <c r="W480" s="2830"/>
      <c r="X480" s="2830"/>
      <c r="Y480" s="2830"/>
      <c r="Z480" s="2830"/>
      <c r="AA480" s="2830"/>
      <c r="AB480" s="2830"/>
      <c r="AC480" s="2830"/>
      <c r="AD480" s="2830"/>
      <c r="AE480" s="2830"/>
      <c r="AF480" s="2830"/>
      <c r="AG480" s="2830"/>
      <c r="AH480" s="2831"/>
      <c r="AI480" s="2830"/>
      <c r="AJ480" s="2830"/>
      <c r="AK480" s="2830"/>
      <c r="AL480" s="2830"/>
      <c r="AM480" s="2830"/>
      <c r="AN480" s="2830"/>
      <c r="AO480" s="2830"/>
      <c r="AP480" s="2830"/>
      <c r="AQ480" s="2830"/>
      <c r="AR480" s="2820"/>
      <c r="AS480" s="2820"/>
      <c r="AT480" s="2820"/>
      <c r="AU480" s="2820"/>
      <c r="AV480" s="2766"/>
      <c r="AY480" s="2766"/>
    </row>
    <row r="481" spans="1:51">
      <c r="A481" s="2766"/>
      <c r="E481" s="2766"/>
      <c r="F481" s="2766"/>
      <c r="G481" s="2766"/>
      <c r="H481" s="2766"/>
      <c r="I481" s="2766"/>
      <c r="J481" s="2766"/>
      <c r="K481" s="2820"/>
      <c r="L481" s="2820"/>
      <c r="M481" s="2830"/>
      <c r="N481" s="2830"/>
      <c r="O481" s="2830"/>
      <c r="P481" s="2830"/>
      <c r="Q481" s="2830"/>
      <c r="R481" s="2830"/>
      <c r="S481" s="2830"/>
      <c r="T481" s="2830"/>
      <c r="U481" s="2830"/>
      <c r="V481" s="2830"/>
      <c r="W481" s="2830"/>
      <c r="X481" s="2830"/>
      <c r="Y481" s="2830"/>
      <c r="Z481" s="2830"/>
      <c r="AA481" s="2830"/>
      <c r="AB481" s="2830"/>
      <c r="AC481" s="2830"/>
      <c r="AD481" s="2830"/>
      <c r="AE481" s="2830"/>
      <c r="AF481" s="2830"/>
      <c r="AG481" s="2830"/>
      <c r="AH481" s="2831"/>
      <c r="AI481" s="2830"/>
      <c r="AJ481" s="2830"/>
      <c r="AK481" s="2830"/>
      <c r="AL481" s="2830"/>
      <c r="AM481" s="2830"/>
      <c r="AN481" s="2830"/>
      <c r="AO481" s="2830"/>
      <c r="AP481" s="2830"/>
      <c r="AQ481" s="2830"/>
      <c r="AR481" s="2820"/>
      <c r="AS481" s="2820"/>
      <c r="AT481" s="2820"/>
      <c r="AU481" s="2820"/>
      <c r="AV481" s="2766"/>
      <c r="AY481" s="2766"/>
    </row>
    <row r="482" spans="1:51">
      <c r="A482" s="2766"/>
      <c r="E482" s="2766"/>
      <c r="F482" s="2766"/>
      <c r="G482" s="2766"/>
      <c r="H482" s="2766"/>
      <c r="I482" s="2766"/>
      <c r="J482" s="2766"/>
      <c r="K482" s="2820"/>
      <c r="L482" s="2820"/>
      <c r="M482" s="2830"/>
      <c r="N482" s="2830"/>
      <c r="O482" s="2830"/>
      <c r="P482" s="2830"/>
      <c r="Q482" s="2830"/>
      <c r="R482" s="2830"/>
      <c r="S482" s="2830"/>
      <c r="T482" s="2830"/>
      <c r="U482" s="2830"/>
      <c r="V482" s="2830"/>
      <c r="W482" s="2830"/>
      <c r="X482" s="2830"/>
      <c r="Y482" s="2830"/>
      <c r="Z482" s="2830"/>
      <c r="AA482" s="2830"/>
      <c r="AB482" s="2830"/>
      <c r="AC482" s="2830"/>
      <c r="AD482" s="2830"/>
      <c r="AE482" s="2830"/>
      <c r="AF482" s="2830"/>
      <c r="AG482" s="2830"/>
      <c r="AH482" s="2831"/>
      <c r="AI482" s="2830"/>
      <c r="AJ482" s="2830"/>
      <c r="AK482" s="2830"/>
      <c r="AL482" s="2830"/>
      <c r="AM482" s="2830"/>
      <c r="AN482" s="2830"/>
      <c r="AO482" s="2830"/>
      <c r="AP482" s="2830"/>
      <c r="AQ482" s="2830"/>
      <c r="AR482" s="2820"/>
      <c r="AS482" s="2820"/>
      <c r="AT482" s="2820"/>
      <c r="AU482" s="2820"/>
      <c r="AV482" s="2766"/>
      <c r="AY482" s="2766"/>
    </row>
    <row r="483" spans="1:51">
      <c r="A483" s="2766"/>
      <c r="E483" s="2766"/>
      <c r="F483" s="2766"/>
      <c r="G483" s="2766"/>
      <c r="H483" s="2766"/>
      <c r="I483" s="2766"/>
      <c r="J483" s="2766"/>
      <c r="K483" s="2820"/>
      <c r="L483" s="2820"/>
      <c r="M483" s="2830"/>
      <c r="N483" s="2830"/>
      <c r="O483" s="2830"/>
      <c r="P483" s="2830"/>
      <c r="Q483" s="2830"/>
      <c r="R483" s="2830"/>
      <c r="S483" s="2830"/>
      <c r="T483" s="2830"/>
      <c r="U483" s="2830"/>
      <c r="V483" s="2830"/>
      <c r="W483" s="2830"/>
      <c r="X483" s="2830"/>
      <c r="Y483" s="2830"/>
      <c r="Z483" s="2830"/>
      <c r="AA483" s="2830"/>
      <c r="AB483" s="2830"/>
      <c r="AC483" s="2830"/>
      <c r="AD483" s="2830"/>
      <c r="AE483" s="2830"/>
      <c r="AF483" s="2830"/>
      <c r="AG483" s="2830"/>
      <c r="AH483" s="2831"/>
      <c r="AI483" s="2830"/>
      <c r="AJ483" s="2830"/>
      <c r="AK483" s="2830"/>
      <c r="AL483" s="2830"/>
      <c r="AM483" s="2830"/>
      <c r="AN483" s="2830"/>
      <c r="AO483" s="2830"/>
      <c r="AP483" s="2830"/>
      <c r="AQ483" s="2830"/>
      <c r="AR483" s="2820"/>
      <c r="AS483" s="2820"/>
      <c r="AT483" s="2820"/>
      <c r="AU483" s="2820"/>
      <c r="AV483" s="2766"/>
      <c r="AY483" s="2766"/>
    </row>
  </sheetData>
  <mergeCells count="41">
    <mergeCell ref="K113:AQ113"/>
    <mergeCell ref="AI120:AP120"/>
    <mergeCell ref="AY9:AY10"/>
    <mergeCell ref="K112:T112"/>
    <mergeCell ref="K114:AQ114"/>
    <mergeCell ref="AT9:AT10"/>
    <mergeCell ref="AW9:AW10"/>
    <mergeCell ref="AV9:AV10"/>
    <mergeCell ref="AR9:AR10"/>
    <mergeCell ref="AS9:AS10"/>
    <mergeCell ref="AU9:AU10"/>
    <mergeCell ref="J7:AY7"/>
    <mergeCell ref="A5:G5"/>
    <mergeCell ref="A1:AY1"/>
    <mergeCell ref="A2:AY2"/>
    <mergeCell ref="A3:AY3"/>
    <mergeCell ref="J4:V4"/>
    <mergeCell ref="J5:V5"/>
    <mergeCell ref="A9:A12"/>
    <mergeCell ref="B9:B12"/>
    <mergeCell ref="C9:C12"/>
    <mergeCell ref="D9:D12"/>
    <mergeCell ref="G9:G12"/>
    <mergeCell ref="F9:F12"/>
    <mergeCell ref="E9:E12"/>
    <mergeCell ref="H9:H12"/>
    <mergeCell ref="K9:K10"/>
    <mergeCell ref="I9:I12"/>
    <mergeCell ref="K111:T111"/>
    <mergeCell ref="AA111:AQ111"/>
    <mergeCell ref="L9:L10"/>
    <mergeCell ref="M9:AQ9"/>
    <mergeCell ref="J9:J10"/>
    <mergeCell ref="T84:AC84"/>
    <mergeCell ref="K12:L12"/>
    <mergeCell ref="K49:L49"/>
    <mergeCell ref="K65:L65"/>
    <mergeCell ref="J82:L82"/>
    <mergeCell ref="T83:AC83"/>
    <mergeCell ref="K110:T110"/>
    <mergeCell ref="AA110:AQ110"/>
  </mergeCells>
  <conditionalFormatting sqref="M23">
    <cfRule type="containsBlanks" dxfId="116" priority="107">
      <formula>LEN(TRIM(M23))=0</formula>
    </cfRule>
    <cfRule type="containsBlanks" dxfId="115" priority="108">
      <formula>LEN(TRIM(M23))=0</formula>
    </cfRule>
  </conditionalFormatting>
  <conditionalFormatting sqref="M33">
    <cfRule type="containsBlanks" dxfId="114" priority="105">
      <formula>LEN(TRIM(M33))=0</formula>
    </cfRule>
    <cfRule type="containsBlanks" dxfId="113" priority="106">
      <formula>LEN(TRIM(M33))=0</formula>
    </cfRule>
  </conditionalFormatting>
  <conditionalFormatting sqref="M13">
    <cfRule type="containsBlanks" dxfId="112" priority="109">
      <formula>LEN(TRIM(M13))=0</formula>
    </cfRule>
    <cfRule type="containsBlanks" dxfId="111" priority="110">
      <formula>LEN(TRIM(M13))=0</formula>
    </cfRule>
  </conditionalFormatting>
  <conditionalFormatting sqref="O13 Q13 S13 U13 W13 Y13 AC13 AE13 AG13:AI13">
    <cfRule type="containsBlanks" dxfId="110" priority="93">
      <formula>LEN(TRIM(O13))=0</formula>
    </cfRule>
    <cfRule type="containsBlanks" dxfId="109" priority="94">
      <formula>LEN(TRIM(O13))=0</formula>
    </cfRule>
  </conditionalFormatting>
  <conditionalFormatting sqref="N37">
    <cfRule type="containsBlanks" dxfId="108" priority="85">
      <formula>LEN(TRIM(N37))=0</formula>
    </cfRule>
    <cfRule type="containsBlanks" dxfId="107" priority="86">
      <formula>LEN(TRIM(N37))=0</formula>
    </cfRule>
  </conditionalFormatting>
  <conditionalFormatting sqref="Q25">
    <cfRule type="containsBlanks" dxfId="106" priority="83">
      <formula>LEN(TRIM(Q25))=0</formula>
    </cfRule>
    <cfRule type="containsBlanks" dxfId="105" priority="84">
      <formula>LEN(TRIM(Q25))=0</formula>
    </cfRule>
  </conditionalFormatting>
  <conditionalFormatting sqref="Q37">
    <cfRule type="containsBlanks" dxfId="104" priority="81">
      <formula>LEN(TRIM(Q37))=0</formula>
    </cfRule>
    <cfRule type="containsBlanks" dxfId="103" priority="82">
      <formula>LEN(TRIM(Q37))=0</formula>
    </cfRule>
  </conditionalFormatting>
  <conditionalFormatting sqref="R24">
    <cfRule type="containsBlanks" dxfId="102" priority="79">
      <formula>LEN(TRIM(R24))=0</formula>
    </cfRule>
    <cfRule type="containsBlanks" dxfId="101" priority="80">
      <formula>LEN(TRIM(R24))=0</formula>
    </cfRule>
  </conditionalFormatting>
  <conditionalFormatting sqref="R36">
    <cfRule type="containsBlanks" dxfId="100" priority="77">
      <formula>LEN(TRIM(R36))=0</formula>
    </cfRule>
    <cfRule type="containsBlanks" dxfId="99" priority="78">
      <formula>LEN(TRIM(R36))=0</formula>
    </cfRule>
  </conditionalFormatting>
  <conditionalFormatting sqref="R48">
    <cfRule type="containsBlanks" dxfId="98" priority="97">
      <formula>LEN(TRIM(R48))=0</formula>
    </cfRule>
    <cfRule type="containsBlanks" dxfId="97" priority="98">
      <formula>LEN(TRIM(R48))=0</formula>
    </cfRule>
  </conditionalFormatting>
  <conditionalFormatting sqref="U25">
    <cfRule type="containsBlanks" dxfId="96" priority="75">
      <formula>LEN(TRIM(U25))=0</formula>
    </cfRule>
    <cfRule type="containsBlanks" dxfId="95" priority="76">
      <formula>LEN(TRIM(U25))=0</formula>
    </cfRule>
  </conditionalFormatting>
  <conditionalFormatting sqref="U37">
    <cfRule type="containsBlanks" dxfId="94" priority="73">
      <formula>LEN(TRIM(U37))=0</formula>
    </cfRule>
    <cfRule type="containsBlanks" dxfId="93" priority="74">
      <formula>LEN(TRIM(U37))=0</formula>
    </cfRule>
  </conditionalFormatting>
  <conditionalFormatting sqref="V24">
    <cfRule type="containsBlanks" dxfId="92" priority="69">
      <formula>LEN(TRIM(V24))=0</formula>
    </cfRule>
    <cfRule type="containsBlanks" dxfId="91" priority="70">
      <formula>LEN(TRIM(V24))=0</formula>
    </cfRule>
  </conditionalFormatting>
  <conditionalFormatting sqref="V36">
    <cfRule type="containsBlanks" dxfId="90" priority="67">
      <formula>LEN(TRIM(V36))=0</formula>
    </cfRule>
    <cfRule type="containsBlanks" dxfId="89" priority="68">
      <formula>LEN(TRIM(V36))=0</formula>
    </cfRule>
  </conditionalFormatting>
  <conditionalFormatting sqref="V48">
    <cfRule type="containsBlanks" dxfId="88" priority="71">
      <formula>LEN(TRIM(V48))=0</formula>
    </cfRule>
    <cfRule type="containsBlanks" dxfId="87" priority="72">
      <formula>LEN(TRIM(V48))=0</formula>
    </cfRule>
  </conditionalFormatting>
  <conditionalFormatting sqref="Y25">
    <cfRule type="containsBlanks" dxfId="86" priority="65">
      <formula>LEN(TRIM(Y25))=0</formula>
    </cfRule>
    <cfRule type="containsBlanks" dxfId="85" priority="66">
      <formula>LEN(TRIM(Y25))=0</formula>
    </cfRule>
  </conditionalFormatting>
  <conditionalFormatting sqref="Y37">
    <cfRule type="containsBlanks" dxfId="84" priority="63">
      <formula>LEN(TRIM(Y37))=0</formula>
    </cfRule>
    <cfRule type="containsBlanks" dxfId="83" priority="64">
      <formula>LEN(TRIM(Y37))=0</formula>
    </cfRule>
  </conditionalFormatting>
  <conditionalFormatting sqref="Z24">
    <cfRule type="containsBlanks" dxfId="82" priority="55">
      <formula>LEN(TRIM(Z24))=0</formula>
    </cfRule>
    <cfRule type="containsBlanks" dxfId="81" priority="56">
      <formula>LEN(TRIM(Z24))=0</formula>
    </cfRule>
  </conditionalFormatting>
  <conditionalFormatting sqref="Z36">
    <cfRule type="containsBlanks" dxfId="80" priority="53">
      <formula>LEN(TRIM(Z36))=0</formula>
    </cfRule>
    <cfRule type="containsBlanks" dxfId="79" priority="54">
      <formula>LEN(TRIM(Z36))=0</formula>
    </cfRule>
  </conditionalFormatting>
  <conditionalFormatting sqref="Z48">
    <cfRule type="containsBlanks" dxfId="78" priority="57">
      <formula>LEN(TRIM(Z48))=0</formula>
    </cfRule>
    <cfRule type="containsBlanks" dxfId="77" priority="58">
      <formula>LEN(TRIM(Z48))=0</formula>
    </cfRule>
  </conditionalFormatting>
  <conditionalFormatting sqref="AA13">
    <cfRule type="containsBlanks" dxfId="76" priority="59">
      <formula>LEN(TRIM(AA13))=0</formula>
    </cfRule>
    <cfRule type="containsBlanks" dxfId="75" priority="60">
      <formula>LEN(TRIM(AA13))=0</formula>
    </cfRule>
  </conditionalFormatting>
  <conditionalFormatting sqref="AA40:AA44 AA46:AA48">
    <cfRule type="containsBlanks" dxfId="74" priority="61">
      <formula>LEN(TRIM(AA40))=0</formula>
    </cfRule>
    <cfRule type="containsBlanks" dxfId="73" priority="62">
      <formula>LEN(TRIM(AA40))=0</formula>
    </cfRule>
  </conditionalFormatting>
  <conditionalFormatting sqref="AC25">
    <cfRule type="containsBlanks" dxfId="72" priority="51">
      <formula>LEN(TRIM(AC25))=0</formula>
    </cfRule>
    <cfRule type="containsBlanks" dxfId="71" priority="52">
      <formula>LEN(TRIM(AC25))=0</formula>
    </cfRule>
  </conditionalFormatting>
  <conditionalFormatting sqref="AC37">
    <cfRule type="containsBlanks" dxfId="70" priority="49">
      <formula>LEN(TRIM(AC37))=0</formula>
    </cfRule>
    <cfRule type="containsBlanks" dxfId="69" priority="50">
      <formula>LEN(TRIM(AC37))=0</formula>
    </cfRule>
  </conditionalFormatting>
  <conditionalFormatting sqref="AD24">
    <cfRule type="containsBlanks" dxfId="68" priority="45">
      <formula>LEN(TRIM(AD24))=0</formula>
    </cfRule>
    <cfRule type="containsBlanks" dxfId="67" priority="46">
      <formula>LEN(TRIM(AD24))=0</formula>
    </cfRule>
  </conditionalFormatting>
  <conditionalFormatting sqref="AD48">
    <cfRule type="containsBlanks" dxfId="66" priority="47">
      <formula>LEN(TRIM(AD48))=0</formula>
    </cfRule>
    <cfRule type="containsBlanks" dxfId="65" priority="48">
      <formula>LEN(TRIM(AD48))=0</formula>
    </cfRule>
  </conditionalFormatting>
  <conditionalFormatting sqref="AG25">
    <cfRule type="containsBlanks" dxfId="64" priority="41">
      <formula>LEN(TRIM(AG25))=0</formula>
    </cfRule>
    <cfRule type="containsBlanks" dxfId="63" priority="42">
      <formula>LEN(TRIM(AG25))=0</formula>
    </cfRule>
  </conditionalFormatting>
  <conditionalFormatting sqref="AG37">
    <cfRule type="containsBlanks" dxfId="62" priority="39">
      <formula>LEN(TRIM(AG37))=0</formula>
    </cfRule>
    <cfRule type="containsBlanks" dxfId="61" priority="40">
      <formula>LEN(TRIM(AG37))=0</formula>
    </cfRule>
  </conditionalFormatting>
  <conditionalFormatting sqref="AH14">
    <cfRule type="containsBlanks" dxfId="60" priority="89">
      <formula>LEN(TRIM(AH14))=0</formula>
    </cfRule>
    <cfRule type="containsBlanks" dxfId="59" priority="90">
      <formula>LEN(TRIM(AH14))=0</formula>
    </cfRule>
  </conditionalFormatting>
  <conditionalFormatting sqref="AH48">
    <cfRule type="containsBlanks" dxfId="58" priority="95">
      <formula>LEN(TRIM(AH48))=0</formula>
    </cfRule>
    <cfRule type="containsBlanks" dxfId="57" priority="96">
      <formula>LEN(TRIM(AH48))=0</formula>
    </cfRule>
  </conditionalFormatting>
  <conditionalFormatting sqref="AK13 AL42:AL48">
    <cfRule type="containsBlanks" dxfId="56" priority="99">
      <formula>LEN(TRIM(AK13))=0</formula>
    </cfRule>
    <cfRule type="containsBlanks" dxfId="55" priority="100">
      <formula>LEN(TRIM(AK13))=0</formula>
    </cfRule>
  </conditionalFormatting>
  <conditionalFormatting sqref="AK13">
    <cfRule type="containsBlanks" dxfId="54" priority="104">
      <formula>LEN(TRIM(AK13))=0</formula>
    </cfRule>
  </conditionalFormatting>
  <conditionalFormatting sqref="AM13">
    <cfRule type="containsBlanks" dxfId="53" priority="37">
      <formula>LEN(TRIM(AM13))=0</formula>
    </cfRule>
    <cfRule type="containsBlanks" dxfId="52" priority="38">
      <formula>LEN(TRIM(AM13))=0</formula>
    </cfRule>
  </conditionalFormatting>
  <conditionalFormatting sqref="AK13:AL19 AK21:AL28 AK20 AK31:AL35 AL29:AL30 AK37:AL48 AL36">
    <cfRule type="containsBlanks" dxfId="51" priority="91">
      <formula>LEN(TRIM(AK13))=0</formula>
    </cfRule>
    <cfRule type="containsBlanks" dxfId="50" priority="92">
      <formula>LEN(TRIM(AK13))=0</formula>
    </cfRule>
  </conditionalFormatting>
  <conditionalFormatting sqref="AK13">
    <cfRule type="containsBlanks" dxfId="49" priority="103">
      <formula>LEN(TRIM(AK13))=0</formula>
    </cfRule>
  </conditionalFormatting>
  <conditionalFormatting sqref="AL42:AL48">
    <cfRule type="containsBlanks" dxfId="48" priority="101">
      <formula>LEN(TRIM(AL42))=0</formula>
    </cfRule>
  </conditionalFormatting>
  <conditionalFormatting sqref="AL42:AL48">
    <cfRule type="containsBlanks" dxfId="47" priority="102">
      <formula>LEN(TRIM(AL42))=0</formula>
    </cfRule>
  </conditionalFormatting>
  <conditionalFormatting sqref="AO13">
    <cfRule type="containsBlanks" dxfId="46" priority="33">
      <formula>LEN(TRIM(AO13))=0</formula>
    </cfRule>
    <cfRule type="containsBlanks" dxfId="45" priority="34">
      <formula>LEN(TRIM(AO13))=0</formula>
    </cfRule>
  </conditionalFormatting>
  <conditionalFormatting sqref="AO48">
    <cfRule type="containsBlanks" dxfId="44" priority="35">
      <formula>LEN(TRIM(AO48))=0</formula>
    </cfRule>
    <cfRule type="containsBlanks" dxfId="43" priority="36">
      <formula>LEN(TRIM(AO48))=0</formula>
    </cfRule>
  </conditionalFormatting>
  <conditionalFormatting sqref="AP24">
    <cfRule type="containsBlanks" dxfId="42" priority="29">
      <formula>LEN(TRIM(AP24))=0</formula>
    </cfRule>
    <cfRule type="containsBlanks" dxfId="41" priority="30">
      <formula>LEN(TRIM(AP24))=0</formula>
    </cfRule>
  </conditionalFormatting>
  <conditionalFormatting sqref="AP48">
    <cfRule type="containsBlanks" dxfId="40" priority="31">
      <formula>LEN(TRIM(AP48))=0</formula>
    </cfRule>
    <cfRule type="containsBlanks" dxfId="39" priority="32">
      <formula>LEN(TRIM(AP48))=0</formula>
    </cfRule>
  </conditionalFormatting>
  <conditionalFormatting sqref="M50:AJ50 M51:P51 R51:AJ51 M52:AJ64">
    <cfRule type="containsBlanks" dxfId="38" priority="25">
      <formula>LEN(TRIM(M50))=0</formula>
    </cfRule>
  </conditionalFormatting>
  <conditionalFormatting sqref="M50:AP50 M51:P51 R51:AP51 M52:AP64">
    <cfRule type="containsBlanks" dxfId="37" priority="24">
      <formula>LEN(TRIM(M50))=0</formula>
    </cfRule>
  </conditionalFormatting>
  <conditionalFormatting sqref="M52:AP64 M50:AP50 M51:P51 R51:AP51">
    <cfRule type="containsBlanks" dxfId="36" priority="23">
      <formula>LEN(TRIM(M50))=0</formula>
    </cfRule>
  </conditionalFormatting>
  <conditionalFormatting sqref="V62">
    <cfRule type="containsBlanks" dxfId="35" priority="21">
      <formula>LEN(TRIM(V62))=0</formula>
    </cfRule>
    <cfRule type="containsBlanks" dxfId="34" priority="22">
      <formula>LEN(TRIM(V62))=0</formula>
    </cfRule>
  </conditionalFormatting>
  <conditionalFormatting sqref="AF50:AJ64">
    <cfRule type="containsBlanks" dxfId="33" priority="26">
      <formula>LEN(TRIM(AF50))=0</formula>
    </cfRule>
  </conditionalFormatting>
  <conditionalFormatting sqref="AQ50:AQ64">
    <cfRule type="containsBlanks" dxfId="32" priority="19">
      <formula>LEN(TRIM(AQ50))=0</formula>
    </cfRule>
    <cfRule type="containsBlanks" dxfId="31" priority="20">
      <formula>LEN(TRIM(AQ50))=0</formula>
    </cfRule>
  </conditionalFormatting>
  <conditionalFormatting sqref="M66:AQ81">
    <cfRule type="containsBlanks" dxfId="30" priority="13">
      <formula>LEN(TRIM(M66))=0</formula>
    </cfRule>
    <cfRule type="containsBlanks" dxfId="29" priority="14">
      <formula>LEN(TRIM(M66))=0</formula>
    </cfRule>
  </conditionalFormatting>
  <conditionalFormatting sqref="U66:U72">
    <cfRule type="containsBlanks" dxfId="28" priority="1">
      <formula>LEN(TRIM(U66))=0</formula>
    </cfRule>
    <cfRule type="containsBlanks" dxfId="27" priority="2">
      <formula>LEN(TRIM(U66))=0</formula>
    </cfRule>
  </conditionalFormatting>
  <conditionalFormatting sqref="V78">
    <cfRule type="containsBlanks" dxfId="26" priority="9">
      <formula>LEN(TRIM(V78))=0</formula>
    </cfRule>
    <cfRule type="containsBlanks" dxfId="25" priority="10">
      <formula>LEN(TRIM(V78))=0</formula>
    </cfRule>
  </conditionalFormatting>
  <conditionalFormatting sqref="AB66:AB72">
    <cfRule type="containsBlanks" dxfId="24" priority="3">
      <formula>LEN(TRIM(AB66))=0</formula>
    </cfRule>
    <cfRule type="containsBlanks" dxfId="23" priority="4">
      <formula>LEN(TRIM(AB66))=0</formula>
    </cfRule>
  </conditionalFormatting>
  <conditionalFormatting sqref="AF66:AJ81">
    <cfRule type="containsBlanks" dxfId="22" priority="17">
      <formula>LEN(TRIM(AF66))=0</formula>
    </cfRule>
    <cfRule type="containsBlanks" dxfId="21" priority="18">
      <formula>LEN(TRIM(AF66))=0</formula>
    </cfRule>
  </conditionalFormatting>
  <conditionalFormatting sqref="AI66:AI72">
    <cfRule type="containsBlanks" dxfId="20" priority="5">
      <formula>LEN(TRIM(AI66))=0</formula>
    </cfRule>
    <cfRule type="containsBlanks" dxfId="19" priority="6">
      <formula>LEN(TRIM(AI66))=0</formula>
    </cfRule>
  </conditionalFormatting>
  <conditionalFormatting sqref="AK66:AK81">
    <cfRule type="containsBlanks" dxfId="18" priority="11">
      <formula>LEN(TRIM(AK66))=0</formula>
    </cfRule>
    <cfRule type="containsBlanks" dxfId="17" priority="12">
      <formula>LEN(TRIM(AK66))=0</formula>
    </cfRule>
  </conditionalFormatting>
  <conditionalFormatting sqref="AK66:AO72 AM73:AN81">
    <cfRule type="containsBlanks" dxfId="16" priority="7">
      <formula>LEN(TRIM(AK66))=0</formula>
    </cfRule>
    <cfRule type="containsBlanks" dxfId="15" priority="8">
      <formula>LEN(TRIM(AK66))=0</formula>
    </cfRule>
  </conditionalFormatting>
  <conditionalFormatting sqref="AL66:AP81">
    <cfRule type="containsBlanks" dxfId="14" priority="15">
      <formula>LEN(TRIM(AL66))=0</formula>
    </cfRule>
    <cfRule type="containsBlanks" dxfId="13" priority="16">
      <formula>LEN(TRIM(AL66))=0</formula>
    </cfRule>
  </conditionalFormatting>
  <conditionalFormatting sqref="N25">
    <cfRule type="containsBlanks" dxfId="12" priority="87">
      <formula>LEN(TRIM(N25))=0</formula>
    </cfRule>
    <cfRule type="containsBlanks" dxfId="11" priority="88">
      <formula>LEN(TRIM(N25))=0</formula>
    </cfRule>
  </conditionalFormatting>
  <conditionalFormatting sqref="AD36">
    <cfRule type="containsBlanks" dxfId="10" priority="43">
      <formula>LEN(TRIM(AD36))=0</formula>
    </cfRule>
    <cfRule type="containsBlanks" dxfId="9" priority="44">
      <formula>LEN(TRIM(AD36))=0</formula>
    </cfRule>
  </conditionalFormatting>
  <conditionalFormatting sqref="AP36">
    <cfRule type="containsBlanks" dxfId="8" priority="27">
      <formula>LEN(TRIM(AP36))=0</formula>
    </cfRule>
    <cfRule type="containsBlanks" dxfId="7" priority="28">
      <formula>LEN(TRIM(AP36))=0</formula>
    </cfRule>
  </conditionalFormatting>
  <printOptions horizontalCentered="1"/>
  <pageMargins left="0.23622047244094491" right="0.19685039370078741" top="0.23622047244094491" bottom="0.23622047244094491" header="0.19685039370078741" footer="0.19685039370078741"/>
  <pageSetup paperSize="9" scale="67" orientation="landscape" r:id="rId1"/>
  <rowBreaks count="2" manualBreakCount="2">
    <brk id="35" max="50" man="1"/>
    <brk id="61" max="50" man="1"/>
  </rowBreaks>
  <colBreaks count="1" manualBreakCount="1">
    <brk id="49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Y97"/>
  <sheetViews>
    <sheetView zoomScale="70" zoomScaleNormal="70" workbookViewId="0">
      <pane xSplit="1" ySplit="11" topLeftCell="B81" activePane="bottomRight" state="frozen"/>
      <selection pane="topRight" activeCell="B1" sqref="B1"/>
      <selection pane="bottomLeft" activeCell="A12" sqref="A12"/>
      <selection pane="bottomRight" activeCell="AJ81" sqref="AJ81"/>
    </sheetView>
  </sheetViews>
  <sheetFormatPr defaultColWidth="9.25" defaultRowHeight="15.75"/>
  <cols>
    <col min="1" max="1" width="3.625" style="2662" customWidth="1"/>
    <col min="2" max="2" width="4.5" style="2661" customWidth="1"/>
    <col min="3" max="3" width="14.75" style="2661" customWidth="1"/>
    <col min="4" max="33" width="6.75" style="2669" customWidth="1"/>
    <col min="34" max="34" width="6.75" style="2661" customWidth="1"/>
    <col min="35" max="35" width="8.5" style="3183" customWidth="1"/>
    <col min="36" max="36" width="7.875" style="3183" customWidth="1"/>
    <col min="37" max="38" width="6.75" style="2661" customWidth="1"/>
    <col min="39" max="39" width="10" style="2661" hidden="1" customWidth="1"/>
    <col min="40" max="41" width="0" style="2661" hidden="1" customWidth="1"/>
    <col min="42" max="42" width="14.875" style="2661" hidden="1" customWidth="1"/>
    <col min="43" max="47" width="0" style="2661" hidden="1" customWidth="1"/>
    <col min="48" max="48" width="2.125" style="2661" hidden="1" customWidth="1"/>
    <col min="49" max="49" width="9.25" style="2661"/>
    <col min="50" max="50" width="22.375" style="2661" bestFit="1" customWidth="1"/>
    <col min="51" max="16384" width="9.25" style="2661"/>
  </cols>
  <sheetData>
    <row r="1" spans="1:51" ht="21" customHeight="1">
      <c r="A1" s="3719" t="s">
        <v>165</v>
      </c>
      <c r="B1" s="3719"/>
      <c r="C1" s="3719"/>
      <c r="D1" s="3719"/>
      <c r="E1" s="3719"/>
      <c r="F1" s="3719"/>
      <c r="G1" s="3719"/>
      <c r="H1" s="3719"/>
      <c r="I1" s="3719"/>
      <c r="J1" s="3719"/>
      <c r="K1" s="3719"/>
      <c r="L1" s="3719"/>
      <c r="M1" s="3719"/>
      <c r="N1" s="3719"/>
      <c r="O1" s="3719"/>
      <c r="P1" s="3719"/>
      <c r="Q1" s="3719"/>
      <c r="R1" s="3719"/>
      <c r="S1" s="3719"/>
      <c r="T1" s="3719"/>
      <c r="U1" s="3719"/>
      <c r="V1" s="3719"/>
      <c r="W1" s="3719"/>
      <c r="X1" s="3719"/>
      <c r="Y1" s="3719"/>
      <c r="Z1" s="3719"/>
      <c r="AA1" s="3719"/>
      <c r="AB1" s="3719"/>
      <c r="AC1" s="3719"/>
      <c r="AD1" s="3719"/>
      <c r="AE1" s="3719"/>
      <c r="AF1" s="3719"/>
      <c r="AG1" s="3719"/>
      <c r="AH1" s="3719"/>
      <c r="AI1" s="3719"/>
      <c r="AJ1" s="3719"/>
      <c r="AK1" s="3719"/>
      <c r="AL1" s="3719"/>
      <c r="AM1" s="2660"/>
      <c r="AN1" s="2660"/>
      <c r="AO1" s="2660"/>
      <c r="AP1" s="2660"/>
      <c r="AQ1" s="2660"/>
      <c r="AR1" s="2660"/>
      <c r="AS1" s="2660"/>
      <c r="AT1" s="2660"/>
      <c r="AU1" s="2660"/>
      <c r="AV1" s="2660"/>
      <c r="AW1" s="2660"/>
      <c r="AX1" s="2660"/>
      <c r="AY1" s="2660"/>
    </row>
    <row r="2" spans="1:51" ht="21" customHeight="1">
      <c r="A2" s="3719" t="s">
        <v>171</v>
      </c>
      <c r="B2" s="3719"/>
      <c r="C2" s="3719"/>
      <c r="D2" s="3719"/>
      <c r="E2" s="3719"/>
      <c r="F2" s="3719"/>
      <c r="G2" s="3719"/>
      <c r="H2" s="3719"/>
      <c r="I2" s="3719"/>
      <c r="J2" s="3719"/>
      <c r="K2" s="3719"/>
      <c r="L2" s="3719"/>
      <c r="M2" s="3719"/>
      <c r="N2" s="3719"/>
      <c r="O2" s="3719"/>
      <c r="P2" s="3719"/>
      <c r="Q2" s="3719"/>
      <c r="R2" s="3719"/>
      <c r="S2" s="3719"/>
      <c r="T2" s="3719"/>
      <c r="U2" s="3719"/>
      <c r="V2" s="3719"/>
      <c r="W2" s="3719"/>
      <c r="X2" s="3719"/>
      <c r="Y2" s="3719"/>
      <c r="Z2" s="3719"/>
      <c r="AA2" s="3719"/>
      <c r="AB2" s="3719"/>
      <c r="AC2" s="3719"/>
      <c r="AD2" s="3719"/>
      <c r="AE2" s="3719"/>
      <c r="AF2" s="3719"/>
      <c r="AG2" s="3719"/>
      <c r="AH2" s="3719"/>
      <c r="AI2" s="3719"/>
      <c r="AJ2" s="3719"/>
      <c r="AK2" s="3719"/>
      <c r="AL2" s="3719"/>
      <c r="AM2" s="2660"/>
      <c r="AN2" s="2660"/>
      <c r="AO2" s="2660"/>
      <c r="AP2" s="2660"/>
      <c r="AQ2" s="2660"/>
      <c r="AR2" s="2660"/>
      <c r="AS2" s="2660"/>
      <c r="AT2" s="2660"/>
      <c r="AU2" s="2660"/>
      <c r="AV2" s="2660"/>
      <c r="AW2" s="2660"/>
      <c r="AX2" s="2660"/>
      <c r="AY2" s="2660"/>
    </row>
    <row r="3" spans="1:51" ht="21" customHeight="1">
      <c r="A3" s="3720" t="s">
        <v>726</v>
      </c>
      <c r="B3" s="3720"/>
      <c r="C3" s="3720"/>
      <c r="D3" s="3720"/>
      <c r="E3" s="3720"/>
      <c r="F3" s="3720"/>
      <c r="G3" s="3720"/>
      <c r="H3" s="3720"/>
      <c r="I3" s="3720"/>
      <c r="J3" s="3720"/>
      <c r="K3" s="3720"/>
      <c r="L3" s="3720"/>
      <c r="M3" s="3720"/>
      <c r="N3" s="3720"/>
      <c r="O3" s="3720"/>
      <c r="P3" s="3720"/>
      <c r="Q3" s="3720"/>
      <c r="R3" s="3720"/>
      <c r="S3" s="3720"/>
      <c r="T3" s="3720"/>
      <c r="U3" s="3720"/>
      <c r="V3" s="3720"/>
      <c r="W3" s="3720"/>
      <c r="X3" s="3720"/>
      <c r="Y3" s="3720"/>
      <c r="Z3" s="3720"/>
      <c r="AA3" s="3720"/>
      <c r="AB3" s="3720"/>
      <c r="AC3" s="3720"/>
      <c r="AD3" s="3720"/>
      <c r="AE3" s="3720"/>
      <c r="AF3" s="3720"/>
      <c r="AG3" s="3720"/>
      <c r="AH3" s="3720"/>
      <c r="AI3" s="3720"/>
      <c r="AJ3" s="3720"/>
      <c r="AK3" s="3720"/>
      <c r="AL3" s="3720"/>
      <c r="AM3" s="2660"/>
      <c r="AN3" s="2660"/>
      <c r="AO3" s="2660"/>
      <c r="AP3" s="2660"/>
      <c r="AQ3" s="2660"/>
      <c r="AR3" s="2660"/>
      <c r="AS3" s="2660"/>
      <c r="AT3" s="2660"/>
      <c r="AU3" s="2660"/>
      <c r="AV3" s="2660"/>
      <c r="AW3" s="2660"/>
      <c r="AX3" s="2660"/>
      <c r="AY3" s="2660"/>
    </row>
    <row r="4" spans="1:51" ht="1.5" customHeight="1">
      <c r="B4" s="2663"/>
      <c r="C4" s="2663"/>
      <c r="D4" s="2663"/>
      <c r="E4" s="2663"/>
      <c r="F4" s="2663"/>
      <c r="G4" s="2663"/>
      <c r="H4" s="3538"/>
      <c r="I4" s="3538"/>
      <c r="J4" s="3538"/>
      <c r="K4" s="3538"/>
      <c r="L4" s="3538"/>
      <c r="M4" s="3538"/>
      <c r="N4" s="3538"/>
      <c r="O4" s="3538"/>
      <c r="P4" s="3538"/>
      <c r="Q4" s="3538"/>
      <c r="R4" s="3538"/>
      <c r="S4" s="3538"/>
      <c r="T4" s="3538"/>
      <c r="U4" s="2661"/>
      <c r="V4" s="2661"/>
      <c r="W4" s="2661"/>
      <c r="X4" s="2661"/>
      <c r="Y4" s="2661"/>
      <c r="Z4" s="2661"/>
      <c r="AA4" s="2661"/>
      <c r="AB4" s="2661"/>
      <c r="AC4" s="2661"/>
      <c r="AD4" s="2661"/>
      <c r="AE4" s="2661"/>
      <c r="AF4" s="2661"/>
      <c r="AG4" s="2661"/>
    </row>
    <row r="5" spans="1:51" ht="26.25" customHeight="1">
      <c r="A5" s="3721" t="s">
        <v>602</v>
      </c>
      <c r="B5" s="3721"/>
      <c r="C5" s="3721"/>
      <c r="D5" s="3721"/>
      <c r="E5" s="3721"/>
      <c r="F5" s="3721"/>
      <c r="G5" s="3721"/>
      <c r="H5" s="3721"/>
      <c r="I5" s="3721"/>
      <c r="J5" s="3721"/>
      <c r="K5" s="3721"/>
      <c r="L5" s="3721"/>
      <c r="M5" s="3721"/>
      <c r="N5" s="3721"/>
      <c r="O5" s="2663"/>
      <c r="P5" s="2663"/>
      <c r="Q5" s="2663"/>
      <c r="R5" s="2663"/>
      <c r="S5" s="2663"/>
      <c r="T5" s="2663"/>
      <c r="U5" s="2663"/>
      <c r="V5" s="2663"/>
      <c r="W5" s="2661"/>
      <c r="X5" s="2661"/>
      <c r="Y5" s="2661"/>
      <c r="Z5" s="2661"/>
      <c r="AA5" s="2661"/>
      <c r="AB5" s="2661"/>
      <c r="AC5" s="2661"/>
      <c r="AD5" s="2661"/>
      <c r="AE5" s="2661"/>
      <c r="AF5" s="2661"/>
      <c r="AG5" s="2661"/>
    </row>
    <row r="6" spans="1:51" s="2665" customFormat="1" ht="21" customHeight="1">
      <c r="A6" s="3720" t="s">
        <v>541</v>
      </c>
      <c r="B6" s="3720"/>
      <c r="C6" s="3720"/>
      <c r="D6" s="3720"/>
      <c r="E6" s="3720"/>
      <c r="F6" s="3720"/>
      <c r="G6" s="3720"/>
      <c r="H6" s="3720"/>
      <c r="I6" s="3720"/>
      <c r="J6" s="3720"/>
      <c r="K6" s="3720"/>
      <c r="L6" s="3720"/>
      <c r="M6" s="3720"/>
      <c r="N6" s="3720"/>
      <c r="O6" s="2664"/>
      <c r="P6" s="2664"/>
      <c r="Q6" s="2664"/>
      <c r="R6" s="2664"/>
      <c r="S6" s="2664"/>
      <c r="T6" s="2664"/>
      <c r="U6" s="2664"/>
      <c r="V6" s="2664"/>
      <c r="AI6" s="3184"/>
      <c r="AJ6" s="3184"/>
    </row>
    <row r="7" spans="1:51" ht="12.75" customHeight="1">
      <c r="B7" s="2666"/>
      <c r="C7" s="2666"/>
      <c r="D7" s="2666"/>
      <c r="E7" s="2666"/>
      <c r="F7" s="2666"/>
      <c r="G7" s="2666"/>
      <c r="H7" s="2666"/>
      <c r="I7" s="2666"/>
      <c r="J7" s="2667"/>
      <c r="K7" s="2667"/>
      <c r="L7" s="2668"/>
      <c r="N7" s="2667"/>
      <c r="O7" s="2667"/>
      <c r="P7" s="2667"/>
      <c r="Q7" s="2667"/>
      <c r="R7" s="2667"/>
      <c r="S7" s="2667"/>
      <c r="T7" s="2667"/>
      <c r="U7" s="2667"/>
      <c r="V7" s="2667"/>
      <c r="W7" s="2667"/>
      <c r="X7" s="2667"/>
      <c r="Y7" s="2667"/>
      <c r="Z7" s="2667"/>
      <c r="AA7" s="2667"/>
      <c r="AB7" s="2667"/>
      <c r="AC7" s="2667"/>
      <c r="AD7" s="2667"/>
      <c r="AE7" s="2667"/>
      <c r="AF7" s="2667"/>
      <c r="AG7" s="2667"/>
      <c r="AH7" s="2667"/>
      <c r="AI7" s="3185"/>
      <c r="AJ7" s="3186"/>
      <c r="AK7" s="2667"/>
      <c r="AL7" s="2667"/>
    </row>
    <row r="8" spans="1:51" s="2665" customFormat="1" ht="24" customHeight="1">
      <c r="A8" s="3692" t="s">
        <v>1780</v>
      </c>
      <c r="B8" s="3692"/>
      <c r="C8" s="3692"/>
      <c r="D8" s="3692"/>
      <c r="E8" s="3692"/>
      <c r="F8" s="3692"/>
      <c r="G8" s="3692"/>
      <c r="H8" s="3692"/>
      <c r="I8" s="3692"/>
      <c r="J8" s="3692"/>
      <c r="K8" s="3692"/>
      <c r="L8" s="3692"/>
      <c r="M8" s="3692"/>
      <c r="N8" s="3692"/>
      <c r="O8" s="3692"/>
      <c r="P8" s="3692"/>
      <c r="Q8" s="3692"/>
      <c r="R8" s="3692"/>
      <c r="S8" s="3692"/>
      <c r="T8" s="3692"/>
      <c r="U8" s="3692"/>
      <c r="V8" s="3692"/>
      <c r="W8" s="3692"/>
      <c r="X8" s="3692"/>
      <c r="Y8" s="3692"/>
      <c r="Z8" s="3692"/>
      <c r="AA8" s="3692"/>
      <c r="AB8" s="3692"/>
      <c r="AC8" s="3692"/>
      <c r="AD8" s="3692"/>
      <c r="AE8" s="3692"/>
      <c r="AF8" s="3692"/>
      <c r="AG8" s="3692"/>
      <c r="AH8" s="3692"/>
      <c r="AI8" s="3692"/>
      <c r="AJ8" s="3692"/>
      <c r="AK8" s="3692"/>
      <c r="AL8" s="3692"/>
    </row>
    <row r="9" spans="1:51">
      <c r="A9" s="2666"/>
      <c r="B9" s="2666"/>
      <c r="C9" s="2666"/>
      <c r="D9" s="2666"/>
      <c r="E9" s="2666"/>
      <c r="F9" s="2666"/>
      <c r="G9" s="2666"/>
      <c r="H9" s="2666"/>
      <c r="I9" s="2666"/>
      <c r="J9" s="2666"/>
      <c r="K9" s="2666"/>
      <c r="L9" s="2666"/>
      <c r="M9" s="2666"/>
      <c r="N9" s="2666"/>
      <c r="O9" s="2666"/>
      <c r="P9" s="2666"/>
      <c r="Q9" s="2666"/>
      <c r="R9" s="2666"/>
      <c r="S9" s="2666"/>
      <c r="T9" s="2666"/>
      <c r="U9" s="2666"/>
      <c r="V9" s="2666"/>
      <c r="W9" s="2666"/>
      <c r="X9" s="2666"/>
      <c r="Y9" s="2666"/>
      <c r="Z9" s="2666"/>
      <c r="AA9" s="2666"/>
      <c r="AB9" s="2666"/>
      <c r="AC9" s="2666"/>
      <c r="AD9" s="2666"/>
      <c r="AE9" s="2666"/>
      <c r="AF9" s="2666"/>
      <c r="AG9" s="2666"/>
      <c r="AH9" s="2666"/>
      <c r="AI9" s="3187"/>
      <c r="AJ9" s="3188"/>
      <c r="AK9" s="2666"/>
      <c r="AL9" s="2666"/>
    </row>
    <row r="10" spans="1:51" ht="25.5" customHeight="1">
      <c r="A10" s="3892" t="s">
        <v>1</v>
      </c>
      <c r="B10" s="3892" t="s">
        <v>1</v>
      </c>
      <c r="C10" s="3892" t="s">
        <v>805</v>
      </c>
      <c r="D10" s="3890" t="s">
        <v>1160</v>
      </c>
      <c r="E10" s="3890"/>
      <c r="F10" s="3890"/>
      <c r="G10" s="3890"/>
      <c r="H10" s="3890"/>
      <c r="I10" s="3890"/>
      <c r="J10" s="3890"/>
      <c r="K10" s="3890"/>
      <c r="L10" s="3890"/>
      <c r="M10" s="3890"/>
      <c r="N10" s="3890"/>
      <c r="O10" s="3890"/>
      <c r="P10" s="3890"/>
      <c r="Q10" s="3890"/>
      <c r="R10" s="3890"/>
      <c r="S10" s="3890"/>
      <c r="T10" s="3890"/>
      <c r="U10" s="3890"/>
      <c r="V10" s="3890"/>
      <c r="W10" s="3890"/>
      <c r="X10" s="3890"/>
      <c r="Y10" s="3890"/>
      <c r="Z10" s="3890"/>
      <c r="AA10" s="3890"/>
      <c r="AB10" s="3890"/>
      <c r="AC10" s="3890"/>
      <c r="AD10" s="3890"/>
      <c r="AE10" s="3890"/>
      <c r="AF10" s="3890"/>
      <c r="AG10" s="3890"/>
      <c r="AH10" s="3890"/>
      <c r="AI10" s="3885" t="s">
        <v>806</v>
      </c>
      <c r="AJ10" s="3886" t="s">
        <v>819</v>
      </c>
      <c r="AK10" s="3887" t="s">
        <v>1148</v>
      </c>
      <c r="AL10" s="3889" t="s">
        <v>1159</v>
      </c>
    </row>
    <row r="11" spans="1:51" ht="42" customHeight="1">
      <c r="A11" s="3892"/>
      <c r="B11" s="3892"/>
      <c r="C11" s="3892"/>
      <c r="D11" s="2670">
        <v>1</v>
      </c>
      <c r="E11" s="2670">
        <v>2</v>
      </c>
      <c r="F11" s="2670">
        <v>3</v>
      </c>
      <c r="G11" s="2670">
        <v>4</v>
      </c>
      <c r="H11" s="2670">
        <v>5</v>
      </c>
      <c r="I11" s="2670">
        <v>6</v>
      </c>
      <c r="J11" s="2670">
        <v>7</v>
      </c>
      <c r="K11" s="2670">
        <v>8</v>
      </c>
      <c r="L11" s="2670">
        <v>9</v>
      </c>
      <c r="M11" s="2670">
        <v>10</v>
      </c>
      <c r="N11" s="2670">
        <v>11</v>
      </c>
      <c r="O11" s="2670">
        <v>12</v>
      </c>
      <c r="P11" s="2670">
        <v>13</v>
      </c>
      <c r="Q11" s="2670">
        <v>14</v>
      </c>
      <c r="R11" s="2670">
        <v>15</v>
      </c>
      <c r="S11" s="2670">
        <v>16</v>
      </c>
      <c r="T11" s="2670">
        <v>17</v>
      </c>
      <c r="U11" s="2670">
        <v>18</v>
      </c>
      <c r="V11" s="2670">
        <v>19</v>
      </c>
      <c r="W11" s="2670">
        <v>20</v>
      </c>
      <c r="X11" s="2670">
        <v>21</v>
      </c>
      <c r="Y11" s="2670">
        <v>22</v>
      </c>
      <c r="Z11" s="2670">
        <v>23</v>
      </c>
      <c r="AA11" s="2670">
        <v>24</v>
      </c>
      <c r="AB11" s="2670">
        <v>25</v>
      </c>
      <c r="AC11" s="2670">
        <v>26</v>
      </c>
      <c r="AD11" s="2670">
        <v>27</v>
      </c>
      <c r="AE11" s="2670">
        <v>28</v>
      </c>
      <c r="AF11" s="2670">
        <v>29</v>
      </c>
      <c r="AG11" s="2670">
        <v>30</v>
      </c>
      <c r="AH11" s="3550">
        <v>31</v>
      </c>
      <c r="AI11" s="3885"/>
      <c r="AJ11" s="3886"/>
      <c r="AK11" s="3888"/>
      <c r="AL11" s="3889"/>
      <c r="AN11" s="2661" t="s">
        <v>980</v>
      </c>
    </row>
    <row r="12" spans="1:51" s="2671" customFormat="1" ht="36" customHeight="1">
      <c r="A12" s="3550" t="s">
        <v>52</v>
      </c>
      <c r="B12" s="3892" t="s">
        <v>321</v>
      </c>
      <c r="C12" s="3892"/>
      <c r="D12" s="3295">
        <f>SUM(D13:D48)</f>
        <v>331</v>
      </c>
      <c r="E12" s="3295">
        <f t="shared" ref="E12:AH12" si="0">SUM(E13:E48)</f>
        <v>1552</v>
      </c>
      <c r="F12" s="3295">
        <f t="shared" si="0"/>
        <v>2928</v>
      </c>
      <c r="G12" s="3296">
        <f t="shared" si="0"/>
        <v>3497</v>
      </c>
      <c r="H12" s="3296">
        <f t="shared" si="0"/>
        <v>2007</v>
      </c>
      <c r="I12" s="3296">
        <f t="shared" si="0"/>
        <v>3861</v>
      </c>
      <c r="J12" s="3296">
        <f t="shared" si="0"/>
        <v>3410</v>
      </c>
      <c r="K12" s="3296">
        <f t="shared" si="0"/>
        <v>3399</v>
      </c>
      <c r="L12" s="3295">
        <f t="shared" si="0"/>
        <v>3296</v>
      </c>
      <c r="M12" s="3296">
        <f t="shared" si="0"/>
        <v>3651</v>
      </c>
      <c r="N12" s="3295">
        <f t="shared" si="0"/>
        <v>3214</v>
      </c>
      <c r="O12" s="3295">
        <f t="shared" si="0"/>
        <v>2837</v>
      </c>
      <c r="P12" s="3296">
        <f t="shared" si="0"/>
        <v>2749</v>
      </c>
      <c r="Q12" s="3296">
        <f t="shared" si="0"/>
        <v>3113</v>
      </c>
      <c r="R12" s="3295">
        <f>SUM(R13:R48)</f>
        <v>3262</v>
      </c>
      <c r="S12" s="3295">
        <f t="shared" si="0"/>
        <v>2357</v>
      </c>
      <c r="T12" s="3295">
        <f>SUM(T13:T48)</f>
        <v>1960</v>
      </c>
      <c r="U12" s="3295">
        <f t="shared" si="0"/>
        <v>3592</v>
      </c>
      <c r="V12" s="3295">
        <f t="shared" si="0"/>
        <v>2365</v>
      </c>
      <c r="W12" s="3295">
        <f t="shared" si="0"/>
        <v>2818</v>
      </c>
      <c r="X12" s="3295">
        <f t="shared" si="0"/>
        <v>3904</v>
      </c>
      <c r="Y12" s="3295">
        <f t="shared" si="0"/>
        <v>2390</v>
      </c>
      <c r="Z12" s="3295">
        <f t="shared" si="0"/>
        <v>2805</v>
      </c>
      <c r="AA12" s="3295">
        <f t="shared" si="0"/>
        <v>1907</v>
      </c>
      <c r="AB12" s="3295">
        <f t="shared" si="0"/>
        <v>2308</v>
      </c>
      <c r="AC12" s="3295">
        <f t="shared" si="0"/>
        <v>2957</v>
      </c>
      <c r="AD12" s="3295">
        <f t="shared" si="0"/>
        <v>2969</v>
      </c>
      <c r="AE12" s="3295">
        <f t="shared" si="0"/>
        <v>2366</v>
      </c>
      <c r="AF12" s="3295">
        <f t="shared" si="0"/>
        <v>2108</v>
      </c>
      <c r="AG12" s="3295">
        <f t="shared" si="0"/>
        <v>3105</v>
      </c>
      <c r="AH12" s="3295">
        <f t="shared" si="0"/>
        <v>1125</v>
      </c>
      <c r="AI12" s="3295">
        <f>SUM(AI13:AI48)</f>
        <v>84143</v>
      </c>
      <c r="AJ12" s="3295">
        <f>SUM(AJ13:AJ48)</f>
        <v>35751.783999999992</v>
      </c>
      <c r="AK12" s="3551"/>
      <c r="AL12" s="3889"/>
    </row>
    <row r="13" spans="1:51" ht="33.75" customHeight="1">
      <c r="A13" s="2672">
        <v>1</v>
      </c>
      <c r="B13" s="2672">
        <v>1</v>
      </c>
      <c r="C13" s="3297" t="s">
        <v>104</v>
      </c>
      <c r="D13" s="3298">
        <v>90</v>
      </c>
      <c r="E13" s="3298">
        <v>176</v>
      </c>
      <c r="F13" s="3298">
        <v>82</v>
      </c>
      <c r="G13" s="3298">
        <v>78</v>
      </c>
      <c r="H13" s="3298">
        <v>0</v>
      </c>
      <c r="I13" s="3299">
        <v>143</v>
      </c>
      <c r="J13" s="3298">
        <v>92</v>
      </c>
      <c r="K13" s="3298">
        <v>121</v>
      </c>
      <c r="L13" s="3298">
        <v>157</v>
      </c>
      <c r="M13" s="3298">
        <v>147</v>
      </c>
      <c r="N13" s="3298">
        <v>86</v>
      </c>
      <c r="O13" s="3298">
        <v>88</v>
      </c>
      <c r="P13" s="3298">
        <v>72</v>
      </c>
      <c r="Q13" s="3298">
        <v>154</v>
      </c>
      <c r="R13" s="3298">
        <v>125</v>
      </c>
      <c r="S13" s="3298">
        <v>0</v>
      </c>
      <c r="T13" s="3298">
        <v>0</v>
      </c>
      <c r="U13" s="3298">
        <v>133</v>
      </c>
      <c r="V13" s="3298">
        <v>65</v>
      </c>
      <c r="W13" s="3298">
        <v>122</v>
      </c>
      <c r="X13" s="3298">
        <v>159</v>
      </c>
      <c r="Y13" s="3298">
        <v>93</v>
      </c>
      <c r="Z13" s="3298">
        <v>0</v>
      </c>
      <c r="AA13" s="3298">
        <v>117</v>
      </c>
      <c r="AB13" s="3298">
        <v>0</v>
      </c>
      <c r="AC13" s="3298">
        <v>120</v>
      </c>
      <c r="AD13" s="3298">
        <v>142</v>
      </c>
      <c r="AE13" s="3298">
        <v>95</v>
      </c>
      <c r="AF13" s="3298">
        <v>133</v>
      </c>
      <c r="AG13" s="3298">
        <v>150</v>
      </c>
      <c r="AH13" s="3299">
        <v>98</v>
      </c>
      <c r="AI13" s="3189">
        <f>SUM(D13:AH13)</f>
        <v>3038</v>
      </c>
      <c r="AJ13" s="3189">
        <f>AI13*$AX$17/100</f>
        <v>1290.825378130088</v>
      </c>
      <c r="AK13" s="2659" t="s">
        <v>52</v>
      </c>
      <c r="AL13" s="2673"/>
      <c r="AM13" s="2674">
        <f t="shared" ref="AM13:AM24" si="1">IF(AJ13&gt;=3175,700000,IF(AJ13&gt;=2760,500000,IF(AJ13&gt;2400,300000,IF(AJ13&gt;=2400,0,0))))</f>
        <v>0</v>
      </c>
      <c r="AN13" s="2661">
        <v>2</v>
      </c>
      <c r="AO13" s="2661">
        <f>AN13/1.25</f>
        <v>1.6</v>
      </c>
    </row>
    <row r="14" spans="1:51" ht="33.75" customHeight="1">
      <c r="A14" s="2672">
        <v>2</v>
      </c>
      <c r="B14" s="2672">
        <v>2</v>
      </c>
      <c r="C14" s="3297" t="s">
        <v>1181</v>
      </c>
      <c r="D14" s="3298">
        <v>0</v>
      </c>
      <c r="E14" s="3298">
        <v>91</v>
      </c>
      <c r="F14" s="3298">
        <v>76</v>
      </c>
      <c r="G14" s="3298">
        <v>106</v>
      </c>
      <c r="H14" s="3298">
        <v>108</v>
      </c>
      <c r="I14" s="3299">
        <v>87</v>
      </c>
      <c r="J14" s="3298">
        <v>104</v>
      </c>
      <c r="K14" s="3298">
        <v>98</v>
      </c>
      <c r="L14" s="3298">
        <v>91</v>
      </c>
      <c r="M14" s="3298">
        <v>106</v>
      </c>
      <c r="N14" s="3298">
        <v>96</v>
      </c>
      <c r="O14" s="3298">
        <v>86</v>
      </c>
      <c r="P14" s="3298">
        <v>69</v>
      </c>
      <c r="Q14" s="3298">
        <v>108</v>
      </c>
      <c r="R14" s="3298">
        <v>117</v>
      </c>
      <c r="S14" s="3298">
        <v>119</v>
      </c>
      <c r="T14" s="3298">
        <v>92</v>
      </c>
      <c r="U14" s="3298">
        <v>90</v>
      </c>
      <c r="V14" s="3298">
        <v>84</v>
      </c>
      <c r="W14" s="3298">
        <v>88</v>
      </c>
      <c r="X14" s="3298">
        <v>94</v>
      </c>
      <c r="Y14" s="3298">
        <v>82</v>
      </c>
      <c r="Z14" s="3298">
        <v>0</v>
      </c>
      <c r="AA14" s="3298">
        <v>78</v>
      </c>
      <c r="AB14" s="3298">
        <v>72</v>
      </c>
      <c r="AC14" s="3298">
        <v>80</v>
      </c>
      <c r="AD14" s="3298">
        <v>161</v>
      </c>
      <c r="AE14" s="3298">
        <v>58</v>
      </c>
      <c r="AF14" s="3298">
        <v>50</v>
      </c>
      <c r="AG14" s="3298">
        <v>75</v>
      </c>
      <c r="AH14" s="3299">
        <v>92</v>
      </c>
      <c r="AI14" s="3189">
        <f t="shared" ref="AI14:AI48" si="2">SUM(D14:AH14)</f>
        <v>2658</v>
      </c>
      <c r="AJ14" s="3189">
        <f t="shared" ref="AJ14:AJ48" si="3">AI14*$AX$17/100</f>
        <v>1129.3659825772793</v>
      </c>
      <c r="AK14" s="2659" t="s">
        <v>92</v>
      </c>
      <c r="AL14" s="2673"/>
      <c r="AM14" s="2674">
        <f t="shared" si="1"/>
        <v>0</v>
      </c>
      <c r="AN14" s="2661">
        <v>2</v>
      </c>
      <c r="AO14" s="2661">
        <f t="shared" ref="AO14:AO48" si="4">AN14/1.25</f>
        <v>1.6</v>
      </c>
      <c r="AX14" s="3300"/>
    </row>
    <row r="15" spans="1:51" ht="33.75" customHeight="1">
      <c r="A15" s="2672">
        <v>3</v>
      </c>
      <c r="B15" s="2672">
        <v>3</v>
      </c>
      <c r="C15" s="3423" t="s">
        <v>1182</v>
      </c>
      <c r="D15" s="3298">
        <v>0</v>
      </c>
      <c r="E15" s="3298">
        <v>122</v>
      </c>
      <c r="F15" s="3298">
        <v>94</v>
      </c>
      <c r="G15" s="3298">
        <v>112</v>
      </c>
      <c r="H15" s="3298">
        <v>0</v>
      </c>
      <c r="I15" s="3299">
        <v>92</v>
      </c>
      <c r="J15" s="3298">
        <v>114</v>
      </c>
      <c r="K15" s="3298">
        <v>94</v>
      </c>
      <c r="L15" s="3298">
        <v>110</v>
      </c>
      <c r="M15" s="3298">
        <v>139</v>
      </c>
      <c r="N15" s="3298">
        <v>116</v>
      </c>
      <c r="O15" s="3298">
        <v>81</v>
      </c>
      <c r="P15" s="3298">
        <v>0</v>
      </c>
      <c r="Q15" s="3298">
        <v>130</v>
      </c>
      <c r="R15" s="3298">
        <v>126</v>
      </c>
      <c r="S15" s="3298">
        <v>107</v>
      </c>
      <c r="T15" s="3298">
        <v>123</v>
      </c>
      <c r="U15" s="3298">
        <v>92</v>
      </c>
      <c r="V15" s="3298">
        <v>0</v>
      </c>
      <c r="W15" s="3298">
        <v>0</v>
      </c>
      <c r="X15" s="3298">
        <v>158</v>
      </c>
      <c r="Y15" s="3298">
        <v>0</v>
      </c>
      <c r="Z15" s="3298">
        <v>157</v>
      </c>
      <c r="AA15" s="3298">
        <v>82</v>
      </c>
      <c r="AB15" s="3298">
        <v>0</v>
      </c>
      <c r="AC15" s="3298">
        <v>120</v>
      </c>
      <c r="AD15" s="3298">
        <v>66</v>
      </c>
      <c r="AE15" s="3298">
        <v>42</v>
      </c>
      <c r="AF15" s="3298">
        <v>82</v>
      </c>
      <c r="AG15" s="3298">
        <v>105</v>
      </c>
      <c r="AH15" s="3299">
        <v>0</v>
      </c>
      <c r="AI15" s="3189">
        <f t="shared" si="2"/>
        <v>2464</v>
      </c>
      <c r="AJ15" s="3189">
        <f t="shared" si="3"/>
        <v>1046.9367122161084</v>
      </c>
      <c r="AK15" s="2659" t="s">
        <v>52</v>
      </c>
      <c r="AL15" s="2673"/>
      <c r="AM15" s="2674">
        <f t="shared" si="1"/>
        <v>0</v>
      </c>
      <c r="AN15" s="2661">
        <v>2</v>
      </c>
      <c r="AO15" s="2661">
        <f t="shared" si="4"/>
        <v>1.6</v>
      </c>
      <c r="AX15" s="2675"/>
    </row>
    <row r="16" spans="1:51" ht="33.75" customHeight="1">
      <c r="A16" s="2672">
        <v>4</v>
      </c>
      <c r="B16" s="2672">
        <v>4</v>
      </c>
      <c r="C16" s="3297" t="s">
        <v>1183</v>
      </c>
      <c r="D16" s="3298">
        <v>0</v>
      </c>
      <c r="E16" s="3298">
        <v>0</v>
      </c>
      <c r="F16" s="3298">
        <v>68</v>
      </c>
      <c r="G16" s="3298">
        <v>110</v>
      </c>
      <c r="H16" s="3298">
        <v>64</v>
      </c>
      <c r="I16" s="3299">
        <v>85</v>
      </c>
      <c r="J16" s="3298">
        <v>73</v>
      </c>
      <c r="K16" s="3298">
        <v>138</v>
      </c>
      <c r="L16" s="3298">
        <v>0</v>
      </c>
      <c r="M16" s="3298">
        <v>77</v>
      </c>
      <c r="N16" s="3298">
        <v>65</v>
      </c>
      <c r="O16" s="3298">
        <v>0</v>
      </c>
      <c r="P16" s="3298">
        <v>78</v>
      </c>
      <c r="Q16" s="3298">
        <v>71</v>
      </c>
      <c r="R16" s="3298">
        <v>91</v>
      </c>
      <c r="S16" s="3298">
        <v>0</v>
      </c>
      <c r="T16" s="3298">
        <v>0</v>
      </c>
      <c r="U16" s="3298">
        <v>0</v>
      </c>
      <c r="V16" s="3298">
        <v>64</v>
      </c>
      <c r="W16" s="3298">
        <v>0</v>
      </c>
      <c r="X16" s="3298">
        <v>113</v>
      </c>
      <c r="Y16" s="3298">
        <v>75</v>
      </c>
      <c r="Z16" s="3298">
        <v>0</v>
      </c>
      <c r="AA16" s="3298">
        <v>0</v>
      </c>
      <c r="AB16" s="3298">
        <v>65</v>
      </c>
      <c r="AC16" s="3298">
        <v>0</v>
      </c>
      <c r="AD16" s="3298">
        <v>78</v>
      </c>
      <c r="AE16" s="3298">
        <v>97</v>
      </c>
      <c r="AF16" s="3298">
        <v>0</v>
      </c>
      <c r="AG16" s="3298">
        <v>69</v>
      </c>
      <c r="AH16" s="3299">
        <v>0</v>
      </c>
      <c r="AI16" s="3189">
        <f t="shared" si="2"/>
        <v>1481</v>
      </c>
      <c r="AJ16" s="3189">
        <f t="shared" si="3"/>
        <v>629.26674950976314</v>
      </c>
      <c r="AK16" s="2659" t="s">
        <v>92</v>
      </c>
      <c r="AL16" s="2673"/>
      <c r="AM16" s="2674">
        <f t="shared" si="1"/>
        <v>0</v>
      </c>
      <c r="AO16" s="2661">
        <f t="shared" si="4"/>
        <v>0</v>
      </c>
      <c r="AX16" s="2675"/>
    </row>
    <row r="17" spans="1:50" ht="33.75" customHeight="1">
      <c r="A17" s="2672">
        <v>5</v>
      </c>
      <c r="B17" s="2672">
        <v>5</v>
      </c>
      <c r="C17" s="3424" t="s">
        <v>1267</v>
      </c>
      <c r="D17" s="3298">
        <v>0</v>
      </c>
      <c r="E17" s="3298">
        <v>87</v>
      </c>
      <c r="F17" s="3298">
        <v>71</v>
      </c>
      <c r="G17" s="3298">
        <v>78</v>
      </c>
      <c r="H17" s="3298">
        <v>141</v>
      </c>
      <c r="I17" s="3299">
        <v>98</v>
      </c>
      <c r="J17" s="3298">
        <v>87</v>
      </c>
      <c r="K17" s="3298">
        <v>83</v>
      </c>
      <c r="L17" s="3298">
        <v>109</v>
      </c>
      <c r="M17" s="3298">
        <v>94</v>
      </c>
      <c r="N17" s="3298">
        <v>75</v>
      </c>
      <c r="O17" s="3298">
        <v>0</v>
      </c>
      <c r="P17" s="3298">
        <v>111</v>
      </c>
      <c r="Q17" s="3298">
        <v>104</v>
      </c>
      <c r="R17" s="3298">
        <v>104</v>
      </c>
      <c r="S17" s="3298">
        <v>0</v>
      </c>
      <c r="T17" s="3298">
        <v>0</v>
      </c>
      <c r="U17" s="3298">
        <v>88</v>
      </c>
      <c r="V17" s="3298">
        <v>0</v>
      </c>
      <c r="W17" s="3298">
        <v>122</v>
      </c>
      <c r="X17" s="3298">
        <v>143</v>
      </c>
      <c r="Y17" s="3298">
        <v>98</v>
      </c>
      <c r="Z17" s="3298">
        <v>95</v>
      </c>
      <c r="AA17" s="3298">
        <v>0</v>
      </c>
      <c r="AB17" s="3298">
        <v>75</v>
      </c>
      <c r="AC17" s="3298">
        <v>78</v>
      </c>
      <c r="AD17" s="3298">
        <v>72</v>
      </c>
      <c r="AE17" s="3298">
        <v>61</v>
      </c>
      <c r="AF17" s="3298">
        <v>80</v>
      </c>
      <c r="AG17" s="3298">
        <v>78</v>
      </c>
      <c r="AH17" s="3299">
        <v>0</v>
      </c>
      <c r="AI17" s="3189">
        <f t="shared" si="2"/>
        <v>2232</v>
      </c>
      <c r="AJ17" s="3189">
        <f t="shared" si="3"/>
        <v>948.36150229965654</v>
      </c>
      <c r="AK17" s="2659" t="s">
        <v>53</v>
      </c>
      <c r="AL17" s="2673"/>
      <c r="AM17" s="2674">
        <f t="shared" si="1"/>
        <v>0</v>
      </c>
      <c r="AO17" s="2661">
        <f t="shared" si="4"/>
        <v>0</v>
      </c>
      <c r="AX17" s="2676">
        <v>42.48931461916024</v>
      </c>
    </row>
    <row r="18" spans="1:50" ht="33.75" customHeight="1">
      <c r="A18" s="2672">
        <v>6</v>
      </c>
      <c r="B18" s="2672">
        <v>6</v>
      </c>
      <c r="C18" s="3297" t="s">
        <v>951</v>
      </c>
      <c r="D18" s="3298">
        <v>0</v>
      </c>
      <c r="E18" s="3298">
        <v>122</v>
      </c>
      <c r="F18" s="3298">
        <v>94</v>
      </c>
      <c r="G18" s="3298">
        <v>112</v>
      </c>
      <c r="H18" s="3298">
        <v>0</v>
      </c>
      <c r="I18" s="3299">
        <v>92</v>
      </c>
      <c r="J18" s="3298">
        <v>114</v>
      </c>
      <c r="K18" s="3298">
        <v>100</v>
      </c>
      <c r="L18" s="3298">
        <v>110</v>
      </c>
      <c r="M18" s="3298">
        <v>139</v>
      </c>
      <c r="N18" s="3298">
        <v>116</v>
      </c>
      <c r="O18" s="3298">
        <v>81</v>
      </c>
      <c r="P18" s="3298">
        <v>0</v>
      </c>
      <c r="Q18" s="3298">
        <v>130</v>
      </c>
      <c r="R18" s="3298">
        <v>125</v>
      </c>
      <c r="S18" s="3298">
        <v>107</v>
      </c>
      <c r="T18" s="3298">
        <v>122</v>
      </c>
      <c r="U18" s="3298">
        <v>91</v>
      </c>
      <c r="V18" s="3298">
        <v>0</v>
      </c>
      <c r="W18" s="3298">
        <v>0</v>
      </c>
      <c r="X18" s="3298">
        <v>158</v>
      </c>
      <c r="Y18" s="3298">
        <v>0</v>
      </c>
      <c r="Z18" s="3298">
        <v>157</v>
      </c>
      <c r="AA18" s="3298">
        <v>82</v>
      </c>
      <c r="AB18" s="3298">
        <v>0</v>
      </c>
      <c r="AC18" s="3298">
        <v>120</v>
      </c>
      <c r="AD18" s="3298">
        <v>68</v>
      </c>
      <c r="AE18" s="3298">
        <v>42</v>
      </c>
      <c r="AF18" s="3298">
        <v>82</v>
      </c>
      <c r="AG18" s="3298">
        <v>105</v>
      </c>
      <c r="AH18" s="3299">
        <v>0</v>
      </c>
      <c r="AI18" s="3189">
        <f t="shared" si="2"/>
        <v>2469</v>
      </c>
      <c r="AJ18" s="3189">
        <f t="shared" si="3"/>
        <v>1049.0611779470664</v>
      </c>
      <c r="AK18" s="2659" t="s">
        <v>92</v>
      </c>
      <c r="AL18" s="2673"/>
      <c r="AM18" s="2674">
        <f t="shared" si="1"/>
        <v>0</v>
      </c>
      <c r="AN18" s="2661">
        <v>2</v>
      </c>
      <c r="AO18" s="2661">
        <f t="shared" si="4"/>
        <v>1.6</v>
      </c>
      <c r="AX18" s="2738"/>
    </row>
    <row r="19" spans="1:50" ht="33.75" customHeight="1">
      <c r="A19" s="2672">
        <v>7</v>
      </c>
      <c r="B19" s="2672">
        <v>7</v>
      </c>
      <c r="C19" s="3424" t="s">
        <v>960</v>
      </c>
      <c r="D19" s="3298">
        <v>0</v>
      </c>
      <c r="E19" s="3298">
        <v>0</v>
      </c>
      <c r="F19" s="3298">
        <v>94</v>
      </c>
      <c r="G19" s="3298">
        <v>98</v>
      </c>
      <c r="H19" s="3298">
        <v>64</v>
      </c>
      <c r="I19" s="3299">
        <v>138</v>
      </c>
      <c r="J19" s="3298">
        <v>88</v>
      </c>
      <c r="K19" s="3298">
        <v>0</v>
      </c>
      <c r="L19" s="3298">
        <v>69</v>
      </c>
      <c r="M19" s="3298">
        <v>131</v>
      </c>
      <c r="N19" s="3298">
        <v>91</v>
      </c>
      <c r="O19" s="3298">
        <v>76</v>
      </c>
      <c r="P19" s="3298">
        <v>64</v>
      </c>
      <c r="Q19" s="3298">
        <v>121</v>
      </c>
      <c r="R19" s="3298">
        <v>106</v>
      </c>
      <c r="S19" s="3298">
        <v>0</v>
      </c>
      <c r="T19" s="3298">
        <v>0</v>
      </c>
      <c r="U19" s="3298">
        <v>113</v>
      </c>
      <c r="V19" s="3298">
        <v>83</v>
      </c>
      <c r="W19" s="3298">
        <v>110</v>
      </c>
      <c r="X19" s="3298">
        <v>78</v>
      </c>
      <c r="Y19" s="3298">
        <v>125</v>
      </c>
      <c r="Z19" s="3298">
        <v>0</v>
      </c>
      <c r="AA19" s="3298">
        <v>75</v>
      </c>
      <c r="AB19" s="3298">
        <v>74</v>
      </c>
      <c r="AC19" s="3298">
        <v>0</v>
      </c>
      <c r="AD19" s="3298">
        <v>84</v>
      </c>
      <c r="AE19" s="3298">
        <v>74</v>
      </c>
      <c r="AF19" s="3298">
        <v>56</v>
      </c>
      <c r="AG19" s="3298">
        <v>97</v>
      </c>
      <c r="AH19" s="3299">
        <v>0</v>
      </c>
      <c r="AI19" s="3189">
        <f t="shared" si="2"/>
        <v>2109</v>
      </c>
      <c r="AJ19" s="3189">
        <f t="shared" si="3"/>
        <v>896.09964531808942</v>
      </c>
      <c r="AK19" s="2659" t="s">
        <v>92</v>
      </c>
      <c r="AL19" s="2673"/>
      <c r="AM19" s="2674">
        <f t="shared" si="1"/>
        <v>0</v>
      </c>
      <c r="AN19" s="2661">
        <v>4</v>
      </c>
      <c r="AO19" s="2661">
        <f t="shared" si="4"/>
        <v>3.2</v>
      </c>
    </row>
    <row r="20" spans="1:50" ht="33.75" customHeight="1">
      <c r="A20" s="2672">
        <v>8</v>
      </c>
      <c r="B20" s="2672">
        <v>8</v>
      </c>
      <c r="C20" s="3424" t="s">
        <v>661</v>
      </c>
      <c r="D20" s="3298">
        <v>0</v>
      </c>
      <c r="E20" s="3298">
        <v>124</v>
      </c>
      <c r="F20" s="3298">
        <v>95</v>
      </c>
      <c r="G20" s="3298">
        <v>114</v>
      </c>
      <c r="H20" s="3298">
        <v>0</v>
      </c>
      <c r="I20" s="3299">
        <v>93</v>
      </c>
      <c r="J20" s="3298">
        <v>115</v>
      </c>
      <c r="K20" s="3298">
        <v>100</v>
      </c>
      <c r="L20" s="3298">
        <v>110</v>
      </c>
      <c r="M20" s="3298">
        <v>138</v>
      </c>
      <c r="N20" s="3298">
        <v>116</v>
      </c>
      <c r="O20" s="3298">
        <v>81</v>
      </c>
      <c r="P20" s="3298">
        <v>0</v>
      </c>
      <c r="Q20" s="3298">
        <v>130</v>
      </c>
      <c r="R20" s="3298">
        <v>125</v>
      </c>
      <c r="S20" s="3298">
        <v>107</v>
      </c>
      <c r="T20" s="3298">
        <v>122</v>
      </c>
      <c r="U20" s="3298">
        <v>91</v>
      </c>
      <c r="V20" s="3298">
        <v>0</v>
      </c>
      <c r="W20" s="3298">
        <v>0</v>
      </c>
      <c r="X20" s="3298">
        <v>158</v>
      </c>
      <c r="Y20" s="3298">
        <v>0</v>
      </c>
      <c r="Z20" s="3298">
        <v>157</v>
      </c>
      <c r="AA20" s="3298">
        <v>82</v>
      </c>
      <c r="AB20" s="3298">
        <v>0</v>
      </c>
      <c r="AC20" s="3298">
        <v>121</v>
      </c>
      <c r="AD20" s="3298">
        <v>70</v>
      </c>
      <c r="AE20" s="3298">
        <v>44</v>
      </c>
      <c r="AF20" s="3298">
        <v>83</v>
      </c>
      <c r="AG20" s="3298">
        <v>105</v>
      </c>
      <c r="AH20" s="3299">
        <v>0</v>
      </c>
      <c r="AI20" s="3189">
        <f t="shared" si="2"/>
        <v>2481</v>
      </c>
      <c r="AJ20" s="3189">
        <f t="shared" si="3"/>
        <v>1054.1598957013657</v>
      </c>
      <c r="AK20" s="2659" t="s">
        <v>52</v>
      </c>
      <c r="AL20" s="2673"/>
      <c r="AM20" s="2674">
        <f t="shared" si="1"/>
        <v>0</v>
      </c>
      <c r="AN20" s="2661">
        <v>4</v>
      </c>
      <c r="AO20" s="2661">
        <f t="shared" si="4"/>
        <v>3.2</v>
      </c>
    </row>
    <row r="21" spans="1:50" ht="33.75" customHeight="1">
      <c r="A21" s="2672">
        <v>9</v>
      </c>
      <c r="B21" s="2672">
        <v>9</v>
      </c>
      <c r="C21" s="3297" t="s">
        <v>1184</v>
      </c>
      <c r="D21" s="3298">
        <v>0</v>
      </c>
      <c r="E21" s="3298">
        <v>242</v>
      </c>
      <c r="F21" s="3298">
        <v>137</v>
      </c>
      <c r="G21" s="3298">
        <v>128</v>
      </c>
      <c r="H21" s="3298">
        <v>0</v>
      </c>
      <c r="I21" s="3299">
        <v>116</v>
      </c>
      <c r="J21" s="3298">
        <v>89</v>
      </c>
      <c r="K21" s="3298">
        <v>0</v>
      </c>
      <c r="L21" s="3298">
        <v>155</v>
      </c>
      <c r="M21" s="3298">
        <v>95</v>
      </c>
      <c r="N21" s="3298">
        <v>97</v>
      </c>
      <c r="O21" s="3298">
        <v>187</v>
      </c>
      <c r="P21" s="3298">
        <v>0</v>
      </c>
      <c r="Q21" s="3298">
        <v>0</v>
      </c>
      <c r="R21" s="3298">
        <v>0</v>
      </c>
      <c r="S21" s="3298">
        <v>0</v>
      </c>
      <c r="T21" s="3298">
        <v>0</v>
      </c>
      <c r="U21" s="3298">
        <v>0</v>
      </c>
      <c r="V21" s="3298">
        <v>0</v>
      </c>
      <c r="W21" s="3298">
        <v>134</v>
      </c>
      <c r="X21" s="3298">
        <v>95</v>
      </c>
      <c r="Y21" s="3298">
        <v>111</v>
      </c>
      <c r="Z21" s="3298">
        <v>0</v>
      </c>
      <c r="AA21" s="3298">
        <v>102</v>
      </c>
      <c r="AB21" s="3298">
        <v>0</v>
      </c>
      <c r="AC21" s="3298">
        <v>107</v>
      </c>
      <c r="AD21" s="3298">
        <v>0</v>
      </c>
      <c r="AE21" s="3298">
        <v>55</v>
      </c>
      <c r="AF21" s="3298">
        <v>83</v>
      </c>
      <c r="AG21" s="3298">
        <v>99</v>
      </c>
      <c r="AH21" s="3299">
        <v>156</v>
      </c>
      <c r="AI21" s="3189">
        <f t="shared" si="2"/>
        <v>2188</v>
      </c>
      <c r="AJ21" s="3189">
        <f t="shared" si="3"/>
        <v>929.66620386722605</v>
      </c>
      <c r="AK21" s="2659" t="s">
        <v>92</v>
      </c>
      <c r="AL21" s="2673"/>
      <c r="AM21" s="2674">
        <f t="shared" si="1"/>
        <v>0</v>
      </c>
      <c r="AN21" s="2661">
        <v>4</v>
      </c>
      <c r="AO21" s="2661">
        <f t="shared" si="4"/>
        <v>3.2</v>
      </c>
      <c r="AQ21" s="2661" t="s">
        <v>1596</v>
      </c>
      <c r="AR21" s="2661" t="s">
        <v>1597</v>
      </c>
    </row>
    <row r="22" spans="1:50" ht="33.75" customHeight="1">
      <c r="A22" s="2672">
        <v>10</v>
      </c>
      <c r="B22" s="2672">
        <v>10</v>
      </c>
      <c r="C22" s="3424" t="s">
        <v>925</v>
      </c>
      <c r="D22" s="3298">
        <v>0</v>
      </c>
      <c r="E22" s="3298">
        <v>0</v>
      </c>
      <c r="F22" s="3298">
        <v>96</v>
      </c>
      <c r="G22" s="3298">
        <v>114</v>
      </c>
      <c r="H22" s="3298">
        <v>97</v>
      </c>
      <c r="I22" s="3299">
        <v>64</v>
      </c>
      <c r="J22" s="3298">
        <v>92</v>
      </c>
      <c r="K22" s="3298">
        <v>109</v>
      </c>
      <c r="L22" s="3298">
        <v>88</v>
      </c>
      <c r="M22" s="3298">
        <v>0</v>
      </c>
      <c r="N22" s="3298">
        <v>75</v>
      </c>
      <c r="O22" s="3298">
        <v>83</v>
      </c>
      <c r="P22" s="3298">
        <v>72</v>
      </c>
      <c r="Q22" s="3298">
        <v>54</v>
      </c>
      <c r="R22" s="3298">
        <v>0</v>
      </c>
      <c r="S22" s="3298">
        <v>0</v>
      </c>
      <c r="T22" s="3298">
        <v>0</v>
      </c>
      <c r="U22" s="3298">
        <v>67</v>
      </c>
      <c r="V22" s="3298">
        <v>92</v>
      </c>
      <c r="W22" s="3298">
        <v>0</v>
      </c>
      <c r="X22" s="3298">
        <v>87</v>
      </c>
      <c r="Y22" s="3298">
        <v>61</v>
      </c>
      <c r="Z22" s="3298">
        <v>81</v>
      </c>
      <c r="AA22" s="3298">
        <v>0</v>
      </c>
      <c r="AB22" s="3298">
        <v>0</v>
      </c>
      <c r="AC22" s="3298">
        <v>0</v>
      </c>
      <c r="AD22" s="3298">
        <v>0</v>
      </c>
      <c r="AE22" s="3298">
        <v>0</v>
      </c>
      <c r="AF22" s="3298">
        <v>88</v>
      </c>
      <c r="AG22" s="3298">
        <v>50</v>
      </c>
      <c r="AH22" s="3299">
        <v>0</v>
      </c>
      <c r="AI22" s="3189">
        <f t="shared" si="2"/>
        <v>1470</v>
      </c>
      <c r="AJ22" s="3189">
        <f t="shared" si="3"/>
        <v>624.59292490165546</v>
      </c>
      <c r="AK22" s="2659" t="s">
        <v>92</v>
      </c>
      <c r="AL22" s="2673"/>
      <c r="AM22" s="2674">
        <f t="shared" si="1"/>
        <v>0</v>
      </c>
      <c r="AO22" s="2661">
        <f t="shared" si="4"/>
        <v>0</v>
      </c>
      <c r="AQ22" s="2661">
        <v>8</v>
      </c>
      <c r="AR22" s="2661">
        <v>4</v>
      </c>
      <c r="AS22" s="2661">
        <f>12*4</f>
        <v>48</v>
      </c>
    </row>
    <row r="23" spans="1:50" ht="33.75" customHeight="1">
      <c r="A23" s="2672">
        <v>11</v>
      </c>
      <c r="B23" s="2672">
        <v>11</v>
      </c>
      <c r="C23" s="3297" t="s">
        <v>942</v>
      </c>
      <c r="D23" s="3298">
        <v>0</v>
      </c>
      <c r="E23" s="3298">
        <v>0</v>
      </c>
      <c r="F23" s="3298">
        <v>87</v>
      </c>
      <c r="G23" s="3298">
        <v>91</v>
      </c>
      <c r="H23" s="3298">
        <v>110</v>
      </c>
      <c r="I23" s="3299">
        <v>63</v>
      </c>
      <c r="J23" s="3298">
        <v>87</v>
      </c>
      <c r="K23" s="3298">
        <v>93</v>
      </c>
      <c r="L23" s="3298">
        <v>95</v>
      </c>
      <c r="M23" s="3298">
        <v>86</v>
      </c>
      <c r="N23" s="3298">
        <v>82</v>
      </c>
      <c r="O23" s="3298">
        <v>88</v>
      </c>
      <c r="P23" s="3298">
        <v>84</v>
      </c>
      <c r="Q23" s="3298">
        <v>79</v>
      </c>
      <c r="R23" s="3298">
        <v>85</v>
      </c>
      <c r="S23" s="3298">
        <v>117</v>
      </c>
      <c r="T23" s="3298">
        <v>0</v>
      </c>
      <c r="U23" s="3298">
        <v>82</v>
      </c>
      <c r="V23" s="3298">
        <v>77</v>
      </c>
      <c r="W23" s="3298">
        <v>91</v>
      </c>
      <c r="X23" s="3298">
        <v>101</v>
      </c>
      <c r="Y23" s="3298">
        <v>64</v>
      </c>
      <c r="Z23" s="3298">
        <v>74</v>
      </c>
      <c r="AA23" s="3298">
        <v>0</v>
      </c>
      <c r="AB23" s="3298">
        <v>72</v>
      </c>
      <c r="AC23" s="3298">
        <v>58</v>
      </c>
      <c r="AD23" s="3298">
        <v>75</v>
      </c>
      <c r="AE23" s="3298">
        <v>78</v>
      </c>
      <c r="AF23" s="3298">
        <v>61</v>
      </c>
      <c r="AG23" s="3298">
        <v>55</v>
      </c>
      <c r="AH23" s="3299">
        <v>75</v>
      </c>
      <c r="AI23" s="3189">
        <f t="shared" si="2"/>
        <v>2210</v>
      </c>
      <c r="AJ23" s="3189">
        <f t="shared" si="3"/>
        <v>939.0138530834414</v>
      </c>
      <c r="AK23" s="2659" t="s">
        <v>52</v>
      </c>
      <c r="AL23" s="2673"/>
      <c r="AM23" s="2674">
        <f t="shared" si="1"/>
        <v>0</v>
      </c>
      <c r="AN23" s="2661">
        <v>2</v>
      </c>
      <c r="AO23" s="2661">
        <f t="shared" si="4"/>
        <v>1.6</v>
      </c>
    </row>
    <row r="24" spans="1:50" ht="33.75" customHeight="1">
      <c r="A24" s="2672">
        <v>12</v>
      </c>
      <c r="B24" s="2672">
        <v>12</v>
      </c>
      <c r="C24" s="3424" t="s">
        <v>943</v>
      </c>
      <c r="D24" s="3298">
        <v>0</v>
      </c>
      <c r="E24" s="3298">
        <v>0</v>
      </c>
      <c r="F24" s="3298">
        <v>0</v>
      </c>
      <c r="G24" s="3298">
        <v>145</v>
      </c>
      <c r="H24" s="3298">
        <v>0</v>
      </c>
      <c r="I24" s="3299">
        <v>129</v>
      </c>
      <c r="J24" s="3298">
        <v>122</v>
      </c>
      <c r="K24" s="3298">
        <v>115</v>
      </c>
      <c r="L24" s="3298">
        <v>0</v>
      </c>
      <c r="M24" s="3298">
        <v>127</v>
      </c>
      <c r="N24" s="3298">
        <v>180</v>
      </c>
      <c r="O24" s="3298">
        <v>124</v>
      </c>
      <c r="P24" s="3298">
        <v>165</v>
      </c>
      <c r="Q24" s="3298">
        <v>0</v>
      </c>
      <c r="R24" s="3298">
        <v>0</v>
      </c>
      <c r="S24" s="3298">
        <v>161</v>
      </c>
      <c r="T24" s="3298">
        <v>150</v>
      </c>
      <c r="U24" s="3298">
        <v>230</v>
      </c>
      <c r="V24" s="3298">
        <v>230</v>
      </c>
      <c r="W24" s="3298">
        <v>0</v>
      </c>
      <c r="X24" s="3298">
        <v>0</v>
      </c>
      <c r="Y24" s="3298">
        <v>0</v>
      </c>
      <c r="Z24" s="3298">
        <v>169</v>
      </c>
      <c r="AA24" s="3298">
        <v>183</v>
      </c>
      <c r="AB24" s="3298">
        <v>177</v>
      </c>
      <c r="AC24" s="3298">
        <v>148</v>
      </c>
      <c r="AD24" s="3298">
        <v>0</v>
      </c>
      <c r="AE24" s="3298">
        <v>0</v>
      </c>
      <c r="AF24" s="3298">
        <v>0</v>
      </c>
      <c r="AG24" s="3298">
        <v>0</v>
      </c>
      <c r="AH24" s="3299">
        <v>0</v>
      </c>
      <c r="AI24" s="3189">
        <f t="shared" si="2"/>
        <v>2555</v>
      </c>
      <c r="AJ24" s="3189">
        <f t="shared" si="3"/>
        <v>1085.6019885195442</v>
      </c>
      <c r="AK24" s="2659" t="s">
        <v>52</v>
      </c>
      <c r="AL24" s="2673"/>
      <c r="AM24" s="2674">
        <f t="shared" si="1"/>
        <v>0</v>
      </c>
      <c r="AN24" s="2661">
        <v>4</v>
      </c>
      <c r="AO24" s="2661">
        <f t="shared" si="4"/>
        <v>3.2</v>
      </c>
    </row>
    <row r="25" spans="1:50" ht="33.75" customHeight="1">
      <c r="A25" s="2672">
        <v>13</v>
      </c>
      <c r="B25" s="2672">
        <v>13</v>
      </c>
      <c r="C25" s="3424" t="s">
        <v>1268</v>
      </c>
      <c r="D25" s="3298">
        <v>0</v>
      </c>
      <c r="E25" s="3298">
        <v>0</v>
      </c>
      <c r="F25" s="3298">
        <v>0</v>
      </c>
      <c r="G25" s="3298">
        <v>145</v>
      </c>
      <c r="H25" s="3298">
        <v>0</v>
      </c>
      <c r="I25" s="3299">
        <v>129</v>
      </c>
      <c r="J25" s="3298">
        <v>123</v>
      </c>
      <c r="K25" s="3298">
        <v>116</v>
      </c>
      <c r="L25" s="3298">
        <v>0</v>
      </c>
      <c r="M25" s="3298">
        <v>127</v>
      </c>
      <c r="N25" s="3298">
        <v>180</v>
      </c>
      <c r="O25" s="3298">
        <v>124</v>
      </c>
      <c r="P25" s="3298">
        <v>165</v>
      </c>
      <c r="Q25" s="3298">
        <v>0</v>
      </c>
      <c r="R25" s="3298">
        <v>0</v>
      </c>
      <c r="S25" s="3298">
        <v>161</v>
      </c>
      <c r="T25" s="3298">
        <v>150</v>
      </c>
      <c r="U25" s="3298">
        <v>230</v>
      </c>
      <c r="V25" s="3298">
        <v>230</v>
      </c>
      <c r="W25" s="3298">
        <v>0</v>
      </c>
      <c r="X25" s="3298">
        <v>0</v>
      </c>
      <c r="Y25" s="3298">
        <v>0</v>
      </c>
      <c r="Z25" s="3298">
        <v>168</v>
      </c>
      <c r="AA25" s="3298">
        <v>184</v>
      </c>
      <c r="AB25" s="3298">
        <v>178</v>
      </c>
      <c r="AC25" s="3298">
        <v>148</v>
      </c>
      <c r="AD25" s="3298">
        <v>0</v>
      </c>
      <c r="AE25" s="3298">
        <v>0</v>
      </c>
      <c r="AF25" s="3298">
        <v>0</v>
      </c>
      <c r="AG25" s="3298">
        <v>0</v>
      </c>
      <c r="AH25" s="3299">
        <v>0</v>
      </c>
      <c r="AI25" s="3189">
        <f t="shared" si="2"/>
        <v>2558</v>
      </c>
      <c r="AJ25" s="3189">
        <f t="shared" si="3"/>
        <v>1086.876667958119</v>
      </c>
      <c r="AK25" s="2659" t="s">
        <v>52</v>
      </c>
      <c r="AL25" s="2673"/>
      <c r="AM25" s="2674"/>
      <c r="AN25" s="2661">
        <v>2</v>
      </c>
      <c r="AO25" s="2661">
        <f t="shared" si="4"/>
        <v>1.6</v>
      </c>
    </row>
    <row r="26" spans="1:50" ht="33.75" customHeight="1">
      <c r="A26" s="2672">
        <v>14</v>
      </c>
      <c r="B26" s="2672">
        <v>14</v>
      </c>
      <c r="C26" s="3424" t="s">
        <v>1212</v>
      </c>
      <c r="D26" s="3298">
        <v>0</v>
      </c>
      <c r="E26" s="3298">
        <v>0</v>
      </c>
      <c r="F26" s="3298">
        <v>86</v>
      </c>
      <c r="G26" s="3298">
        <v>127</v>
      </c>
      <c r="H26" s="3298">
        <v>88</v>
      </c>
      <c r="I26" s="3299">
        <v>93</v>
      </c>
      <c r="J26" s="3298">
        <v>80</v>
      </c>
      <c r="K26" s="3298">
        <v>111</v>
      </c>
      <c r="L26" s="3298">
        <v>123</v>
      </c>
      <c r="M26" s="3298">
        <v>103</v>
      </c>
      <c r="N26" s="3298">
        <v>78</v>
      </c>
      <c r="O26" s="3298">
        <v>124</v>
      </c>
      <c r="P26" s="3298">
        <v>94</v>
      </c>
      <c r="Q26" s="3298">
        <v>0</v>
      </c>
      <c r="R26" s="3298">
        <v>103</v>
      </c>
      <c r="S26" s="3298">
        <v>168</v>
      </c>
      <c r="T26" s="3298">
        <v>134</v>
      </c>
      <c r="U26" s="3298">
        <v>100</v>
      </c>
      <c r="V26" s="3298">
        <v>80</v>
      </c>
      <c r="W26" s="3298">
        <v>180</v>
      </c>
      <c r="X26" s="3298">
        <v>117</v>
      </c>
      <c r="Y26" s="3298">
        <v>0</v>
      </c>
      <c r="Z26" s="3298">
        <v>83</v>
      </c>
      <c r="AA26" s="3298">
        <v>0</v>
      </c>
      <c r="AB26" s="3298">
        <v>0</v>
      </c>
      <c r="AC26" s="3298">
        <v>121</v>
      </c>
      <c r="AD26" s="3298">
        <v>70</v>
      </c>
      <c r="AE26" s="3298">
        <v>0</v>
      </c>
      <c r="AF26" s="3298">
        <v>0</v>
      </c>
      <c r="AG26" s="3298">
        <v>99</v>
      </c>
      <c r="AH26" s="3299">
        <v>89</v>
      </c>
      <c r="AI26" s="3189">
        <f t="shared" si="2"/>
        <v>2451</v>
      </c>
      <c r="AJ26" s="3189">
        <f t="shared" si="3"/>
        <v>1041.4131013156175</v>
      </c>
      <c r="AK26" s="2659" t="s">
        <v>92</v>
      </c>
      <c r="AL26" s="2673"/>
      <c r="AM26" s="2674"/>
      <c r="AN26" s="2661">
        <v>2</v>
      </c>
      <c r="AO26" s="2661">
        <f t="shared" si="4"/>
        <v>1.6</v>
      </c>
    </row>
    <row r="27" spans="1:50" ht="33.75" customHeight="1">
      <c r="A27" s="2672">
        <v>15</v>
      </c>
      <c r="B27" s="2672">
        <v>15</v>
      </c>
      <c r="C27" s="3423" t="s">
        <v>1562</v>
      </c>
      <c r="D27" s="3298">
        <v>119</v>
      </c>
      <c r="E27" s="3298">
        <v>109</v>
      </c>
      <c r="F27" s="3298">
        <v>0</v>
      </c>
      <c r="G27" s="3298">
        <v>132</v>
      </c>
      <c r="H27" s="3298">
        <v>95</v>
      </c>
      <c r="I27" s="3299">
        <v>177</v>
      </c>
      <c r="J27" s="3298">
        <v>116</v>
      </c>
      <c r="K27" s="3298">
        <v>82</v>
      </c>
      <c r="L27" s="3298">
        <v>170</v>
      </c>
      <c r="M27" s="3298">
        <v>162</v>
      </c>
      <c r="N27" s="3298">
        <v>0</v>
      </c>
      <c r="O27" s="3298">
        <v>67</v>
      </c>
      <c r="P27" s="3298">
        <v>98</v>
      </c>
      <c r="Q27" s="3298">
        <v>186</v>
      </c>
      <c r="R27" s="3298">
        <v>156</v>
      </c>
      <c r="S27" s="3298">
        <v>0</v>
      </c>
      <c r="T27" s="3298">
        <v>0</v>
      </c>
      <c r="U27" s="3298">
        <v>112</v>
      </c>
      <c r="V27" s="3298">
        <v>119</v>
      </c>
      <c r="W27" s="3298">
        <v>115</v>
      </c>
      <c r="X27" s="3298">
        <v>129</v>
      </c>
      <c r="Y27" s="3298">
        <v>146</v>
      </c>
      <c r="Z27" s="3298">
        <v>120</v>
      </c>
      <c r="AA27" s="3298">
        <v>0</v>
      </c>
      <c r="AB27" s="3298">
        <v>0</v>
      </c>
      <c r="AC27" s="3298">
        <v>229</v>
      </c>
      <c r="AD27" s="3298">
        <v>158</v>
      </c>
      <c r="AE27" s="3298">
        <v>143</v>
      </c>
      <c r="AF27" s="3298">
        <v>80</v>
      </c>
      <c r="AG27" s="3298">
        <v>156</v>
      </c>
      <c r="AH27" s="3299">
        <v>0</v>
      </c>
      <c r="AI27" s="3189">
        <f t="shared" si="2"/>
        <v>3176</v>
      </c>
      <c r="AJ27" s="3189">
        <f t="shared" si="3"/>
        <v>1349.4606323045291</v>
      </c>
      <c r="AK27" s="2659" t="s">
        <v>52</v>
      </c>
      <c r="AL27" s="2673"/>
      <c r="AM27" s="2674"/>
      <c r="AN27" s="2661">
        <v>2</v>
      </c>
      <c r="AO27" s="2661">
        <f t="shared" si="4"/>
        <v>1.6</v>
      </c>
    </row>
    <row r="28" spans="1:50" ht="33.75" customHeight="1">
      <c r="A28" s="2672">
        <v>16</v>
      </c>
      <c r="B28" s="2672">
        <v>16</v>
      </c>
      <c r="C28" s="3297" t="s">
        <v>1269</v>
      </c>
      <c r="D28" s="3298">
        <v>0</v>
      </c>
      <c r="E28" s="3298">
        <v>0</v>
      </c>
      <c r="F28" s="3298">
        <v>113</v>
      </c>
      <c r="G28" s="3298">
        <v>79</v>
      </c>
      <c r="H28" s="3298">
        <v>0</v>
      </c>
      <c r="I28" s="3299">
        <v>143</v>
      </c>
      <c r="J28" s="3298">
        <v>101</v>
      </c>
      <c r="K28" s="3298">
        <v>0</v>
      </c>
      <c r="L28" s="3298">
        <v>170</v>
      </c>
      <c r="M28" s="3298">
        <v>0</v>
      </c>
      <c r="N28" s="3298">
        <v>150</v>
      </c>
      <c r="O28" s="3298">
        <v>126</v>
      </c>
      <c r="P28" s="3298">
        <v>0</v>
      </c>
      <c r="Q28" s="3298">
        <v>146</v>
      </c>
      <c r="R28" s="3298">
        <v>182</v>
      </c>
      <c r="S28" s="3298">
        <v>0</v>
      </c>
      <c r="T28" s="3298">
        <v>164</v>
      </c>
      <c r="U28" s="3298">
        <v>99</v>
      </c>
      <c r="V28" s="3298">
        <v>0</v>
      </c>
      <c r="W28" s="3298">
        <v>0</v>
      </c>
      <c r="X28" s="3298">
        <v>110</v>
      </c>
      <c r="Y28" s="3298">
        <v>0</v>
      </c>
      <c r="Z28" s="3298">
        <v>64</v>
      </c>
      <c r="AA28" s="3298">
        <v>0</v>
      </c>
      <c r="AB28" s="3298">
        <v>213</v>
      </c>
      <c r="AC28" s="3298">
        <v>0</v>
      </c>
      <c r="AD28" s="3298">
        <v>122</v>
      </c>
      <c r="AE28" s="3298">
        <v>90</v>
      </c>
      <c r="AF28" s="3298">
        <v>106</v>
      </c>
      <c r="AG28" s="3298">
        <v>130</v>
      </c>
      <c r="AH28" s="3299">
        <v>0</v>
      </c>
      <c r="AI28" s="3189">
        <f t="shared" si="2"/>
        <v>2308</v>
      </c>
      <c r="AJ28" s="3189">
        <f t="shared" si="3"/>
        <v>980.65338141021823</v>
      </c>
      <c r="AK28" s="2659" t="s">
        <v>52</v>
      </c>
      <c r="AL28" s="2673"/>
      <c r="AM28" s="2674"/>
      <c r="AO28" s="2661">
        <f t="shared" si="4"/>
        <v>0</v>
      </c>
    </row>
    <row r="29" spans="1:50" ht="33.75" customHeight="1">
      <c r="A29" s="2672">
        <v>17</v>
      </c>
      <c r="B29" s="2672">
        <v>17</v>
      </c>
      <c r="C29" s="3424" t="s">
        <v>944</v>
      </c>
      <c r="D29" s="3298">
        <v>0</v>
      </c>
      <c r="E29" s="3298">
        <v>88</v>
      </c>
      <c r="F29" s="3298">
        <v>95</v>
      </c>
      <c r="G29" s="3298">
        <v>0</v>
      </c>
      <c r="H29" s="3298">
        <v>0</v>
      </c>
      <c r="I29" s="3299">
        <v>113</v>
      </c>
      <c r="J29" s="3298">
        <v>112</v>
      </c>
      <c r="K29" s="3298">
        <v>135</v>
      </c>
      <c r="L29" s="3298">
        <v>97</v>
      </c>
      <c r="M29" s="3298">
        <v>109</v>
      </c>
      <c r="N29" s="3298">
        <v>90</v>
      </c>
      <c r="O29" s="3298">
        <v>0</v>
      </c>
      <c r="P29" s="3298">
        <v>58</v>
      </c>
      <c r="Q29" s="3298">
        <v>69</v>
      </c>
      <c r="R29" s="3298">
        <v>137</v>
      </c>
      <c r="S29" s="3298">
        <v>169</v>
      </c>
      <c r="T29" s="3298">
        <v>0</v>
      </c>
      <c r="U29" s="3298">
        <v>127</v>
      </c>
      <c r="V29" s="3298">
        <v>0</v>
      </c>
      <c r="W29" s="3298">
        <v>0</v>
      </c>
      <c r="X29" s="3298">
        <v>172</v>
      </c>
      <c r="Y29" s="3298">
        <v>0</v>
      </c>
      <c r="Z29" s="3298">
        <v>162</v>
      </c>
      <c r="AA29" s="3298">
        <v>108</v>
      </c>
      <c r="AB29" s="3298">
        <v>0</v>
      </c>
      <c r="AC29" s="3298">
        <v>124</v>
      </c>
      <c r="AD29" s="3298">
        <v>87</v>
      </c>
      <c r="AE29" s="3298">
        <v>73</v>
      </c>
      <c r="AF29" s="3298">
        <v>115</v>
      </c>
      <c r="AG29" s="3298">
        <v>70</v>
      </c>
      <c r="AH29" s="3299">
        <v>0</v>
      </c>
      <c r="AI29" s="3189">
        <f t="shared" si="2"/>
        <v>2310</v>
      </c>
      <c r="AJ29" s="3189">
        <f t="shared" si="3"/>
        <v>981.50316770260144</v>
      </c>
      <c r="AK29" s="2659" t="s">
        <v>92</v>
      </c>
      <c r="AL29" s="2673"/>
      <c r="AM29" s="2674"/>
      <c r="AN29" s="2661">
        <v>4</v>
      </c>
      <c r="AO29" s="2661">
        <f t="shared" si="4"/>
        <v>3.2</v>
      </c>
    </row>
    <row r="30" spans="1:50" ht="33.75" customHeight="1">
      <c r="A30" s="2672">
        <v>18</v>
      </c>
      <c r="B30" s="2672">
        <v>18</v>
      </c>
      <c r="C30" s="3297" t="s">
        <v>961</v>
      </c>
      <c r="D30" s="3298">
        <v>0</v>
      </c>
      <c r="E30" s="3298">
        <v>102</v>
      </c>
      <c r="F30" s="3298">
        <v>88</v>
      </c>
      <c r="G30" s="3298">
        <v>0</v>
      </c>
      <c r="H30" s="3298">
        <v>0</v>
      </c>
      <c r="I30" s="3299">
        <v>0</v>
      </c>
      <c r="J30" s="3298">
        <v>68</v>
      </c>
      <c r="K30" s="3298">
        <v>137</v>
      </c>
      <c r="L30" s="3298">
        <v>162</v>
      </c>
      <c r="M30" s="3298">
        <v>172</v>
      </c>
      <c r="N30" s="3298">
        <v>96</v>
      </c>
      <c r="O30" s="3298">
        <v>59</v>
      </c>
      <c r="P30" s="3298">
        <v>65</v>
      </c>
      <c r="Q30" s="3298">
        <v>0</v>
      </c>
      <c r="R30" s="3298">
        <v>117</v>
      </c>
      <c r="S30" s="3298">
        <v>0</v>
      </c>
      <c r="T30" s="3298">
        <v>169</v>
      </c>
      <c r="U30" s="3298">
        <v>140</v>
      </c>
      <c r="V30" s="3298">
        <v>0</v>
      </c>
      <c r="W30" s="3298">
        <v>136</v>
      </c>
      <c r="X30" s="3298">
        <v>0</v>
      </c>
      <c r="Y30" s="3298">
        <v>0</v>
      </c>
      <c r="Z30" s="3298">
        <v>0</v>
      </c>
      <c r="AA30" s="3298">
        <v>0</v>
      </c>
      <c r="AB30" s="3298">
        <v>0</v>
      </c>
      <c r="AC30" s="3298">
        <v>263</v>
      </c>
      <c r="AD30" s="3298">
        <v>156</v>
      </c>
      <c r="AE30" s="3298">
        <v>50</v>
      </c>
      <c r="AF30" s="3298">
        <v>0</v>
      </c>
      <c r="AG30" s="3298">
        <v>149</v>
      </c>
      <c r="AH30" s="3299">
        <v>0</v>
      </c>
      <c r="AI30" s="3189">
        <f t="shared" si="2"/>
        <v>2129</v>
      </c>
      <c r="AJ30" s="3189">
        <f t="shared" si="3"/>
        <v>904.59750824192145</v>
      </c>
      <c r="AK30" s="2659" t="s">
        <v>52</v>
      </c>
      <c r="AL30" s="2673"/>
      <c r="AM30" s="2674"/>
      <c r="AN30" s="2661">
        <v>4</v>
      </c>
      <c r="AO30" s="2661">
        <f t="shared" si="4"/>
        <v>3.2</v>
      </c>
    </row>
    <row r="31" spans="1:50" ht="33.75" customHeight="1">
      <c r="A31" s="2672">
        <v>19</v>
      </c>
      <c r="B31" s="2672">
        <v>19</v>
      </c>
      <c r="C31" s="3297" t="s">
        <v>1185</v>
      </c>
      <c r="D31" s="3298">
        <v>0</v>
      </c>
      <c r="E31" s="3298">
        <v>0</v>
      </c>
      <c r="F31" s="3298">
        <v>114</v>
      </c>
      <c r="G31" s="3298">
        <v>80</v>
      </c>
      <c r="H31" s="3298">
        <v>0</v>
      </c>
      <c r="I31" s="3299">
        <v>143</v>
      </c>
      <c r="J31" s="3298">
        <v>102</v>
      </c>
      <c r="K31" s="3298">
        <v>0</v>
      </c>
      <c r="L31" s="3298">
        <v>169</v>
      </c>
      <c r="M31" s="3298">
        <v>0</v>
      </c>
      <c r="N31" s="3298">
        <v>149</v>
      </c>
      <c r="O31" s="3298">
        <v>125</v>
      </c>
      <c r="P31" s="3298">
        <v>0</v>
      </c>
      <c r="Q31" s="3298">
        <v>146</v>
      </c>
      <c r="R31" s="3298">
        <v>182</v>
      </c>
      <c r="S31" s="3298">
        <v>0</v>
      </c>
      <c r="T31" s="3298">
        <v>164</v>
      </c>
      <c r="U31" s="3298">
        <v>98</v>
      </c>
      <c r="V31" s="3298">
        <v>0</v>
      </c>
      <c r="W31" s="3298">
        <v>0</v>
      </c>
      <c r="X31" s="3298">
        <v>111</v>
      </c>
      <c r="Y31" s="3298">
        <v>0</v>
      </c>
      <c r="Z31" s="3298">
        <v>65</v>
      </c>
      <c r="AA31" s="3298">
        <v>0</v>
      </c>
      <c r="AB31" s="3298">
        <v>214</v>
      </c>
      <c r="AC31" s="3298">
        <v>0</v>
      </c>
      <c r="AD31" s="3298">
        <v>123</v>
      </c>
      <c r="AE31" s="3298">
        <v>91</v>
      </c>
      <c r="AF31" s="3298">
        <v>106</v>
      </c>
      <c r="AG31" s="3298">
        <v>130</v>
      </c>
      <c r="AH31" s="3299">
        <v>0</v>
      </c>
      <c r="AI31" s="3189">
        <f t="shared" si="2"/>
        <v>2312</v>
      </c>
      <c r="AJ31" s="3189">
        <f t="shared" si="3"/>
        <v>982.35295399498466</v>
      </c>
      <c r="AK31" s="2659" t="s">
        <v>92</v>
      </c>
      <c r="AL31" s="2673"/>
      <c r="AM31" s="2674"/>
      <c r="AN31" s="2661">
        <v>4</v>
      </c>
      <c r="AO31" s="2661">
        <f t="shared" si="4"/>
        <v>3.2</v>
      </c>
    </row>
    <row r="32" spans="1:50" ht="33.75" customHeight="1">
      <c r="A32" s="2672">
        <v>20</v>
      </c>
      <c r="B32" s="2672">
        <v>20</v>
      </c>
      <c r="C32" s="3297" t="s">
        <v>1394</v>
      </c>
      <c r="D32" s="3298">
        <v>0</v>
      </c>
      <c r="E32" s="3298">
        <v>87</v>
      </c>
      <c r="F32" s="3298">
        <v>71</v>
      </c>
      <c r="G32" s="3298">
        <v>79</v>
      </c>
      <c r="H32" s="3298">
        <v>141</v>
      </c>
      <c r="I32" s="3299">
        <v>98</v>
      </c>
      <c r="J32" s="3298">
        <v>88</v>
      </c>
      <c r="K32" s="3298">
        <v>84</v>
      </c>
      <c r="L32" s="3298">
        <v>0</v>
      </c>
      <c r="M32" s="3298">
        <v>93</v>
      </c>
      <c r="N32" s="3298">
        <v>74</v>
      </c>
      <c r="O32" s="3298">
        <v>0</v>
      </c>
      <c r="P32" s="3298">
        <v>110</v>
      </c>
      <c r="Q32" s="3298">
        <v>104</v>
      </c>
      <c r="R32" s="3298">
        <v>104</v>
      </c>
      <c r="S32" s="3298">
        <v>0</v>
      </c>
      <c r="T32" s="3298">
        <v>0</v>
      </c>
      <c r="U32" s="3298">
        <v>87</v>
      </c>
      <c r="V32" s="3298">
        <v>0</v>
      </c>
      <c r="W32" s="3298">
        <v>123</v>
      </c>
      <c r="X32" s="3298">
        <v>144</v>
      </c>
      <c r="Y32" s="3298">
        <v>98</v>
      </c>
      <c r="Z32" s="3298">
        <v>95</v>
      </c>
      <c r="AA32" s="3298">
        <v>140</v>
      </c>
      <c r="AB32" s="3298">
        <v>76</v>
      </c>
      <c r="AC32" s="3298">
        <v>79</v>
      </c>
      <c r="AD32" s="3298">
        <v>72</v>
      </c>
      <c r="AE32" s="3298">
        <v>61</v>
      </c>
      <c r="AF32" s="3298">
        <v>0</v>
      </c>
      <c r="AG32" s="3298">
        <v>78</v>
      </c>
      <c r="AH32" s="3299">
        <v>0</v>
      </c>
      <c r="AI32" s="3189">
        <f t="shared" si="2"/>
        <v>2186</v>
      </c>
      <c r="AJ32" s="3189">
        <f t="shared" si="3"/>
        <v>928.81641757484283</v>
      </c>
      <c r="AK32" s="2659" t="s">
        <v>53</v>
      </c>
      <c r="AL32" s="2673"/>
      <c r="AM32" s="2674"/>
      <c r="AN32" s="2661">
        <v>4</v>
      </c>
      <c r="AO32" s="2661">
        <f t="shared" si="4"/>
        <v>3.2</v>
      </c>
    </row>
    <row r="33" spans="1:41" ht="33.75" customHeight="1">
      <c r="A33" s="2672">
        <v>21</v>
      </c>
      <c r="B33" s="2672">
        <v>21</v>
      </c>
      <c r="C33" s="3297" t="s">
        <v>945</v>
      </c>
      <c r="D33" s="3298">
        <v>0</v>
      </c>
      <c r="E33" s="3298">
        <v>0</v>
      </c>
      <c r="F33" s="3298">
        <v>96</v>
      </c>
      <c r="G33" s="3298">
        <v>0</v>
      </c>
      <c r="H33" s="3298">
        <v>119</v>
      </c>
      <c r="I33" s="3299">
        <v>187</v>
      </c>
      <c r="J33" s="3298">
        <v>89</v>
      </c>
      <c r="K33" s="3298">
        <v>106</v>
      </c>
      <c r="L33" s="3298">
        <v>0</v>
      </c>
      <c r="M33" s="3298">
        <v>100</v>
      </c>
      <c r="N33" s="3298">
        <v>89</v>
      </c>
      <c r="O33" s="3298">
        <v>0</v>
      </c>
      <c r="P33" s="3298">
        <v>136</v>
      </c>
      <c r="Q33" s="3298">
        <v>85</v>
      </c>
      <c r="R33" s="3298">
        <v>83</v>
      </c>
      <c r="S33" s="3298">
        <v>159</v>
      </c>
      <c r="T33" s="3298">
        <v>0</v>
      </c>
      <c r="U33" s="3298">
        <v>110</v>
      </c>
      <c r="V33" s="3298">
        <v>0</v>
      </c>
      <c r="W33" s="3298">
        <v>0</v>
      </c>
      <c r="X33" s="3298">
        <v>159</v>
      </c>
      <c r="Y33" s="3298">
        <v>75</v>
      </c>
      <c r="Z33" s="3298">
        <v>154</v>
      </c>
      <c r="AA33" s="3298">
        <v>115</v>
      </c>
      <c r="AB33" s="3298">
        <v>69</v>
      </c>
      <c r="AC33" s="3298">
        <v>85</v>
      </c>
      <c r="AD33" s="3298">
        <v>71</v>
      </c>
      <c r="AE33" s="3298">
        <v>104</v>
      </c>
      <c r="AF33" s="3298">
        <v>0</v>
      </c>
      <c r="AG33" s="3298">
        <v>115</v>
      </c>
      <c r="AH33" s="3299">
        <v>117</v>
      </c>
      <c r="AI33" s="3189">
        <f t="shared" si="2"/>
        <v>2423</v>
      </c>
      <c r="AJ33" s="3189">
        <f t="shared" si="3"/>
        <v>1029.5160932222527</v>
      </c>
      <c r="AK33" s="2659" t="s">
        <v>52</v>
      </c>
      <c r="AL33" s="2673"/>
      <c r="AM33" s="2674"/>
      <c r="AO33" s="2661">
        <f t="shared" si="4"/>
        <v>0</v>
      </c>
    </row>
    <row r="34" spans="1:41" ht="33.75" customHeight="1">
      <c r="A34" s="2672">
        <v>22</v>
      </c>
      <c r="B34" s="2672">
        <v>22</v>
      </c>
      <c r="C34" s="3424" t="s">
        <v>1186</v>
      </c>
      <c r="D34" s="3298">
        <v>122</v>
      </c>
      <c r="E34" s="3298">
        <v>111</v>
      </c>
      <c r="F34" s="3298">
        <v>110</v>
      </c>
      <c r="G34" s="3298">
        <v>120</v>
      </c>
      <c r="H34" s="3298">
        <v>0</v>
      </c>
      <c r="I34" s="3299">
        <v>95</v>
      </c>
      <c r="J34" s="3298">
        <v>114</v>
      </c>
      <c r="K34" s="3298">
        <v>128</v>
      </c>
      <c r="L34" s="3298">
        <v>171</v>
      </c>
      <c r="M34" s="3298">
        <v>103</v>
      </c>
      <c r="N34" s="3298">
        <v>77</v>
      </c>
      <c r="O34" s="3298">
        <v>84</v>
      </c>
      <c r="P34" s="3298">
        <v>87</v>
      </c>
      <c r="Q34" s="3298">
        <v>92</v>
      </c>
      <c r="R34" s="3298">
        <v>0</v>
      </c>
      <c r="S34" s="3298">
        <v>146</v>
      </c>
      <c r="T34" s="3298">
        <v>0</v>
      </c>
      <c r="U34" s="3298">
        <v>83</v>
      </c>
      <c r="V34" s="3298">
        <v>204</v>
      </c>
      <c r="W34" s="3298">
        <v>0</v>
      </c>
      <c r="X34" s="3298">
        <v>169</v>
      </c>
      <c r="Y34" s="3298">
        <v>102</v>
      </c>
      <c r="Z34" s="3298">
        <v>0</v>
      </c>
      <c r="AA34" s="3298">
        <v>149</v>
      </c>
      <c r="AB34" s="3298">
        <v>0</v>
      </c>
      <c r="AC34" s="3298">
        <v>83</v>
      </c>
      <c r="AD34" s="3298">
        <v>156</v>
      </c>
      <c r="AE34" s="3298">
        <v>95</v>
      </c>
      <c r="AF34" s="3298">
        <v>160</v>
      </c>
      <c r="AG34" s="3298">
        <v>90</v>
      </c>
      <c r="AH34" s="3299">
        <v>0</v>
      </c>
      <c r="AI34" s="3189">
        <f t="shared" si="2"/>
        <v>2851</v>
      </c>
      <c r="AJ34" s="3189">
        <f t="shared" si="3"/>
        <v>1211.3703597922583</v>
      </c>
      <c r="AK34" s="2659" t="s">
        <v>52</v>
      </c>
      <c r="AL34" s="2673"/>
      <c r="AM34" s="2674"/>
      <c r="AO34" s="2661">
        <f t="shared" si="4"/>
        <v>0</v>
      </c>
    </row>
    <row r="35" spans="1:41" ht="33.75" customHeight="1">
      <c r="A35" s="2672">
        <v>23</v>
      </c>
      <c r="B35" s="2672">
        <v>23</v>
      </c>
      <c r="C35" s="3424" t="s">
        <v>1187</v>
      </c>
      <c r="D35" s="3298">
        <v>0</v>
      </c>
      <c r="E35" s="3298">
        <v>0</v>
      </c>
      <c r="F35" s="3298">
        <v>120</v>
      </c>
      <c r="G35" s="3298">
        <v>107</v>
      </c>
      <c r="H35" s="3298">
        <v>0</v>
      </c>
      <c r="I35" s="3299">
        <v>192</v>
      </c>
      <c r="J35" s="3298">
        <v>109</v>
      </c>
      <c r="K35" s="3298">
        <v>96</v>
      </c>
      <c r="L35" s="3298">
        <v>0</v>
      </c>
      <c r="M35" s="3298">
        <v>127</v>
      </c>
      <c r="N35" s="3298">
        <v>144</v>
      </c>
      <c r="O35" s="3298">
        <v>92</v>
      </c>
      <c r="P35" s="3298">
        <v>135</v>
      </c>
      <c r="Q35" s="3298">
        <v>98</v>
      </c>
      <c r="R35" s="3298">
        <v>116</v>
      </c>
      <c r="S35" s="3298">
        <v>0</v>
      </c>
      <c r="T35" s="3298">
        <v>112</v>
      </c>
      <c r="U35" s="3298">
        <v>127</v>
      </c>
      <c r="V35" s="3298">
        <v>94</v>
      </c>
      <c r="W35" s="3298">
        <v>118</v>
      </c>
      <c r="X35" s="3298">
        <v>0</v>
      </c>
      <c r="Y35" s="3298">
        <v>79</v>
      </c>
      <c r="Z35" s="3298">
        <v>151</v>
      </c>
      <c r="AA35" s="3298">
        <v>0</v>
      </c>
      <c r="AB35" s="3298">
        <v>151</v>
      </c>
      <c r="AC35" s="3298">
        <v>229</v>
      </c>
      <c r="AD35" s="3298">
        <v>82</v>
      </c>
      <c r="AE35" s="3298">
        <v>131</v>
      </c>
      <c r="AF35" s="3298">
        <v>0</v>
      </c>
      <c r="AG35" s="3298">
        <v>80</v>
      </c>
      <c r="AH35" s="3299">
        <v>0</v>
      </c>
      <c r="AI35" s="3189">
        <f t="shared" si="2"/>
        <v>2690</v>
      </c>
      <c r="AJ35" s="3189">
        <f t="shared" si="3"/>
        <v>1142.9625632554105</v>
      </c>
      <c r="AK35" s="2659" t="s">
        <v>52</v>
      </c>
      <c r="AL35" s="2673"/>
      <c r="AM35" s="2674"/>
      <c r="AN35" s="2661">
        <v>4</v>
      </c>
      <c r="AO35" s="2661">
        <f t="shared" si="4"/>
        <v>3.2</v>
      </c>
    </row>
    <row r="36" spans="1:41" ht="33.75" customHeight="1">
      <c r="A36" s="2672">
        <v>24</v>
      </c>
      <c r="B36" s="2672">
        <v>24</v>
      </c>
      <c r="C36" s="3424" t="s">
        <v>946</v>
      </c>
      <c r="D36" s="3298">
        <v>0</v>
      </c>
      <c r="E36" s="3298">
        <v>0</v>
      </c>
      <c r="F36" s="3298">
        <v>96</v>
      </c>
      <c r="G36" s="3298">
        <v>115</v>
      </c>
      <c r="H36" s="3298">
        <v>98</v>
      </c>
      <c r="I36" s="3299">
        <v>64</v>
      </c>
      <c r="J36" s="3298">
        <v>92</v>
      </c>
      <c r="K36" s="3298">
        <v>110</v>
      </c>
      <c r="L36" s="3298">
        <v>87</v>
      </c>
      <c r="M36" s="3298">
        <v>0</v>
      </c>
      <c r="N36" s="3298">
        <v>74</v>
      </c>
      <c r="O36" s="3298">
        <v>83</v>
      </c>
      <c r="P36" s="3298">
        <v>72</v>
      </c>
      <c r="Q36" s="3298">
        <v>54</v>
      </c>
      <c r="R36" s="3298">
        <v>0</v>
      </c>
      <c r="S36" s="3298">
        <v>0</v>
      </c>
      <c r="T36" s="3298">
        <v>0</v>
      </c>
      <c r="U36" s="3298">
        <v>67</v>
      </c>
      <c r="V36" s="3298">
        <v>92</v>
      </c>
      <c r="W36" s="3298">
        <v>0</v>
      </c>
      <c r="X36" s="3298">
        <v>88</v>
      </c>
      <c r="Y36" s="3298">
        <v>60</v>
      </c>
      <c r="Z36" s="3298">
        <v>80</v>
      </c>
      <c r="AA36" s="3298">
        <v>0</v>
      </c>
      <c r="AB36" s="3298">
        <v>0</v>
      </c>
      <c r="AC36" s="3298">
        <v>0</v>
      </c>
      <c r="AD36" s="3298">
        <v>0</v>
      </c>
      <c r="AE36" s="3298">
        <v>0</v>
      </c>
      <c r="AF36" s="3298">
        <v>88</v>
      </c>
      <c r="AG36" s="3298">
        <v>49</v>
      </c>
      <c r="AH36" s="3299">
        <v>0</v>
      </c>
      <c r="AI36" s="3189">
        <f t="shared" si="2"/>
        <v>1469</v>
      </c>
      <c r="AJ36" s="3189">
        <f t="shared" si="3"/>
        <v>624.16803175546386</v>
      </c>
      <c r="AK36" s="2659" t="s">
        <v>53</v>
      </c>
      <c r="AL36" s="2673"/>
      <c r="AM36" s="2674"/>
      <c r="AN36" s="2661">
        <v>4</v>
      </c>
      <c r="AO36" s="2661">
        <f t="shared" si="4"/>
        <v>3.2</v>
      </c>
    </row>
    <row r="37" spans="1:41" ht="33.75" customHeight="1">
      <c r="A37" s="2672">
        <v>25</v>
      </c>
      <c r="B37" s="2672">
        <v>25</v>
      </c>
      <c r="C37" s="3424" t="s">
        <v>947</v>
      </c>
      <c r="D37" s="3298">
        <v>0</v>
      </c>
      <c r="E37" s="3298">
        <v>0</v>
      </c>
      <c r="F37" s="3298">
        <v>69</v>
      </c>
      <c r="G37" s="3298">
        <v>111</v>
      </c>
      <c r="H37" s="3298">
        <v>64</v>
      </c>
      <c r="I37" s="3299">
        <v>86</v>
      </c>
      <c r="J37" s="3298">
        <v>74</v>
      </c>
      <c r="K37" s="3298">
        <v>138</v>
      </c>
      <c r="L37" s="3298">
        <v>0</v>
      </c>
      <c r="M37" s="3298">
        <v>77</v>
      </c>
      <c r="N37" s="3298">
        <v>65</v>
      </c>
      <c r="O37" s="3298">
        <v>0</v>
      </c>
      <c r="P37" s="3298">
        <v>78</v>
      </c>
      <c r="Q37" s="3298">
        <v>70</v>
      </c>
      <c r="R37" s="3298">
        <v>91</v>
      </c>
      <c r="S37" s="3298">
        <v>0</v>
      </c>
      <c r="T37" s="3298">
        <v>0</v>
      </c>
      <c r="U37" s="3298">
        <v>0</v>
      </c>
      <c r="V37" s="3298">
        <v>64</v>
      </c>
      <c r="W37" s="3298">
        <v>0</v>
      </c>
      <c r="X37" s="3298">
        <v>114</v>
      </c>
      <c r="Y37" s="3298">
        <v>74</v>
      </c>
      <c r="Z37" s="3298">
        <v>0</v>
      </c>
      <c r="AA37" s="3298">
        <v>0</v>
      </c>
      <c r="AB37" s="3298">
        <v>66</v>
      </c>
      <c r="AC37" s="3298">
        <v>0</v>
      </c>
      <c r="AD37" s="3298">
        <v>79</v>
      </c>
      <c r="AE37" s="3298">
        <v>97</v>
      </c>
      <c r="AF37" s="3298">
        <v>0</v>
      </c>
      <c r="AG37" s="3298">
        <v>69</v>
      </c>
      <c r="AH37" s="3299">
        <v>0</v>
      </c>
      <c r="AI37" s="3189">
        <f t="shared" si="2"/>
        <v>1486</v>
      </c>
      <c r="AJ37" s="3189">
        <f t="shared" si="3"/>
        <v>631.39121524072118</v>
      </c>
      <c r="AK37" s="2659" t="s">
        <v>92</v>
      </c>
      <c r="AL37" s="2673"/>
      <c r="AM37" s="2674"/>
      <c r="AN37" s="2661">
        <v>4</v>
      </c>
      <c r="AO37" s="2661">
        <f t="shared" si="4"/>
        <v>3.2</v>
      </c>
    </row>
    <row r="38" spans="1:41" ht="33.75" customHeight="1">
      <c r="A38" s="2672">
        <v>26</v>
      </c>
      <c r="B38" s="2672">
        <v>26</v>
      </c>
      <c r="C38" s="3424" t="s">
        <v>963</v>
      </c>
      <c r="D38" s="3298">
        <v>0</v>
      </c>
      <c r="E38" s="3298">
        <v>0</v>
      </c>
      <c r="F38" s="3298">
        <v>65</v>
      </c>
      <c r="G38" s="3298">
        <v>106</v>
      </c>
      <c r="H38" s="3298">
        <v>0</v>
      </c>
      <c r="I38" s="3299">
        <v>98</v>
      </c>
      <c r="J38" s="3298">
        <v>72</v>
      </c>
      <c r="K38" s="3298">
        <v>89</v>
      </c>
      <c r="L38" s="3298">
        <v>103</v>
      </c>
      <c r="M38" s="3298">
        <v>111</v>
      </c>
      <c r="N38" s="3298">
        <v>0</v>
      </c>
      <c r="O38" s="3298">
        <v>96</v>
      </c>
      <c r="P38" s="3298">
        <v>109</v>
      </c>
      <c r="Q38" s="3298">
        <v>104</v>
      </c>
      <c r="R38" s="3298">
        <v>75</v>
      </c>
      <c r="S38" s="3298">
        <v>0</v>
      </c>
      <c r="T38" s="3298">
        <v>0</v>
      </c>
      <c r="U38" s="3298">
        <v>107</v>
      </c>
      <c r="V38" s="3298">
        <v>0</v>
      </c>
      <c r="W38" s="3298">
        <v>142</v>
      </c>
      <c r="X38" s="3298">
        <v>136</v>
      </c>
      <c r="Y38" s="3298">
        <v>95</v>
      </c>
      <c r="Z38" s="3298">
        <v>80</v>
      </c>
      <c r="AA38" s="3298">
        <v>0</v>
      </c>
      <c r="AB38" s="3298">
        <v>129</v>
      </c>
      <c r="AC38" s="3298">
        <v>87</v>
      </c>
      <c r="AD38" s="3298">
        <v>79</v>
      </c>
      <c r="AE38" s="3298">
        <v>90</v>
      </c>
      <c r="AF38" s="3298">
        <v>90</v>
      </c>
      <c r="AG38" s="3298">
        <v>0</v>
      </c>
      <c r="AH38" s="3299">
        <v>0</v>
      </c>
      <c r="AI38" s="3189">
        <f t="shared" si="2"/>
        <v>2063</v>
      </c>
      <c r="AJ38" s="3189">
        <f t="shared" si="3"/>
        <v>876.55456059327582</v>
      </c>
      <c r="AK38" s="2659" t="s">
        <v>52</v>
      </c>
      <c r="AL38" s="2673"/>
      <c r="AM38" s="2674"/>
      <c r="AN38" s="2661">
        <v>4</v>
      </c>
      <c r="AO38" s="2661">
        <f t="shared" si="4"/>
        <v>3.2</v>
      </c>
    </row>
    <row r="39" spans="1:41" ht="33.75" customHeight="1">
      <c r="A39" s="2672">
        <v>27</v>
      </c>
      <c r="B39" s="2672">
        <v>27</v>
      </c>
      <c r="C39" s="3424" t="s">
        <v>756</v>
      </c>
      <c r="D39" s="3298">
        <v>0</v>
      </c>
      <c r="E39" s="3298">
        <v>0</v>
      </c>
      <c r="F39" s="3298">
        <v>0</v>
      </c>
      <c r="G39" s="3298">
        <v>0</v>
      </c>
      <c r="H39" s="3298">
        <v>81</v>
      </c>
      <c r="I39" s="3299">
        <v>101</v>
      </c>
      <c r="J39" s="3298">
        <v>96</v>
      </c>
      <c r="K39" s="3298">
        <v>130</v>
      </c>
      <c r="L39" s="3298">
        <v>87</v>
      </c>
      <c r="M39" s="3298">
        <v>95</v>
      </c>
      <c r="N39" s="3298">
        <v>69</v>
      </c>
      <c r="O39" s="3298">
        <v>112</v>
      </c>
      <c r="P39" s="3298">
        <v>72</v>
      </c>
      <c r="Q39" s="3298">
        <v>110</v>
      </c>
      <c r="R39" s="3298">
        <v>113</v>
      </c>
      <c r="S39" s="3298">
        <v>166</v>
      </c>
      <c r="T39" s="3298">
        <v>99</v>
      </c>
      <c r="U39" s="3298">
        <v>126</v>
      </c>
      <c r="V39" s="3298">
        <v>67</v>
      </c>
      <c r="W39" s="3298">
        <v>129</v>
      </c>
      <c r="X39" s="3298">
        <v>112</v>
      </c>
      <c r="Y39" s="3298">
        <v>104</v>
      </c>
      <c r="Z39" s="3298">
        <v>97</v>
      </c>
      <c r="AA39" s="3298">
        <v>131</v>
      </c>
      <c r="AB39" s="3298">
        <v>80</v>
      </c>
      <c r="AC39" s="3298">
        <v>88</v>
      </c>
      <c r="AD39" s="3298">
        <v>72</v>
      </c>
      <c r="AE39" s="3298">
        <v>117</v>
      </c>
      <c r="AF39" s="3298">
        <v>73</v>
      </c>
      <c r="AG39" s="3298">
        <v>94</v>
      </c>
      <c r="AH39" s="3299">
        <v>53</v>
      </c>
      <c r="AI39" s="3189">
        <f t="shared" si="2"/>
        <v>2674</v>
      </c>
      <c r="AJ39" s="3189">
        <f t="shared" si="3"/>
        <v>1136.1642729163448</v>
      </c>
      <c r="AK39" s="2659" t="s">
        <v>52</v>
      </c>
      <c r="AL39" s="2673"/>
      <c r="AM39" s="2674"/>
      <c r="AN39" s="2661">
        <v>4</v>
      </c>
      <c r="AO39" s="2661">
        <f t="shared" si="4"/>
        <v>3.2</v>
      </c>
    </row>
    <row r="40" spans="1:41" ht="33.75" customHeight="1">
      <c r="A40" s="2672">
        <v>28</v>
      </c>
      <c r="B40" s="2672">
        <v>28</v>
      </c>
      <c r="C40" s="3424" t="s">
        <v>948</v>
      </c>
      <c r="D40" s="3298">
        <v>0</v>
      </c>
      <c r="E40" s="3298">
        <v>0</v>
      </c>
      <c r="F40" s="3298">
        <v>100</v>
      </c>
      <c r="G40" s="3298">
        <v>127</v>
      </c>
      <c r="H40" s="3298">
        <v>100</v>
      </c>
      <c r="I40" s="3299">
        <v>100</v>
      </c>
      <c r="J40" s="3298">
        <v>100</v>
      </c>
      <c r="K40" s="3298">
        <v>111</v>
      </c>
      <c r="L40" s="3298">
        <v>123</v>
      </c>
      <c r="M40" s="3298">
        <v>103</v>
      </c>
      <c r="N40" s="3298">
        <v>77</v>
      </c>
      <c r="O40" s="3298">
        <v>125</v>
      </c>
      <c r="P40" s="3298">
        <v>95</v>
      </c>
      <c r="Q40" s="3298">
        <v>0</v>
      </c>
      <c r="R40" s="3298">
        <v>103</v>
      </c>
      <c r="S40" s="3298">
        <v>167</v>
      </c>
      <c r="T40" s="3298">
        <v>134</v>
      </c>
      <c r="U40" s="3298">
        <v>100</v>
      </c>
      <c r="V40" s="3298">
        <v>80</v>
      </c>
      <c r="W40" s="3298">
        <v>180</v>
      </c>
      <c r="X40" s="3298">
        <v>117</v>
      </c>
      <c r="Y40" s="3298">
        <v>132</v>
      </c>
      <c r="Z40" s="3298">
        <v>83</v>
      </c>
      <c r="AA40" s="3298">
        <v>0</v>
      </c>
      <c r="AB40" s="3298">
        <v>0</v>
      </c>
      <c r="AC40" s="3298">
        <v>121</v>
      </c>
      <c r="AD40" s="3298">
        <v>70</v>
      </c>
      <c r="AE40" s="3298">
        <v>0</v>
      </c>
      <c r="AF40" s="3298">
        <v>0</v>
      </c>
      <c r="AG40" s="3298">
        <v>99</v>
      </c>
      <c r="AH40" s="3299">
        <v>89</v>
      </c>
      <c r="AI40" s="3189">
        <f t="shared" ref="AI40:AI44" si="5">SUM(D40:AH40)</f>
        <v>2636</v>
      </c>
      <c r="AJ40" s="3189">
        <f t="shared" si="3"/>
        <v>1120.0183333610639</v>
      </c>
      <c r="AK40" s="2659" t="s">
        <v>52</v>
      </c>
      <c r="AL40" s="2673"/>
      <c r="AM40" s="2674">
        <f t="shared" ref="AM40:AM48" si="6">IF(AJ40&gt;=3175,700000,IF(AJ40&gt;=2760,500000,IF(AJ40&gt;2400,300000,IF(AJ40&gt;=2400,0,0))))</f>
        <v>0</v>
      </c>
      <c r="AN40" s="2661">
        <v>4</v>
      </c>
      <c r="AO40" s="2661">
        <f t="shared" si="4"/>
        <v>3.2</v>
      </c>
    </row>
    <row r="41" spans="1:41" ht="33.75" customHeight="1">
      <c r="A41" s="2672">
        <v>29</v>
      </c>
      <c r="B41" s="2672">
        <v>29</v>
      </c>
      <c r="C41" s="3424" t="s">
        <v>949</v>
      </c>
      <c r="D41" s="3298">
        <v>0</v>
      </c>
      <c r="E41" s="3298">
        <v>0</v>
      </c>
      <c r="F41" s="3298">
        <v>100</v>
      </c>
      <c r="G41" s="3298">
        <v>127</v>
      </c>
      <c r="H41" s="3298">
        <v>100</v>
      </c>
      <c r="I41" s="3299">
        <v>100</v>
      </c>
      <c r="J41" s="3298">
        <v>100</v>
      </c>
      <c r="K41" s="3298">
        <v>112</v>
      </c>
      <c r="L41" s="3298">
        <v>123</v>
      </c>
      <c r="M41" s="3298">
        <v>103</v>
      </c>
      <c r="N41" s="3298">
        <v>77</v>
      </c>
      <c r="O41" s="3298">
        <v>125</v>
      </c>
      <c r="P41" s="3298">
        <v>95</v>
      </c>
      <c r="Q41" s="3298">
        <v>0</v>
      </c>
      <c r="R41" s="3298">
        <v>103</v>
      </c>
      <c r="S41" s="3298">
        <v>167</v>
      </c>
      <c r="T41" s="3298">
        <v>134</v>
      </c>
      <c r="U41" s="3298">
        <v>100</v>
      </c>
      <c r="V41" s="3298">
        <v>80</v>
      </c>
      <c r="W41" s="3298">
        <v>181</v>
      </c>
      <c r="X41" s="3298">
        <v>118</v>
      </c>
      <c r="Y41" s="3298">
        <v>132</v>
      </c>
      <c r="Z41" s="3298">
        <v>85</v>
      </c>
      <c r="AA41" s="3298">
        <v>0</v>
      </c>
      <c r="AB41" s="3298">
        <v>0</v>
      </c>
      <c r="AC41" s="3298">
        <v>122</v>
      </c>
      <c r="AD41" s="3298">
        <v>70</v>
      </c>
      <c r="AE41" s="3298">
        <v>0</v>
      </c>
      <c r="AF41" s="3298">
        <v>0</v>
      </c>
      <c r="AG41" s="3298">
        <v>100</v>
      </c>
      <c r="AH41" s="3299">
        <v>89</v>
      </c>
      <c r="AI41" s="3189">
        <f>SUM(D41:AH41)</f>
        <v>2643</v>
      </c>
      <c r="AJ41" s="3189">
        <f t="shared" si="3"/>
        <v>1122.9925853844052</v>
      </c>
      <c r="AK41" s="2659" t="s">
        <v>92</v>
      </c>
      <c r="AL41" s="2673"/>
      <c r="AM41" s="2674">
        <f t="shared" si="6"/>
        <v>0</v>
      </c>
      <c r="AN41" s="2661">
        <v>4</v>
      </c>
      <c r="AO41" s="2661">
        <f t="shared" si="4"/>
        <v>3.2</v>
      </c>
    </row>
    <row r="42" spans="1:41" ht="33.75" customHeight="1">
      <c r="A42" s="2672">
        <v>30</v>
      </c>
      <c r="B42" s="2672">
        <v>30</v>
      </c>
      <c r="C42" s="3424" t="s">
        <v>529</v>
      </c>
      <c r="D42" s="3298">
        <v>0</v>
      </c>
      <c r="E42" s="3298">
        <v>0</v>
      </c>
      <c r="F42" s="3298">
        <v>108</v>
      </c>
      <c r="G42" s="3298">
        <v>133</v>
      </c>
      <c r="H42" s="3298">
        <v>106</v>
      </c>
      <c r="I42" s="3299">
        <v>144</v>
      </c>
      <c r="J42" s="3298">
        <v>111</v>
      </c>
      <c r="K42" s="3298">
        <v>136</v>
      </c>
      <c r="L42" s="3298">
        <v>90</v>
      </c>
      <c r="M42" s="3298">
        <v>128</v>
      </c>
      <c r="N42" s="3298">
        <v>91</v>
      </c>
      <c r="O42" s="3298">
        <v>0</v>
      </c>
      <c r="P42" s="3298">
        <v>108</v>
      </c>
      <c r="Q42" s="3298">
        <v>159</v>
      </c>
      <c r="R42" s="3298">
        <v>0</v>
      </c>
      <c r="S42" s="3298">
        <v>101</v>
      </c>
      <c r="T42" s="3298">
        <v>0</v>
      </c>
      <c r="U42" s="3298">
        <v>108</v>
      </c>
      <c r="V42" s="3298">
        <v>181</v>
      </c>
      <c r="W42" s="3298">
        <v>116</v>
      </c>
      <c r="X42" s="3298">
        <v>148</v>
      </c>
      <c r="Y42" s="3298">
        <v>0</v>
      </c>
      <c r="Z42" s="3298">
        <v>0</v>
      </c>
      <c r="AA42" s="3298">
        <v>126</v>
      </c>
      <c r="AB42" s="3298">
        <v>94</v>
      </c>
      <c r="AC42" s="3298">
        <v>0</v>
      </c>
      <c r="AD42" s="3298">
        <v>160</v>
      </c>
      <c r="AE42" s="3298">
        <v>87</v>
      </c>
      <c r="AF42" s="3298">
        <v>74</v>
      </c>
      <c r="AG42" s="3298">
        <v>211</v>
      </c>
      <c r="AH42" s="3299">
        <v>101</v>
      </c>
      <c r="AI42" s="3189">
        <f t="shared" si="5"/>
        <v>2821</v>
      </c>
      <c r="AJ42" s="3189">
        <f t="shared" si="3"/>
        <v>1198.6235654065104</v>
      </c>
      <c r="AK42" s="2659" t="s">
        <v>92</v>
      </c>
      <c r="AL42" s="2673"/>
      <c r="AM42" s="2674">
        <f t="shared" si="6"/>
        <v>0</v>
      </c>
      <c r="AO42" s="2661">
        <f t="shared" si="4"/>
        <v>0</v>
      </c>
    </row>
    <row r="43" spans="1:41" ht="33.75" customHeight="1">
      <c r="A43" s="2672">
        <v>31</v>
      </c>
      <c r="B43" s="2672">
        <v>31</v>
      </c>
      <c r="C43" s="3424" t="s">
        <v>653</v>
      </c>
      <c r="D43" s="3298">
        <v>0</v>
      </c>
      <c r="E43" s="3298">
        <v>0</v>
      </c>
      <c r="F43" s="3298">
        <v>89</v>
      </c>
      <c r="G43" s="3298">
        <v>110</v>
      </c>
      <c r="H43" s="3298">
        <v>73</v>
      </c>
      <c r="I43" s="3299">
        <v>106</v>
      </c>
      <c r="J43" s="3298">
        <v>67</v>
      </c>
      <c r="K43" s="3298">
        <v>122</v>
      </c>
      <c r="L43" s="3298">
        <v>85</v>
      </c>
      <c r="M43" s="3298">
        <v>113</v>
      </c>
      <c r="N43" s="3298">
        <v>86</v>
      </c>
      <c r="O43" s="3298">
        <v>88</v>
      </c>
      <c r="P43" s="3298">
        <v>66</v>
      </c>
      <c r="Q43" s="3298">
        <v>99</v>
      </c>
      <c r="R43" s="3298">
        <v>106</v>
      </c>
      <c r="S43" s="3298">
        <v>0</v>
      </c>
      <c r="T43" s="3298">
        <v>0</v>
      </c>
      <c r="U43" s="3298">
        <v>103</v>
      </c>
      <c r="V43" s="3298">
        <v>69</v>
      </c>
      <c r="W43" s="3298">
        <v>151</v>
      </c>
      <c r="X43" s="3298">
        <v>102</v>
      </c>
      <c r="Y43" s="3298">
        <v>111</v>
      </c>
      <c r="Z43" s="3298">
        <v>88</v>
      </c>
      <c r="AA43" s="3298">
        <v>0</v>
      </c>
      <c r="AB43" s="3298">
        <v>77</v>
      </c>
      <c r="AC43" s="3298">
        <v>0</v>
      </c>
      <c r="AD43" s="3298">
        <v>63</v>
      </c>
      <c r="AE43" s="3298">
        <v>95</v>
      </c>
      <c r="AF43" s="3298">
        <v>80</v>
      </c>
      <c r="AG43" s="3298">
        <v>86</v>
      </c>
      <c r="AH43" s="3299">
        <v>0</v>
      </c>
      <c r="AI43" s="3189">
        <f t="shared" si="5"/>
        <v>2235</v>
      </c>
      <c r="AJ43" s="3189">
        <f t="shared" si="3"/>
        <v>949.63618173823136</v>
      </c>
      <c r="AK43" s="2659" t="s">
        <v>52</v>
      </c>
      <c r="AL43" s="2673"/>
      <c r="AM43" s="2674">
        <f t="shared" si="6"/>
        <v>0</v>
      </c>
      <c r="AN43" s="2661">
        <v>4</v>
      </c>
      <c r="AO43" s="2661">
        <f t="shared" si="4"/>
        <v>3.2</v>
      </c>
    </row>
    <row r="44" spans="1:41" ht="33.75" customHeight="1">
      <c r="A44" s="2672">
        <v>32</v>
      </c>
      <c r="B44" s="2672">
        <v>32</v>
      </c>
      <c r="C44" s="3424" t="s">
        <v>986</v>
      </c>
      <c r="D44" s="3298">
        <v>0</v>
      </c>
      <c r="E44" s="3298">
        <v>0</v>
      </c>
      <c r="F44" s="3298">
        <v>90</v>
      </c>
      <c r="G44" s="3298">
        <v>111</v>
      </c>
      <c r="H44" s="3298">
        <v>74</v>
      </c>
      <c r="I44" s="3299">
        <v>106</v>
      </c>
      <c r="J44" s="3298">
        <v>67</v>
      </c>
      <c r="K44" s="3298">
        <v>123</v>
      </c>
      <c r="L44" s="3298">
        <v>85</v>
      </c>
      <c r="M44" s="3298">
        <v>112</v>
      </c>
      <c r="N44" s="3298">
        <v>86</v>
      </c>
      <c r="O44" s="3298">
        <v>88</v>
      </c>
      <c r="P44" s="3298">
        <v>66</v>
      </c>
      <c r="Q44" s="3298">
        <v>99</v>
      </c>
      <c r="R44" s="3298">
        <v>106</v>
      </c>
      <c r="S44" s="3298">
        <v>0</v>
      </c>
      <c r="T44" s="3298">
        <v>0</v>
      </c>
      <c r="U44" s="3298">
        <v>102</v>
      </c>
      <c r="V44" s="3298">
        <v>68</v>
      </c>
      <c r="W44" s="3298">
        <v>150</v>
      </c>
      <c r="X44" s="3298">
        <v>103</v>
      </c>
      <c r="Y44" s="3298">
        <v>110</v>
      </c>
      <c r="Z44" s="3298">
        <v>88</v>
      </c>
      <c r="AA44" s="3298">
        <v>0</v>
      </c>
      <c r="AB44" s="3298">
        <v>78</v>
      </c>
      <c r="AC44" s="3298">
        <v>0</v>
      </c>
      <c r="AD44" s="3298">
        <v>64</v>
      </c>
      <c r="AE44" s="3298">
        <v>96</v>
      </c>
      <c r="AF44" s="3298">
        <v>81</v>
      </c>
      <c r="AG44" s="3298">
        <v>85</v>
      </c>
      <c r="AH44" s="3299">
        <v>0</v>
      </c>
      <c r="AI44" s="3189">
        <f t="shared" si="5"/>
        <v>2238</v>
      </c>
      <c r="AJ44" s="3189">
        <f t="shared" si="3"/>
        <v>950.91086117680618</v>
      </c>
      <c r="AK44" s="2659" t="s">
        <v>92</v>
      </c>
      <c r="AL44" s="2673"/>
      <c r="AM44" s="2674">
        <f t="shared" si="6"/>
        <v>0</v>
      </c>
      <c r="AN44" s="2661">
        <v>4</v>
      </c>
      <c r="AO44" s="2661">
        <f t="shared" si="4"/>
        <v>3.2</v>
      </c>
    </row>
    <row r="45" spans="1:41" ht="33.75" customHeight="1">
      <c r="A45" s="2672">
        <v>33</v>
      </c>
      <c r="B45" s="2672">
        <v>33</v>
      </c>
      <c r="C45" s="3424" t="s">
        <v>1188</v>
      </c>
      <c r="D45" s="3298">
        <v>0</v>
      </c>
      <c r="E45" s="3298">
        <v>0</v>
      </c>
      <c r="F45" s="3298">
        <v>66</v>
      </c>
      <c r="G45" s="3298">
        <v>107</v>
      </c>
      <c r="H45" s="3298">
        <v>0</v>
      </c>
      <c r="I45" s="3299">
        <v>98</v>
      </c>
      <c r="J45" s="3298">
        <v>73</v>
      </c>
      <c r="K45" s="3298">
        <v>90</v>
      </c>
      <c r="L45" s="3298">
        <v>103</v>
      </c>
      <c r="M45" s="3298">
        <v>111</v>
      </c>
      <c r="N45" s="3298">
        <v>0</v>
      </c>
      <c r="O45" s="3298">
        <v>96</v>
      </c>
      <c r="P45" s="3298">
        <v>109</v>
      </c>
      <c r="Q45" s="3298">
        <v>103</v>
      </c>
      <c r="R45" s="3298">
        <v>75</v>
      </c>
      <c r="S45" s="3298">
        <v>0</v>
      </c>
      <c r="T45" s="3298">
        <v>0</v>
      </c>
      <c r="U45" s="3298">
        <v>106</v>
      </c>
      <c r="V45" s="3298">
        <v>0</v>
      </c>
      <c r="W45" s="3298">
        <v>141</v>
      </c>
      <c r="X45" s="3298">
        <v>137</v>
      </c>
      <c r="Y45" s="3298">
        <v>94</v>
      </c>
      <c r="Z45" s="3298">
        <v>81</v>
      </c>
      <c r="AA45" s="3298">
        <v>0</v>
      </c>
      <c r="AB45" s="3298">
        <v>129</v>
      </c>
      <c r="AC45" s="3298">
        <v>87</v>
      </c>
      <c r="AD45" s="3298">
        <v>78</v>
      </c>
      <c r="AE45" s="3298">
        <v>90</v>
      </c>
      <c r="AF45" s="3298">
        <v>90</v>
      </c>
      <c r="AG45" s="3298">
        <v>0</v>
      </c>
      <c r="AH45" s="3299">
        <v>0</v>
      </c>
      <c r="AI45" s="3189">
        <f t="shared" si="2"/>
        <v>2064</v>
      </c>
      <c r="AJ45" s="3189">
        <f t="shared" si="3"/>
        <v>876.97945373946732</v>
      </c>
      <c r="AK45" s="2659" t="s">
        <v>92</v>
      </c>
      <c r="AL45" s="2673"/>
      <c r="AM45" s="2674">
        <f t="shared" si="6"/>
        <v>0</v>
      </c>
      <c r="AN45" s="2661">
        <v>4</v>
      </c>
      <c r="AO45" s="2661">
        <f t="shared" si="4"/>
        <v>3.2</v>
      </c>
    </row>
    <row r="46" spans="1:41" ht="33.75" customHeight="1">
      <c r="A46" s="2672">
        <v>34</v>
      </c>
      <c r="B46" s="2672">
        <v>34</v>
      </c>
      <c r="C46" s="3424" t="s">
        <v>1189</v>
      </c>
      <c r="D46" s="3298">
        <v>0</v>
      </c>
      <c r="E46" s="3298">
        <v>0</v>
      </c>
      <c r="F46" s="3298">
        <v>86</v>
      </c>
      <c r="G46" s="3298">
        <v>91</v>
      </c>
      <c r="H46" s="3298">
        <v>110</v>
      </c>
      <c r="I46" s="3299">
        <v>63</v>
      </c>
      <c r="J46" s="3298">
        <v>87</v>
      </c>
      <c r="K46" s="3298">
        <v>93</v>
      </c>
      <c r="L46" s="3298">
        <v>95</v>
      </c>
      <c r="M46" s="3298">
        <v>86</v>
      </c>
      <c r="N46" s="3298">
        <v>82</v>
      </c>
      <c r="O46" s="3298">
        <v>88</v>
      </c>
      <c r="P46" s="3298">
        <v>84</v>
      </c>
      <c r="Q46" s="3298">
        <v>79</v>
      </c>
      <c r="R46" s="3298">
        <v>85</v>
      </c>
      <c r="S46" s="3298">
        <v>117</v>
      </c>
      <c r="T46" s="3298">
        <v>0</v>
      </c>
      <c r="U46" s="3298">
        <v>81</v>
      </c>
      <c r="V46" s="3298">
        <v>76</v>
      </c>
      <c r="W46" s="3298">
        <v>91</v>
      </c>
      <c r="X46" s="3298">
        <v>101</v>
      </c>
      <c r="Y46" s="3298">
        <v>63</v>
      </c>
      <c r="Z46" s="3298">
        <v>75</v>
      </c>
      <c r="AA46" s="3298">
        <v>0</v>
      </c>
      <c r="AB46" s="3298">
        <v>72</v>
      </c>
      <c r="AC46" s="3298">
        <v>59</v>
      </c>
      <c r="AD46" s="3298">
        <v>75</v>
      </c>
      <c r="AE46" s="3298">
        <v>78</v>
      </c>
      <c r="AF46" s="3298">
        <v>61</v>
      </c>
      <c r="AG46" s="3298">
        <v>55</v>
      </c>
      <c r="AH46" s="3299">
        <v>74</v>
      </c>
      <c r="AI46" s="3189">
        <f t="shared" si="2"/>
        <v>2207</v>
      </c>
      <c r="AJ46" s="3189">
        <f t="shared" si="3"/>
        <v>937.73917364486658</v>
      </c>
      <c r="AK46" s="2659" t="s">
        <v>92</v>
      </c>
      <c r="AL46" s="2673"/>
      <c r="AM46" s="2674">
        <f t="shared" si="6"/>
        <v>0</v>
      </c>
      <c r="AN46" s="2661">
        <v>4</v>
      </c>
      <c r="AO46" s="2661">
        <f t="shared" si="4"/>
        <v>3.2</v>
      </c>
    </row>
    <row r="47" spans="1:41" ht="33.75" customHeight="1">
      <c r="A47" s="2672">
        <v>35</v>
      </c>
      <c r="B47" s="2672">
        <v>35</v>
      </c>
      <c r="C47" s="3424" t="s">
        <v>740</v>
      </c>
      <c r="D47" s="3298">
        <v>0</v>
      </c>
      <c r="E47" s="3298">
        <v>0</v>
      </c>
      <c r="F47" s="3298">
        <v>95</v>
      </c>
      <c r="G47" s="3298">
        <v>98</v>
      </c>
      <c r="H47" s="3298">
        <v>65</v>
      </c>
      <c r="I47" s="3299">
        <v>138</v>
      </c>
      <c r="J47" s="3298">
        <v>88</v>
      </c>
      <c r="K47" s="3298">
        <v>0</v>
      </c>
      <c r="L47" s="3298">
        <v>69</v>
      </c>
      <c r="M47" s="3298">
        <v>131</v>
      </c>
      <c r="N47" s="3298">
        <v>90</v>
      </c>
      <c r="O47" s="3298">
        <v>75</v>
      </c>
      <c r="P47" s="3298">
        <v>64</v>
      </c>
      <c r="Q47" s="3298">
        <v>121</v>
      </c>
      <c r="R47" s="3298">
        <v>105</v>
      </c>
      <c r="S47" s="3298">
        <v>0</v>
      </c>
      <c r="T47" s="3298">
        <v>0</v>
      </c>
      <c r="U47" s="3298">
        <v>112</v>
      </c>
      <c r="V47" s="3298">
        <v>82</v>
      </c>
      <c r="W47" s="3298">
        <v>110</v>
      </c>
      <c r="X47" s="3298">
        <v>79</v>
      </c>
      <c r="Y47" s="3298">
        <v>125</v>
      </c>
      <c r="Z47" s="3298">
        <v>96</v>
      </c>
      <c r="AA47" s="3298">
        <v>75</v>
      </c>
      <c r="AB47" s="3298">
        <v>74</v>
      </c>
      <c r="AC47" s="3298">
        <v>0</v>
      </c>
      <c r="AD47" s="3298">
        <v>85</v>
      </c>
      <c r="AE47" s="3298">
        <v>74</v>
      </c>
      <c r="AF47" s="3298">
        <v>56</v>
      </c>
      <c r="AG47" s="3298">
        <v>97</v>
      </c>
      <c r="AH47" s="3299">
        <v>0</v>
      </c>
      <c r="AI47" s="3189">
        <f t="shared" si="2"/>
        <v>2204</v>
      </c>
      <c r="AJ47" s="3189">
        <f t="shared" si="3"/>
        <v>936.46449420629176</v>
      </c>
      <c r="AK47" s="2659" t="s">
        <v>52</v>
      </c>
      <c r="AL47" s="2673"/>
      <c r="AM47" s="2674">
        <f t="shared" si="6"/>
        <v>0</v>
      </c>
      <c r="AO47" s="2661">
        <f t="shared" si="4"/>
        <v>0</v>
      </c>
    </row>
    <row r="48" spans="1:41" ht="33.75" customHeight="1">
      <c r="A48" s="2672">
        <v>36</v>
      </c>
      <c r="B48" s="2672">
        <v>36</v>
      </c>
      <c r="C48" s="3424" t="s">
        <v>950</v>
      </c>
      <c r="D48" s="3298">
        <v>0</v>
      </c>
      <c r="E48" s="3298">
        <v>91</v>
      </c>
      <c r="F48" s="3298">
        <v>77</v>
      </c>
      <c r="G48" s="3298">
        <v>106</v>
      </c>
      <c r="H48" s="3298">
        <v>109</v>
      </c>
      <c r="I48" s="3299">
        <v>87</v>
      </c>
      <c r="J48" s="3298">
        <v>104</v>
      </c>
      <c r="K48" s="3298">
        <v>99</v>
      </c>
      <c r="L48" s="3298">
        <v>90</v>
      </c>
      <c r="M48" s="3298">
        <v>106</v>
      </c>
      <c r="N48" s="3298">
        <v>95</v>
      </c>
      <c r="O48" s="3298">
        <v>85</v>
      </c>
      <c r="P48" s="3298">
        <v>68</v>
      </c>
      <c r="Q48" s="3298">
        <v>108</v>
      </c>
      <c r="R48" s="3298">
        <v>116</v>
      </c>
      <c r="S48" s="3298">
        <v>118</v>
      </c>
      <c r="T48" s="3298">
        <v>91</v>
      </c>
      <c r="U48" s="3298">
        <v>90</v>
      </c>
      <c r="V48" s="3298">
        <v>84</v>
      </c>
      <c r="W48" s="3298">
        <v>88</v>
      </c>
      <c r="X48" s="3298">
        <v>94</v>
      </c>
      <c r="Y48" s="3298">
        <v>81</v>
      </c>
      <c r="Z48" s="3298">
        <v>0</v>
      </c>
      <c r="AA48" s="3298">
        <v>78</v>
      </c>
      <c r="AB48" s="3298">
        <v>73</v>
      </c>
      <c r="AC48" s="3298">
        <v>80</v>
      </c>
      <c r="AD48" s="3298">
        <v>161</v>
      </c>
      <c r="AE48" s="3298">
        <v>58</v>
      </c>
      <c r="AF48" s="3298">
        <v>50</v>
      </c>
      <c r="AG48" s="3298">
        <v>75</v>
      </c>
      <c r="AH48" s="3299">
        <v>92</v>
      </c>
      <c r="AI48" s="3189">
        <f t="shared" si="2"/>
        <v>2654</v>
      </c>
      <c r="AJ48" s="3189">
        <f t="shared" si="3"/>
        <v>1127.6664099925129</v>
      </c>
      <c r="AK48" s="2659" t="s">
        <v>52</v>
      </c>
      <c r="AL48" s="2673"/>
      <c r="AM48" s="2674">
        <f t="shared" si="6"/>
        <v>0</v>
      </c>
      <c r="AN48" s="2661">
        <v>4</v>
      </c>
      <c r="AO48" s="2661">
        <f t="shared" si="4"/>
        <v>3.2</v>
      </c>
    </row>
    <row r="49" spans="1:50" s="2671" customFormat="1" ht="33.75" customHeight="1">
      <c r="A49" s="2677" t="s">
        <v>92</v>
      </c>
      <c r="B49" s="3891" t="s">
        <v>322</v>
      </c>
      <c r="C49" s="3891"/>
      <c r="D49" s="3295">
        <f t="shared" ref="D49:AJ49" si="7">SUM(D50:D64)</f>
        <v>987</v>
      </c>
      <c r="E49" s="3295">
        <f t="shared" si="7"/>
        <v>1294</v>
      </c>
      <c r="F49" s="3295">
        <f t="shared" si="7"/>
        <v>1249</v>
      </c>
      <c r="G49" s="3295">
        <f t="shared" si="7"/>
        <v>1833</v>
      </c>
      <c r="H49" s="3295">
        <f t="shared" si="7"/>
        <v>1476</v>
      </c>
      <c r="I49" s="3295">
        <f t="shared" si="7"/>
        <v>1363</v>
      </c>
      <c r="J49" s="3295">
        <f t="shared" si="7"/>
        <v>1113</v>
      </c>
      <c r="K49" s="3295">
        <f t="shared" si="7"/>
        <v>1808</v>
      </c>
      <c r="L49" s="3295">
        <f t="shared" si="7"/>
        <v>1418</v>
      </c>
      <c r="M49" s="3295">
        <f t="shared" si="7"/>
        <v>1368</v>
      </c>
      <c r="N49" s="3295">
        <f t="shared" si="7"/>
        <v>1048</v>
      </c>
      <c r="O49" s="3295">
        <f t="shared" si="7"/>
        <v>1467</v>
      </c>
      <c r="P49" s="3295">
        <f t="shared" si="7"/>
        <v>967</v>
      </c>
      <c r="Q49" s="3295">
        <f t="shared" si="7"/>
        <v>795</v>
      </c>
      <c r="R49" s="3295">
        <f t="shared" si="7"/>
        <v>962</v>
      </c>
      <c r="S49" s="3295">
        <f t="shared" si="7"/>
        <v>2189</v>
      </c>
      <c r="T49" s="3295">
        <f t="shared" si="7"/>
        <v>946</v>
      </c>
      <c r="U49" s="3295">
        <f t="shared" si="7"/>
        <v>1622</v>
      </c>
      <c r="V49" s="3295">
        <f t="shared" si="7"/>
        <v>1098</v>
      </c>
      <c r="W49" s="3295">
        <f t="shared" si="7"/>
        <v>1025</v>
      </c>
      <c r="X49" s="3295">
        <f t="shared" si="7"/>
        <v>965</v>
      </c>
      <c r="Y49" s="3295">
        <f t="shared" si="7"/>
        <v>1123</v>
      </c>
      <c r="Z49" s="3295">
        <f t="shared" si="7"/>
        <v>729</v>
      </c>
      <c r="AA49" s="3295">
        <f t="shared" si="7"/>
        <v>1735</v>
      </c>
      <c r="AB49" s="3296">
        <f t="shared" si="7"/>
        <v>1356</v>
      </c>
      <c r="AC49" s="3296">
        <f t="shared" si="7"/>
        <v>1347</v>
      </c>
      <c r="AD49" s="3295">
        <f t="shared" si="7"/>
        <v>872</v>
      </c>
      <c r="AE49" s="3295">
        <f t="shared" si="7"/>
        <v>877</v>
      </c>
      <c r="AF49" s="3295">
        <f t="shared" si="7"/>
        <v>201</v>
      </c>
      <c r="AG49" s="3295">
        <f t="shared" si="7"/>
        <v>967</v>
      </c>
      <c r="AH49" s="3295">
        <f t="shared" si="7"/>
        <v>844</v>
      </c>
      <c r="AI49" s="3295">
        <f t="shared" si="7"/>
        <v>37044</v>
      </c>
      <c r="AJ49" s="3301">
        <f t="shared" si="7"/>
        <v>15912.768000000004</v>
      </c>
      <c r="AK49" s="2658"/>
      <c r="AL49" s="2673"/>
      <c r="AM49" s="2678"/>
      <c r="AN49" s="2671">
        <f>SUM(AN13:AN48)</f>
        <v>96</v>
      </c>
      <c r="AO49" s="2671">
        <f>SUM(AO13:AO48)</f>
        <v>76.80000000000004</v>
      </c>
      <c r="AX49" s="3302"/>
    </row>
    <row r="50" spans="1:50" ht="33.75" customHeight="1">
      <c r="A50" s="2672">
        <v>37</v>
      </c>
      <c r="B50" s="2672">
        <v>1</v>
      </c>
      <c r="C50" s="3303" t="str">
        <f>'[8]Chấm công công nhân'!L50</f>
        <v>Thảo tít</v>
      </c>
      <c r="D50" s="3298">
        <v>94</v>
      </c>
      <c r="E50" s="3298">
        <v>87</v>
      </c>
      <c r="F50" s="3298">
        <v>95</v>
      </c>
      <c r="G50" s="3298">
        <v>123</v>
      </c>
      <c r="H50" s="3298">
        <v>99</v>
      </c>
      <c r="I50" s="3298">
        <v>69</v>
      </c>
      <c r="J50" s="3298">
        <v>57</v>
      </c>
      <c r="K50" s="3298">
        <v>113</v>
      </c>
      <c r="L50" s="3298">
        <v>105</v>
      </c>
      <c r="M50" s="3298">
        <v>67</v>
      </c>
      <c r="N50" s="3298">
        <v>53</v>
      </c>
      <c r="O50" s="3298">
        <v>112</v>
      </c>
      <c r="P50" s="3298">
        <v>88</v>
      </c>
      <c r="Q50" s="3298">
        <v>0</v>
      </c>
      <c r="R50" s="3298">
        <v>70</v>
      </c>
      <c r="S50" s="3298">
        <v>142</v>
      </c>
      <c r="T50" s="3298">
        <v>0</v>
      </c>
      <c r="U50" s="3298">
        <v>131</v>
      </c>
      <c r="V50" s="3298">
        <v>54</v>
      </c>
      <c r="W50" s="3298">
        <v>101</v>
      </c>
      <c r="X50" s="3298">
        <v>0</v>
      </c>
      <c r="Y50" s="3298">
        <v>67</v>
      </c>
      <c r="Z50" s="3298">
        <v>60</v>
      </c>
      <c r="AA50" s="3298">
        <v>112</v>
      </c>
      <c r="AB50" s="3299">
        <v>96</v>
      </c>
      <c r="AC50" s="3299">
        <v>50</v>
      </c>
      <c r="AD50" s="3298">
        <v>48</v>
      </c>
      <c r="AE50" s="3298">
        <v>98</v>
      </c>
      <c r="AF50" s="3298">
        <v>0</v>
      </c>
      <c r="AG50" s="3298">
        <v>53</v>
      </c>
      <c r="AH50" s="3299">
        <v>65</v>
      </c>
      <c r="AI50" s="3189">
        <f t="shared" ref="AI50:AI64" si="8">SUM(D50:AH50)</f>
        <v>2309</v>
      </c>
      <c r="AJ50" s="3190">
        <f>AI50*$AX$51/100</f>
        <v>991.86322513767436</v>
      </c>
      <c r="AK50" s="2673" t="s">
        <v>92</v>
      </c>
      <c r="AL50" s="2673"/>
      <c r="AM50" s="2674">
        <f>IF(AJ50&gt;=1950,700000,IF(AJ50&gt;=1770,500000,IF(AJ50&gt;1610,300000,IF(AJ50&gt;=1610,0,0))))</f>
        <v>0</v>
      </c>
      <c r="AX50" s="2739"/>
    </row>
    <row r="51" spans="1:50" ht="33.75" customHeight="1">
      <c r="A51" s="2672">
        <v>38</v>
      </c>
      <c r="B51" s="2672">
        <v>2</v>
      </c>
      <c r="C51" s="3303" t="str">
        <f>'[8]Chấm công công nhân'!L51</f>
        <v>Thảo ớt</v>
      </c>
      <c r="D51" s="3298">
        <v>51</v>
      </c>
      <c r="E51" s="3298">
        <v>190</v>
      </c>
      <c r="F51" s="3298">
        <v>71</v>
      </c>
      <c r="G51" s="3298">
        <v>98</v>
      </c>
      <c r="H51" s="3298">
        <v>51</v>
      </c>
      <c r="I51" s="3298">
        <v>150</v>
      </c>
      <c r="J51" s="3298">
        <v>68</v>
      </c>
      <c r="K51" s="3298">
        <v>120</v>
      </c>
      <c r="L51" s="3298">
        <v>45</v>
      </c>
      <c r="M51" s="3298">
        <v>137</v>
      </c>
      <c r="N51" s="3298">
        <v>61</v>
      </c>
      <c r="O51" s="3298">
        <v>111</v>
      </c>
      <c r="P51" s="3298">
        <v>0</v>
      </c>
      <c r="Q51" s="3298">
        <v>0</v>
      </c>
      <c r="R51" s="3298">
        <v>68</v>
      </c>
      <c r="S51" s="3298">
        <v>157</v>
      </c>
      <c r="T51" s="3298">
        <v>52</v>
      </c>
      <c r="U51" s="3298">
        <v>181</v>
      </c>
      <c r="V51" s="3298">
        <v>55</v>
      </c>
      <c r="W51" s="3298">
        <v>91</v>
      </c>
      <c r="X51" s="3298">
        <v>57</v>
      </c>
      <c r="Y51" s="3298">
        <v>148</v>
      </c>
      <c r="Z51" s="3298">
        <v>63</v>
      </c>
      <c r="AA51" s="3298">
        <v>118</v>
      </c>
      <c r="AB51" s="3299">
        <v>45</v>
      </c>
      <c r="AC51" s="3299">
        <v>100</v>
      </c>
      <c r="AD51" s="3298">
        <v>39</v>
      </c>
      <c r="AE51" s="3298">
        <v>98</v>
      </c>
      <c r="AF51" s="3298">
        <v>0</v>
      </c>
      <c r="AG51" s="3298">
        <v>94</v>
      </c>
      <c r="AH51" s="3299">
        <v>61</v>
      </c>
      <c r="AI51" s="3189">
        <f t="shared" si="8"/>
        <v>2580</v>
      </c>
      <c r="AJ51" s="3190">
        <f t="shared" ref="AJ51:AJ64" si="9">AI51*$AX$51/100</f>
        <v>1108.2750631681247</v>
      </c>
      <c r="AK51" s="2673" t="s">
        <v>52</v>
      </c>
      <c r="AL51" s="2673"/>
      <c r="AM51" s="2674">
        <f>IF(AJ51&gt;=2615,700000,IF(AJ51&gt;=2375,500000,IF(AJ51&gt;2160,300000,IF(AJ51&gt;=2160,0,0))))</f>
        <v>0</v>
      </c>
      <c r="AX51" s="2739">
        <v>42.95639779721413</v>
      </c>
    </row>
    <row r="52" spans="1:50" ht="33.75" customHeight="1" thickBot="1">
      <c r="A52" s="2672">
        <v>39</v>
      </c>
      <c r="B52" s="2672">
        <v>3</v>
      </c>
      <c r="C52" s="3303" t="str">
        <f>'[8]Chấm công công nhân'!L52</f>
        <v>Nàng Ọt</v>
      </c>
      <c r="D52" s="3298">
        <v>51</v>
      </c>
      <c r="E52" s="3298">
        <v>84</v>
      </c>
      <c r="F52" s="3298">
        <v>59</v>
      </c>
      <c r="G52" s="3298">
        <v>132</v>
      </c>
      <c r="H52" s="3298">
        <v>107</v>
      </c>
      <c r="I52" s="3298">
        <v>71</v>
      </c>
      <c r="J52" s="3298">
        <v>62</v>
      </c>
      <c r="K52" s="3298">
        <v>121</v>
      </c>
      <c r="L52" s="3298">
        <v>76</v>
      </c>
      <c r="M52" s="3298">
        <v>82</v>
      </c>
      <c r="N52" s="3298">
        <v>66</v>
      </c>
      <c r="O52" s="3298">
        <v>124</v>
      </c>
      <c r="P52" s="3298">
        <v>55</v>
      </c>
      <c r="Q52" s="3298">
        <v>75</v>
      </c>
      <c r="R52" s="3298">
        <v>65</v>
      </c>
      <c r="S52" s="3298">
        <v>159</v>
      </c>
      <c r="T52" s="3298">
        <v>80</v>
      </c>
      <c r="U52" s="3298">
        <v>92</v>
      </c>
      <c r="V52" s="3298">
        <v>52</v>
      </c>
      <c r="W52" s="3298">
        <v>100</v>
      </c>
      <c r="X52" s="3298">
        <v>86</v>
      </c>
      <c r="Y52" s="3298">
        <v>73</v>
      </c>
      <c r="Z52" s="3298">
        <v>62</v>
      </c>
      <c r="AA52" s="3298">
        <v>133</v>
      </c>
      <c r="AB52" s="3299">
        <v>74</v>
      </c>
      <c r="AC52" s="3299">
        <v>93</v>
      </c>
      <c r="AD52" s="3298">
        <v>54</v>
      </c>
      <c r="AE52" s="3298">
        <v>0</v>
      </c>
      <c r="AF52" s="3298">
        <v>0</v>
      </c>
      <c r="AG52" s="3298">
        <v>61</v>
      </c>
      <c r="AH52" s="3299">
        <v>52</v>
      </c>
      <c r="AI52" s="3189">
        <f t="shared" si="8"/>
        <v>2401</v>
      </c>
      <c r="AJ52" s="3190">
        <f t="shared" si="9"/>
        <v>1031.3831111111112</v>
      </c>
      <c r="AK52" s="2673" t="s">
        <v>92</v>
      </c>
      <c r="AL52" s="2673"/>
      <c r="AM52" s="2674">
        <f t="shared" ref="AM52:AM64" si="10">IF(AJ52&gt;=2615,700000,IF(AJ52&gt;=2375,500000,IF(AJ52&gt;2160,300000,IF(AJ52&gt;=2160,0,0))))</f>
        <v>0</v>
      </c>
    </row>
    <row r="53" spans="1:50" ht="33.75" customHeight="1" thickBot="1">
      <c r="A53" s="2672">
        <v>40</v>
      </c>
      <c r="B53" s="2672">
        <v>4</v>
      </c>
      <c r="C53" s="3303" t="str">
        <f>'[8]Chấm công công nhân'!L53</f>
        <v>Thào Tòng</v>
      </c>
      <c r="D53" s="3298">
        <v>51</v>
      </c>
      <c r="E53" s="3298">
        <v>84</v>
      </c>
      <c r="F53" s="3298">
        <v>59</v>
      </c>
      <c r="G53" s="3298">
        <v>132</v>
      </c>
      <c r="H53" s="3298">
        <v>107</v>
      </c>
      <c r="I53" s="3298">
        <v>71</v>
      </c>
      <c r="J53" s="3298">
        <v>61</v>
      </c>
      <c r="K53" s="3298">
        <v>120</v>
      </c>
      <c r="L53" s="3298">
        <v>76</v>
      </c>
      <c r="M53" s="3298">
        <v>82</v>
      </c>
      <c r="N53" s="3298">
        <v>66</v>
      </c>
      <c r="O53" s="3298">
        <v>123</v>
      </c>
      <c r="P53" s="3298">
        <v>55</v>
      </c>
      <c r="Q53" s="3298">
        <v>74</v>
      </c>
      <c r="R53" s="3298">
        <v>65</v>
      </c>
      <c r="S53" s="3298">
        <v>158</v>
      </c>
      <c r="T53" s="3298">
        <v>80</v>
      </c>
      <c r="U53" s="3298">
        <v>91</v>
      </c>
      <c r="V53" s="3298">
        <v>52</v>
      </c>
      <c r="W53" s="3298">
        <v>100</v>
      </c>
      <c r="X53" s="3298">
        <v>85</v>
      </c>
      <c r="Y53" s="3298">
        <v>73</v>
      </c>
      <c r="Z53" s="3298">
        <v>62</v>
      </c>
      <c r="AA53" s="3298">
        <v>133</v>
      </c>
      <c r="AB53" s="3299">
        <v>74</v>
      </c>
      <c r="AC53" s="3299">
        <v>93</v>
      </c>
      <c r="AD53" s="3298">
        <v>54</v>
      </c>
      <c r="AE53" s="3298">
        <v>0</v>
      </c>
      <c r="AF53" s="3298">
        <v>0</v>
      </c>
      <c r="AG53" s="3298">
        <v>61</v>
      </c>
      <c r="AH53" s="3299">
        <v>52</v>
      </c>
      <c r="AI53" s="3189">
        <f t="shared" si="8"/>
        <v>2394</v>
      </c>
      <c r="AJ53" s="3190">
        <f t="shared" si="9"/>
        <v>1028.3761632653063</v>
      </c>
      <c r="AK53" s="2673" t="s">
        <v>92</v>
      </c>
      <c r="AL53" s="2673"/>
      <c r="AM53" s="2674">
        <f t="shared" si="10"/>
        <v>0</v>
      </c>
      <c r="AO53" s="2661">
        <v>10</v>
      </c>
      <c r="AP53" s="2680">
        <v>10</v>
      </c>
    </row>
    <row r="54" spans="1:50" ht="33.75" customHeight="1" thickBot="1">
      <c r="A54" s="2672">
        <v>41</v>
      </c>
      <c r="B54" s="2672">
        <v>5</v>
      </c>
      <c r="C54" s="3303" t="str">
        <f>'[8]Chấm công công nhân'!L54</f>
        <v>Nàng Nơm</v>
      </c>
      <c r="D54" s="3298">
        <v>51</v>
      </c>
      <c r="E54" s="3298">
        <v>84</v>
      </c>
      <c r="F54" s="3298">
        <v>59</v>
      </c>
      <c r="G54" s="3298">
        <v>132</v>
      </c>
      <c r="H54" s="3298">
        <v>107</v>
      </c>
      <c r="I54" s="3298">
        <v>71</v>
      </c>
      <c r="J54" s="3298">
        <v>61</v>
      </c>
      <c r="K54" s="3298">
        <v>120</v>
      </c>
      <c r="L54" s="3298">
        <v>76</v>
      </c>
      <c r="M54" s="3298">
        <v>82</v>
      </c>
      <c r="N54" s="3298">
        <v>65</v>
      </c>
      <c r="O54" s="3298">
        <v>123</v>
      </c>
      <c r="P54" s="3298">
        <v>55</v>
      </c>
      <c r="Q54" s="3298">
        <v>74</v>
      </c>
      <c r="R54" s="3298">
        <v>65</v>
      </c>
      <c r="S54" s="3298">
        <v>158</v>
      </c>
      <c r="T54" s="3298">
        <v>79</v>
      </c>
      <c r="U54" s="3298">
        <v>91</v>
      </c>
      <c r="V54" s="3298">
        <v>52</v>
      </c>
      <c r="W54" s="3298">
        <v>99</v>
      </c>
      <c r="X54" s="3298">
        <v>85</v>
      </c>
      <c r="Y54" s="3298">
        <v>73</v>
      </c>
      <c r="Z54" s="3298">
        <v>62</v>
      </c>
      <c r="AA54" s="3298">
        <v>133</v>
      </c>
      <c r="AB54" s="3299">
        <v>73</v>
      </c>
      <c r="AC54" s="3299">
        <v>92</v>
      </c>
      <c r="AD54" s="3298">
        <v>54</v>
      </c>
      <c r="AE54" s="3298">
        <v>0</v>
      </c>
      <c r="AF54" s="3298">
        <v>0</v>
      </c>
      <c r="AG54" s="3298">
        <v>61</v>
      </c>
      <c r="AH54" s="3299">
        <v>52</v>
      </c>
      <c r="AI54" s="3189">
        <f t="shared" si="8"/>
        <v>2389</v>
      </c>
      <c r="AJ54" s="3190">
        <f t="shared" si="9"/>
        <v>1026.2283433754455</v>
      </c>
      <c r="AK54" s="2673" t="s">
        <v>52</v>
      </c>
      <c r="AL54" s="2673"/>
      <c r="AM54" s="2674">
        <f t="shared" si="10"/>
        <v>0</v>
      </c>
      <c r="AO54" s="2661">
        <v>83</v>
      </c>
      <c r="AP54" s="2681">
        <v>-83</v>
      </c>
    </row>
    <row r="55" spans="1:50" ht="33.75" customHeight="1" thickBot="1">
      <c r="A55" s="2672">
        <v>42</v>
      </c>
      <c r="B55" s="2672">
        <v>6</v>
      </c>
      <c r="C55" s="3303" t="str">
        <f>'[8]Chấm công công nhân'!L55</f>
        <v>Thảo Ây</v>
      </c>
      <c r="D55" s="3298">
        <v>50</v>
      </c>
      <c r="E55" s="3298">
        <v>84</v>
      </c>
      <c r="F55" s="3298">
        <v>58</v>
      </c>
      <c r="G55" s="3298">
        <v>132</v>
      </c>
      <c r="H55" s="3298">
        <v>107</v>
      </c>
      <c r="I55" s="3298">
        <v>71</v>
      </c>
      <c r="J55" s="3298">
        <v>61</v>
      </c>
      <c r="K55" s="3298">
        <v>120</v>
      </c>
      <c r="L55" s="3298">
        <v>75</v>
      </c>
      <c r="M55" s="3298">
        <v>81</v>
      </c>
      <c r="N55" s="3298">
        <v>65</v>
      </c>
      <c r="O55" s="3298">
        <v>123</v>
      </c>
      <c r="P55" s="3298">
        <v>54</v>
      </c>
      <c r="Q55" s="3298">
        <v>74</v>
      </c>
      <c r="R55" s="3298">
        <v>64</v>
      </c>
      <c r="S55" s="3298">
        <v>158</v>
      </c>
      <c r="T55" s="3298">
        <v>79</v>
      </c>
      <c r="U55" s="3298">
        <v>91</v>
      </c>
      <c r="V55" s="3298">
        <v>51</v>
      </c>
      <c r="W55" s="3298">
        <v>99</v>
      </c>
      <c r="X55" s="3298">
        <v>85</v>
      </c>
      <c r="Y55" s="3298">
        <v>72</v>
      </c>
      <c r="Z55" s="3298">
        <v>61</v>
      </c>
      <c r="AA55" s="3298">
        <v>132</v>
      </c>
      <c r="AB55" s="3299">
        <v>73</v>
      </c>
      <c r="AC55" s="3299">
        <v>92</v>
      </c>
      <c r="AD55" s="3298">
        <v>54</v>
      </c>
      <c r="AE55" s="3298">
        <v>0</v>
      </c>
      <c r="AF55" s="3298">
        <v>0</v>
      </c>
      <c r="AG55" s="3298">
        <v>60</v>
      </c>
      <c r="AH55" s="3299">
        <v>52</v>
      </c>
      <c r="AI55" s="3189">
        <f t="shared" si="8"/>
        <v>2378</v>
      </c>
      <c r="AJ55" s="3190">
        <f t="shared" si="9"/>
        <v>1021.503139617752</v>
      </c>
      <c r="AK55" s="2673" t="s">
        <v>52</v>
      </c>
      <c r="AL55" s="2673"/>
      <c r="AM55" s="2674">
        <f t="shared" si="10"/>
        <v>0</v>
      </c>
      <c r="AO55" s="2661">
        <v>11</v>
      </c>
      <c r="AP55" s="2681">
        <v>-11</v>
      </c>
    </row>
    <row r="56" spans="1:50" ht="33.75" customHeight="1" thickBot="1">
      <c r="A56" s="2672">
        <v>43</v>
      </c>
      <c r="B56" s="2672">
        <v>7</v>
      </c>
      <c r="C56" s="3303" t="str">
        <f>'[8]Chấm công công nhân'!L56</f>
        <v>Thảo Âm Thong</v>
      </c>
      <c r="D56" s="3298">
        <v>124</v>
      </c>
      <c r="E56" s="3298">
        <v>97</v>
      </c>
      <c r="F56" s="3298">
        <v>75</v>
      </c>
      <c r="G56" s="3298">
        <v>109</v>
      </c>
      <c r="H56" s="3298">
        <v>119</v>
      </c>
      <c r="I56" s="3298">
        <v>79</v>
      </c>
      <c r="J56" s="3298">
        <v>65</v>
      </c>
      <c r="K56" s="3298">
        <v>108</v>
      </c>
      <c r="L56" s="3298">
        <v>105</v>
      </c>
      <c r="M56" s="3298">
        <v>67</v>
      </c>
      <c r="N56" s="3298">
        <v>57</v>
      </c>
      <c r="O56" s="3298">
        <v>0</v>
      </c>
      <c r="P56" s="3298">
        <v>97</v>
      </c>
      <c r="Q56" s="3298">
        <v>66</v>
      </c>
      <c r="R56" s="3298">
        <v>67</v>
      </c>
      <c r="S56" s="3298">
        <v>136</v>
      </c>
      <c r="T56" s="3298">
        <v>86</v>
      </c>
      <c r="U56" s="3298">
        <v>75</v>
      </c>
      <c r="V56" s="3298">
        <v>62</v>
      </c>
      <c r="W56" s="3298">
        <v>0</v>
      </c>
      <c r="X56" s="3298">
        <v>0</v>
      </c>
      <c r="Y56" s="3298">
        <v>0</v>
      </c>
      <c r="Z56" s="3298">
        <v>0</v>
      </c>
      <c r="AA56" s="3298">
        <v>0</v>
      </c>
      <c r="AB56" s="3299">
        <v>0</v>
      </c>
      <c r="AC56" s="3299">
        <v>98</v>
      </c>
      <c r="AD56" s="3298">
        <v>105</v>
      </c>
      <c r="AE56" s="3298">
        <v>52</v>
      </c>
      <c r="AF56" s="3298">
        <v>0</v>
      </c>
      <c r="AG56" s="3298">
        <v>81</v>
      </c>
      <c r="AH56" s="3299">
        <v>80</v>
      </c>
      <c r="AI56" s="3189">
        <f t="shared" si="8"/>
        <v>2010</v>
      </c>
      <c r="AJ56" s="3190">
        <f t="shared" si="9"/>
        <v>863.42359572400392</v>
      </c>
      <c r="AK56" s="2673" t="s">
        <v>53</v>
      </c>
      <c r="AL56" s="2673"/>
      <c r="AM56" s="2674">
        <f t="shared" si="10"/>
        <v>0</v>
      </c>
      <c r="AO56" s="2661">
        <v>2</v>
      </c>
      <c r="AP56" s="2681">
        <v>2</v>
      </c>
    </row>
    <row r="57" spans="1:50" ht="33.75" customHeight="1" thickBot="1">
      <c r="A57" s="2672">
        <v>44</v>
      </c>
      <c r="B57" s="2672">
        <v>8</v>
      </c>
      <c r="C57" s="3303" t="str">
        <f>'[8]Chấm công công nhân'!L57</f>
        <v>Nàng phon</v>
      </c>
      <c r="D57" s="3298">
        <v>123</v>
      </c>
      <c r="E57" s="3298">
        <v>97</v>
      </c>
      <c r="F57" s="3298">
        <v>74</v>
      </c>
      <c r="G57" s="3298">
        <v>109</v>
      </c>
      <c r="H57" s="3298">
        <v>119</v>
      </c>
      <c r="I57" s="3298">
        <v>78</v>
      </c>
      <c r="J57" s="3298">
        <v>65</v>
      </c>
      <c r="K57" s="3298">
        <v>108</v>
      </c>
      <c r="L57" s="3298">
        <v>104</v>
      </c>
      <c r="M57" s="3298">
        <v>67</v>
      </c>
      <c r="N57" s="3298">
        <v>56</v>
      </c>
      <c r="O57" s="3298">
        <v>0</v>
      </c>
      <c r="P57" s="3298">
        <v>97</v>
      </c>
      <c r="Q57" s="3298">
        <v>66</v>
      </c>
      <c r="R57" s="3298">
        <v>67</v>
      </c>
      <c r="S57" s="3298">
        <v>135</v>
      </c>
      <c r="T57" s="3298">
        <v>85</v>
      </c>
      <c r="U57" s="3298">
        <v>75</v>
      </c>
      <c r="V57" s="3298">
        <v>61</v>
      </c>
      <c r="W57" s="3298">
        <v>0</v>
      </c>
      <c r="X57" s="3298">
        <v>0</v>
      </c>
      <c r="Y57" s="3298">
        <v>0</v>
      </c>
      <c r="Z57" s="3298">
        <v>0</v>
      </c>
      <c r="AA57" s="3298">
        <v>96</v>
      </c>
      <c r="AB57" s="3299">
        <v>128</v>
      </c>
      <c r="AC57" s="3299">
        <v>60</v>
      </c>
      <c r="AD57" s="3298">
        <v>78</v>
      </c>
      <c r="AE57" s="3298">
        <v>97</v>
      </c>
      <c r="AF57" s="3298">
        <v>0</v>
      </c>
      <c r="AG57" s="3298">
        <v>82</v>
      </c>
      <c r="AH57" s="3299">
        <v>87</v>
      </c>
      <c r="AI57" s="3189">
        <f t="shared" si="8"/>
        <v>2214</v>
      </c>
      <c r="AJ57" s="3190">
        <f t="shared" si="9"/>
        <v>951.05464723032082</v>
      </c>
      <c r="AK57" s="2673" t="s">
        <v>92</v>
      </c>
      <c r="AL57" s="2673"/>
      <c r="AM57" s="2674">
        <f t="shared" si="10"/>
        <v>0</v>
      </c>
      <c r="AO57" s="2661">
        <v>220</v>
      </c>
      <c r="AP57" s="2681">
        <v>220</v>
      </c>
    </row>
    <row r="58" spans="1:50" ht="33.75" customHeight="1">
      <c r="A58" s="2672">
        <v>45</v>
      </c>
      <c r="B58" s="2672">
        <v>9</v>
      </c>
      <c r="C58" s="3303" t="str">
        <f>'[8]Chấm công công nhân'!L58</f>
        <v>Thảo phắt</v>
      </c>
      <c r="D58" s="3298">
        <v>0</v>
      </c>
      <c r="E58" s="3298">
        <v>107</v>
      </c>
      <c r="F58" s="3298">
        <v>86</v>
      </c>
      <c r="G58" s="3298">
        <v>64</v>
      </c>
      <c r="H58" s="3298">
        <v>124</v>
      </c>
      <c r="I58" s="3298">
        <v>88</v>
      </c>
      <c r="J58" s="3298">
        <v>88</v>
      </c>
      <c r="K58" s="3298">
        <v>70</v>
      </c>
      <c r="L58" s="3298">
        <v>158</v>
      </c>
      <c r="M58" s="3298">
        <v>93</v>
      </c>
      <c r="N58" s="3298">
        <v>96</v>
      </c>
      <c r="O58" s="3298">
        <v>59</v>
      </c>
      <c r="P58" s="3298">
        <v>107</v>
      </c>
      <c r="Q58" s="3298">
        <v>96</v>
      </c>
      <c r="R58" s="3298">
        <v>89</v>
      </c>
      <c r="S58" s="3298">
        <v>79</v>
      </c>
      <c r="T58" s="3298">
        <v>0</v>
      </c>
      <c r="U58" s="3298">
        <v>81</v>
      </c>
      <c r="V58" s="3298">
        <v>81</v>
      </c>
      <c r="W58" s="3298">
        <v>60</v>
      </c>
      <c r="X58" s="3298">
        <v>207</v>
      </c>
      <c r="Y58" s="3298">
        <v>89</v>
      </c>
      <c r="Z58" s="3298">
        <v>98</v>
      </c>
      <c r="AA58" s="3298">
        <v>52</v>
      </c>
      <c r="AB58" s="3299">
        <v>109</v>
      </c>
      <c r="AC58" s="3299">
        <v>165</v>
      </c>
      <c r="AD58" s="3298">
        <v>0</v>
      </c>
      <c r="AE58" s="3298">
        <v>40</v>
      </c>
      <c r="AF58" s="3298">
        <v>87</v>
      </c>
      <c r="AG58" s="3298">
        <v>48</v>
      </c>
      <c r="AH58" s="3299">
        <v>47</v>
      </c>
      <c r="AI58" s="3189">
        <f t="shared" si="8"/>
        <v>2568</v>
      </c>
      <c r="AJ58" s="3190">
        <f t="shared" si="9"/>
        <v>1103.1202954324588</v>
      </c>
      <c r="AK58" s="2673" t="s">
        <v>92</v>
      </c>
      <c r="AL58" s="2673"/>
      <c r="AM58" s="2674">
        <f t="shared" si="10"/>
        <v>0</v>
      </c>
      <c r="AO58" s="2661">
        <f>SUM(AO54:AO57)</f>
        <v>316</v>
      </c>
      <c r="AP58" s="2661">
        <f>SUM(AP53:AP57)</f>
        <v>138</v>
      </c>
    </row>
    <row r="59" spans="1:50" ht="33.75" customHeight="1">
      <c r="A59" s="2672">
        <v>46</v>
      </c>
      <c r="B59" s="2672">
        <v>10</v>
      </c>
      <c r="C59" s="3303" t="str">
        <f>'[8]Chấm công công nhân'!L59</f>
        <v>Thảo Phon Say</v>
      </c>
      <c r="D59" s="3298">
        <v>0</v>
      </c>
      <c r="E59" s="3298">
        <v>100</v>
      </c>
      <c r="F59" s="3298">
        <v>100</v>
      </c>
      <c r="G59" s="3298">
        <v>127</v>
      </c>
      <c r="H59" s="3298">
        <v>85</v>
      </c>
      <c r="I59" s="3298">
        <v>102</v>
      </c>
      <c r="J59" s="3298">
        <v>110</v>
      </c>
      <c r="K59" s="3298">
        <v>122</v>
      </c>
      <c r="L59" s="3298">
        <v>102</v>
      </c>
      <c r="M59" s="3298">
        <v>109</v>
      </c>
      <c r="N59" s="3298">
        <v>90</v>
      </c>
      <c r="O59" s="3298">
        <v>110</v>
      </c>
      <c r="P59" s="3298">
        <v>81</v>
      </c>
      <c r="Q59" s="3298">
        <v>87</v>
      </c>
      <c r="R59" s="3298">
        <v>97</v>
      </c>
      <c r="S59" s="3298">
        <v>139</v>
      </c>
      <c r="T59" s="3298">
        <v>102</v>
      </c>
      <c r="U59" s="3298">
        <v>100</v>
      </c>
      <c r="V59" s="3298">
        <v>92</v>
      </c>
      <c r="W59" s="3298">
        <v>99</v>
      </c>
      <c r="X59" s="3298">
        <v>99</v>
      </c>
      <c r="Y59" s="3298">
        <v>81</v>
      </c>
      <c r="Z59" s="3298">
        <v>72</v>
      </c>
      <c r="AA59" s="3298">
        <v>102</v>
      </c>
      <c r="AB59" s="3299">
        <v>77</v>
      </c>
      <c r="AC59" s="3299">
        <v>73</v>
      </c>
      <c r="AD59" s="3298">
        <v>73</v>
      </c>
      <c r="AE59" s="3298">
        <v>75</v>
      </c>
      <c r="AF59" s="3298">
        <v>57</v>
      </c>
      <c r="AG59" s="3298">
        <v>0</v>
      </c>
      <c r="AH59" s="3299">
        <v>0</v>
      </c>
      <c r="AI59" s="3189">
        <f t="shared" si="8"/>
        <v>2663</v>
      </c>
      <c r="AJ59" s="3190">
        <f t="shared" si="9"/>
        <v>1143.9288733398123</v>
      </c>
      <c r="AK59" s="2673" t="s">
        <v>92</v>
      </c>
      <c r="AL59" s="2673"/>
      <c r="AM59" s="2674">
        <f t="shared" si="10"/>
        <v>0</v>
      </c>
      <c r="AO59" s="2661">
        <v>94</v>
      </c>
    </row>
    <row r="60" spans="1:50" ht="33.75" customHeight="1">
      <c r="A60" s="2672">
        <v>47</v>
      </c>
      <c r="B60" s="2672">
        <v>11</v>
      </c>
      <c r="C60" s="3303" t="str">
        <f>'[8]Chấm công công nhân'!L60</f>
        <v>Nàng Pít</v>
      </c>
      <c r="D60" s="3298">
        <v>105</v>
      </c>
      <c r="E60" s="3298">
        <v>58</v>
      </c>
      <c r="F60" s="3298">
        <v>89</v>
      </c>
      <c r="G60" s="3298">
        <v>77</v>
      </c>
      <c r="H60" s="3298">
        <v>119</v>
      </c>
      <c r="I60" s="3298">
        <v>58</v>
      </c>
      <c r="J60" s="3298">
        <v>76</v>
      </c>
      <c r="K60" s="3298">
        <v>85</v>
      </c>
      <c r="L60" s="3298">
        <v>115</v>
      </c>
      <c r="M60" s="3298">
        <v>47</v>
      </c>
      <c r="N60" s="3298">
        <v>57</v>
      </c>
      <c r="O60" s="3298">
        <v>69</v>
      </c>
      <c r="P60" s="3298">
        <v>0</v>
      </c>
      <c r="Q60" s="3298">
        <v>0</v>
      </c>
      <c r="R60" s="3298">
        <v>75</v>
      </c>
      <c r="S60" s="3298">
        <v>94</v>
      </c>
      <c r="T60" s="3298">
        <v>90</v>
      </c>
      <c r="U60" s="3298">
        <v>90</v>
      </c>
      <c r="V60" s="3298">
        <v>51</v>
      </c>
      <c r="W60" s="3298">
        <v>53</v>
      </c>
      <c r="X60" s="3298">
        <v>121</v>
      </c>
      <c r="Y60" s="3298">
        <v>47</v>
      </c>
      <c r="Z60" s="3298">
        <v>65</v>
      </c>
      <c r="AA60" s="3298">
        <v>271</v>
      </c>
      <c r="AB60" s="3299">
        <v>129</v>
      </c>
      <c r="AC60" s="3299">
        <v>40</v>
      </c>
      <c r="AD60" s="3298">
        <v>37</v>
      </c>
      <c r="AE60" s="3298">
        <v>41</v>
      </c>
      <c r="AF60" s="3298">
        <v>0</v>
      </c>
      <c r="AG60" s="3298">
        <v>78</v>
      </c>
      <c r="AH60" s="3299">
        <v>52</v>
      </c>
      <c r="AI60" s="3189">
        <f t="shared" si="8"/>
        <v>2289</v>
      </c>
      <c r="AJ60" s="3190">
        <f t="shared" si="9"/>
        <v>983.27194557823134</v>
      </c>
      <c r="AK60" s="2673" t="s">
        <v>53</v>
      </c>
      <c r="AL60" s="2673"/>
      <c r="AM60" s="2674">
        <f t="shared" si="10"/>
        <v>0</v>
      </c>
      <c r="AO60" s="2661">
        <f>AO58-AO59</f>
        <v>222</v>
      </c>
    </row>
    <row r="61" spans="1:50" ht="33.75" customHeight="1">
      <c r="A61" s="2672">
        <v>48</v>
      </c>
      <c r="B61" s="2672">
        <v>12</v>
      </c>
      <c r="C61" s="3303" t="str">
        <f>'[8]Chấm công công nhân'!L61</f>
        <v>Thảo út</v>
      </c>
      <c r="D61" s="3298">
        <v>44</v>
      </c>
      <c r="E61" s="3298">
        <v>122</v>
      </c>
      <c r="F61" s="3298">
        <v>66</v>
      </c>
      <c r="G61" s="3298">
        <v>156</v>
      </c>
      <c r="H61" s="3298">
        <v>48</v>
      </c>
      <c r="I61" s="3298">
        <v>110</v>
      </c>
      <c r="J61" s="3298">
        <v>63</v>
      </c>
      <c r="K61" s="3298">
        <v>120</v>
      </c>
      <c r="L61" s="3298">
        <v>40</v>
      </c>
      <c r="M61" s="3298">
        <v>108</v>
      </c>
      <c r="N61" s="3298">
        <v>60</v>
      </c>
      <c r="O61" s="3298">
        <v>123</v>
      </c>
      <c r="P61" s="3298">
        <v>35</v>
      </c>
      <c r="Q61" s="3298">
        <v>97</v>
      </c>
      <c r="R61" s="3298">
        <v>73</v>
      </c>
      <c r="S61" s="3298">
        <v>165</v>
      </c>
      <c r="T61" s="3298">
        <v>48</v>
      </c>
      <c r="U61" s="3298">
        <v>118</v>
      </c>
      <c r="V61" s="3298">
        <v>50</v>
      </c>
      <c r="W61" s="3298">
        <v>124</v>
      </c>
      <c r="X61" s="3298">
        <v>41</v>
      </c>
      <c r="Y61" s="3298">
        <v>93</v>
      </c>
      <c r="Z61" s="3298">
        <v>53</v>
      </c>
      <c r="AA61" s="3298">
        <v>96</v>
      </c>
      <c r="AB61" s="3299">
        <v>128</v>
      </c>
      <c r="AC61" s="3299">
        <v>97</v>
      </c>
      <c r="AD61" s="3298">
        <v>78</v>
      </c>
      <c r="AE61" s="3298">
        <v>96</v>
      </c>
      <c r="AF61" s="3298">
        <v>0</v>
      </c>
      <c r="AG61" s="3298">
        <v>81</v>
      </c>
      <c r="AH61" s="3299">
        <v>86</v>
      </c>
      <c r="AI61" s="3189">
        <f t="shared" si="8"/>
        <v>2619</v>
      </c>
      <c r="AJ61" s="3190">
        <f t="shared" si="9"/>
        <v>1125.028058309038</v>
      </c>
      <c r="AK61" s="2673" t="s">
        <v>52</v>
      </c>
      <c r="AL61" s="2673"/>
      <c r="AM61" s="2674">
        <f t="shared" si="10"/>
        <v>0</v>
      </c>
      <c r="AP61" s="2661">
        <f>AO58-312</f>
        <v>4</v>
      </c>
    </row>
    <row r="62" spans="1:50" ht="33.75" customHeight="1">
      <c r="A62" s="2672">
        <v>49</v>
      </c>
      <c r="B62" s="2672">
        <v>13</v>
      </c>
      <c r="C62" s="3303" t="str">
        <f>'[8]Chấm công công nhân'!L62</f>
        <v>Nàng ăm</v>
      </c>
      <c r="D62" s="3298">
        <v>122</v>
      </c>
      <c r="E62" s="3298">
        <v>0</v>
      </c>
      <c r="F62" s="3298">
        <v>130</v>
      </c>
      <c r="G62" s="3298">
        <v>158</v>
      </c>
      <c r="H62" s="3298">
        <v>100</v>
      </c>
      <c r="I62" s="3298">
        <v>122</v>
      </c>
      <c r="J62" s="3298">
        <v>84</v>
      </c>
      <c r="K62" s="3298">
        <v>180</v>
      </c>
      <c r="L62" s="3298">
        <v>120</v>
      </c>
      <c r="M62" s="3298">
        <v>119</v>
      </c>
      <c r="N62" s="3298">
        <v>84</v>
      </c>
      <c r="O62" s="3298">
        <v>140</v>
      </c>
      <c r="P62" s="3298">
        <v>81</v>
      </c>
      <c r="Q62" s="3298">
        <v>0</v>
      </c>
      <c r="R62" s="3298">
        <v>0</v>
      </c>
      <c r="S62" s="3298">
        <v>185</v>
      </c>
      <c r="T62" s="3298">
        <v>0</v>
      </c>
      <c r="U62" s="3298">
        <v>153</v>
      </c>
      <c r="V62" s="3298">
        <v>147</v>
      </c>
      <c r="W62" s="3298">
        <v>0</v>
      </c>
      <c r="X62" s="3298">
        <v>0</v>
      </c>
      <c r="Y62" s="3298">
        <v>113</v>
      </c>
      <c r="Z62" s="3298">
        <v>0</v>
      </c>
      <c r="AA62" s="3298">
        <v>128</v>
      </c>
      <c r="AB62" s="3299">
        <v>137</v>
      </c>
      <c r="AC62" s="3299">
        <v>111</v>
      </c>
      <c r="AD62" s="3298">
        <v>63</v>
      </c>
      <c r="AE62" s="3298">
        <v>103</v>
      </c>
      <c r="AF62" s="3298">
        <v>0</v>
      </c>
      <c r="AG62" s="3298">
        <v>104</v>
      </c>
      <c r="AH62" s="3299">
        <v>79</v>
      </c>
      <c r="AI62" s="3189">
        <f t="shared" si="8"/>
        <v>2763</v>
      </c>
      <c r="AJ62" s="3190">
        <f t="shared" si="9"/>
        <v>1186.8852711370264</v>
      </c>
      <c r="AK62" s="2673" t="s">
        <v>92</v>
      </c>
      <c r="AL62" s="2673"/>
      <c r="AM62" s="2674">
        <f t="shared" si="10"/>
        <v>0</v>
      </c>
    </row>
    <row r="63" spans="1:50" ht="33.75" customHeight="1">
      <c r="A63" s="2672">
        <v>50</v>
      </c>
      <c r="B63" s="2672">
        <v>14</v>
      </c>
      <c r="C63" s="3303" t="str">
        <f>'[8]Chấm công công nhân'!L63</f>
        <v>Nàng Phìn</v>
      </c>
      <c r="D63" s="3298">
        <v>0</v>
      </c>
      <c r="E63" s="3298">
        <v>100</v>
      </c>
      <c r="F63" s="3298">
        <v>99</v>
      </c>
      <c r="G63" s="3298">
        <v>127</v>
      </c>
      <c r="H63" s="3298">
        <v>85</v>
      </c>
      <c r="I63" s="3298">
        <v>102</v>
      </c>
      <c r="J63" s="3298">
        <v>109</v>
      </c>
      <c r="K63" s="3298">
        <v>121</v>
      </c>
      <c r="L63" s="3298">
        <v>101</v>
      </c>
      <c r="M63" s="3298">
        <v>109</v>
      </c>
      <c r="N63" s="3298">
        <v>89</v>
      </c>
      <c r="O63" s="3298">
        <v>110</v>
      </c>
      <c r="P63" s="3298">
        <v>81</v>
      </c>
      <c r="Q63" s="3298">
        <v>86</v>
      </c>
      <c r="R63" s="3298">
        <v>97</v>
      </c>
      <c r="S63" s="3298">
        <v>139</v>
      </c>
      <c r="T63" s="3298">
        <v>102</v>
      </c>
      <c r="U63" s="3298">
        <v>100</v>
      </c>
      <c r="V63" s="3298">
        <v>92</v>
      </c>
      <c r="W63" s="3298">
        <v>99</v>
      </c>
      <c r="X63" s="3298">
        <v>99</v>
      </c>
      <c r="Y63" s="3298">
        <v>81</v>
      </c>
      <c r="Z63" s="3298">
        <v>71</v>
      </c>
      <c r="AA63" s="3298">
        <v>102</v>
      </c>
      <c r="AB63" s="3299">
        <v>77</v>
      </c>
      <c r="AC63" s="3299">
        <v>73</v>
      </c>
      <c r="AD63" s="3298">
        <v>73</v>
      </c>
      <c r="AE63" s="3298">
        <v>75</v>
      </c>
      <c r="AF63" s="3298">
        <v>57</v>
      </c>
      <c r="AG63" s="3298">
        <v>0</v>
      </c>
      <c r="AH63" s="3299">
        <v>0</v>
      </c>
      <c r="AI63" s="3189">
        <f t="shared" si="8"/>
        <v>2656</v>
      </c>
      <c r="AJ63" s="3190">
        <f t="shared" si="9"/>
        <v>1140.9219254940074</v>
      </c>
      <c r="AK63" s="2673" t="s">
        <v>52</v>
      </c>
      <c r="AL63" s="2673"/>
      <c r="AM63" s="2674">
        <f t="shared" si="10"/>
        <v>0</v>
      </c>
    </row>
    <row r="64" spans="1:50" ht="33.75" customHeight="1">
      <c r="A64" s="2672">
        <v>51</v>
      </c>
      <c r="B64" s="2672">
        <v>15</v>
      </c>
      <c r="C64" s="3303" t="str">
        <f>'[8]Chấm công công nhân'!L64</f>
        <v>May</v>
      </c>
      <c r="D64" s="3298">
        <v>121</v>
      </c>
      <c r="E64" s="3298">
        <v>0</v>
      </c>
      <c r="F64" s="3298">
        <v>129</v>
      </c>
      <c r="G64" s="3298">
        <v>157</v>
      </c>
      <c r="H64" s="3298">
        <v>99</v>
      </c>
      <c r="I64" s="3298">
        <v>121</v>
      </c>
      <c r="J64" s="3298">
        <v>83</v>
      </c>
      <c r="K64" s="3298">
        <v>180</v>
      </c>
      <c r="L64" s="3298">
        <v>120</v>
      </c>
      <c r="M64" s="3298">
        <v>118</v>
      </c>
      <c r="N64" s="3298">
        <v>83</v>
      </c>
      <c r="O64" s="3298">
        <v>140</v>
      </c>
      <c r="P64" s="3298">
        <v>81</v>
      </c>
      <c r="Q64" s="3298">
        <v>0</v>
      </c>
      <c r="R64" s="3298">
        <v>0</v>
      </c>
      <c r="S64" s="3298">
        <v>185</v>
      </c>
      <c r="T64" s="3298">
        <v>63</v>
      </c>
      <c r="U64" s="3298">
        <v>153</v>
      </c>
      <c r="V64" s="3298">
        <v>146</v>
      </c>
      <c r="W64" s="3298">
        <v>0</v>
      </c>
      <c r="X64" s="3298">
        <v>0</v>
      </c>
      <c r="Y64" s="3298">
        <v>113</v>
      </c>
      <c r="Z64" s="3298">
        <v>0</v>
      </c>
      <c r="AA64" s="3298">
        <v>127</v>
      </c>
      <c r="AB64" s="3299">
        <v>136</v>
      </c>
      <c r="AC64" s="3299">
        <v>110</v>
      </c>
      <c r="AD64" s="3298">
        <v>62</v>
      </c>
      <c r="AE64" s="3298">
        <v>102</v>
      </c>
      <c r="AF64" s="3298">
        <v>0</v>
      </c>
      <c r="AG64" s="3298">
        <v>103</v>
      </c>
      <c r="AH64" s="3299">
        <v>79</v>
      </c>
      <c r="AI64" s="3189">
        <f t="shared" si="8"/>
        <v>2811</v>
      </c>
      <c r="AJ64" s="3190">
        <f t="shared" si="9"/>
        <v>1207.5043420796892</v>
      </c>
      <c r="AK64" s="2673" t="s">
        <v>52</v>
      </c>
      <c r="AL64" s="2673"/>
      <c r="AM64" s="2674">
        <f t="shared" si="10"/>
        <v>0</v>
      </c>
    </row>
    <row r="65" spans="1:50" s="2671" customFormat="1" ht="33.75" customHeight="1">
      <c r="A65" s="2677" t="s">
        <v>53</v>
      </c>
      <c r="B65" s="3891" t="s">
        <v>371</v>
      </c>
      <c r="C65" s="3891"/>
      <c r="D65" s="3295">
        <f>+SUM(D66:D81)</f>
        <v>127</v>
      </c>
      <c r="E65" s="3295">
        <f t="shared" ref="E65:AH65" si="11">+SUM(E66:E81)</f>
        <v>644</v>
      </c>
      <c r="F65" s="3295">
        <f t="shared" si="11"/>
        <v>907</v>
      </c>
      <c r="G65" s="3295">
        <f t="shared" si="11"/>
        <v>1171</v>
      </c>
      <c r="H65" s="3295">
        <f t="shared" si="11"/>
        <v>846</v>
      </c>
      <c r="I65" s="3295">
        <f t="shared" si="11"/>
        <v>1014</v>
      </c>
      <c r="J65" s="3295">
        <f t="shared" si="11"/>
        <v>802</v>
      </c>
      <c r="K65" s="3295">
        <f t="shared" si="11"/>
        <v>919</v>
      </c>
      <c r="L65" s="3295">
        <f t="shared" si="11"/>
        <v>645</v>
      </c>
      <c r="M65" s="3295">
        <f t="shared" si="11"/>
        <v>845</v>
      </c>
      <c r="N65" s="3295">
        <f t="shared" si="11"/>
        <v>842</v>
      </c>
      <c r="O65" s="3295">
        <f t="shared" si="11"/>
        <v>1463</v>
      </c>
      <c r="P65" s="3295">
        <f t="shared" si="11"/>
        <v>1095</v>
      </c>
      <c r="Q65" s="3295">
        <f t="shared" si="11"/>
        <v>1019</v>
      </c>
      <c r="R65" s="3295">
        <f t="shared" si="11"/>
        <v>866</v>
      </c>
      <c r="S65" s="3295">
        <f t="shared" si="11"/>
        <v>486</v>
      </c>
      <c r="T65" s="3295">
        <f t="shared" si="11"/>
        <v>834</v>
      </c>
      <c r="U65" s="3295">
        <f t="shared" si="11"/>
        <v>1419</v>
      </c>
      <c r="V65" s="3295">
        <f t="shared" si="11"/>
        <v>312</v>
      </c>
      <c r="W65" s="3295">
        <f t="shared" si="11"/>
        <v>745</v>
      </c>
      <c r="X65" s="3295">
        <f t="shared" si="11"/>
        <v>1176</v>
      </c>
      <c r="Y65" s="3295">
        <f t="shared" si="11"/>
        <v>647</v>
      </c>
      <c r="Z65" s="3295">
        <f t="shared" si="11"/>
        <v>610</v>
      </c>
      <c r="AA65" s="3295">
        <f t="shared" si="11"/>
        <v>566</v>
      </c>
      <c r="AB65" s="3295">
        <f t="shared" si="11"/>
        <v>281</v>
      </c>
      <c r="AC65" s="3295">
        <f t="shared" si="11"/>
        <v>882</v>
      </c>
      <c r="AD65" s="3295">
        <f t="shared" si="11"/>
        <v>824</v>
      </c>
      <c r="AE65" s="3295">
        <f t="shared" si="11"/>
        <v>927</v>
      </c>
      <c r="AF65" s="3295">
        <f t="shared" si="11"/>
        <v>694</v>
      </c>
      <c r="AG65" s="3295">
        <f t="shared" si="11"/>
        <v>734</v>
      </c>
      <c r="AH65" s="3295">
        <f t="shared" si="11"/>
        <v>0</v>
      </c>
      <c r="AI65" s="3295">
        <f>+SUM(AI66:AI81)</f>
        <v>24342</v>
      </c>
      <c r="AJ65" s="3295">
        <f>SUM(AJ66:AJ81)</f>
        <v>11489.905999999999</v>
      </c>
      <c r="AK65" s="3551"/>
      <c r="AL65" s="2673"/>
      <c r="AM65" s="2678"/>
      <c r="AN65" s="2671">
        <v>17986</v>
      </c>
      <c r="AP65" s="2671">
        <f>+AI65+7422</f>
        <v>31764</v>
      </c>
      <c r="AX65" s="2740"/>
    </row>
    <row r="66" spans="1:50" ht="33.75" customHeight="1">
      <c r="A66" s="2672">
        <v>52</v>
      </c>
      <c r="B66" s="2672">
        <v>1</v>
      </c>
      <c r="C66" s="3303" t="s">
        <v>747</v>
      </c>
      <c r="D66" s="3191">
        <v>0</v>
      </c>
      <c r="E66" s="3191">
        <v>0</v>
      </c>
      <c r="F66" s="3191">
        <v>79</v>
      </c>
      <c r="G66" s="3191">
        <v>201</v>
      </c>
      <c r="H66" s="3191">
        <v>0</v>
      </c>
      <c r="I66" s="3191">
        <v>0</v>
      </c>
      <c r="J66" s="3191">
        <v>167</v>
      </c>
      <c r="K66" s="3191">
        <v>0</v>
      </c>
      <c r="L66" s="3191">
        <v>0</v>
      </c>
      <c r="M66" s="3191">
        <v>165</v>
      </c>
      <c r="N66" s="3191">
        <v>168</v>
      </c>
      <c r="O66" s="3191">
        <v>230</v>
      </c>
      <c r="P66" s="3191">
        <v>193</v>
      </c>
      <c r="Q66" s="3191">
        <v>123</v>
      </c>
      <c r="R66" s="3191">
        <v>130</v>
      </c>
      <c r="S66" s="3191">
        <v>0</v>
      </c>
      <c r="T66" s="3191">
        <v>0</v>
      </c>
      <c r="U66" s="3191">
        <v>221</v>
      </c>
      <c r="V66" s="3191">
        <v>0</v>
      </c>
      <c r="W66" s="3191">
        <v>0</v>
      </c>
      <c r="X66" s="3191">
        <v>0</v>
      </c>
      <c r="Y66" s="3191">
        <v>0</v>
      </c>
      <c r="Z66" s="3191">
        <v>0</v>
      </c>
      <c r="AA66" s="3191">
        <v>0</v>
      </c>
      <c r="AB66" s="3191">
        <v>0</v>
      </c>
      <c r="AC66" s="3191">
        <v>167</v>
      </c>
      <c r="AD66" s="3192">
        <v>169</v>
      </c>
      <c r="AE66" s="3192">
        <v>255</v>
      </c>
      <c r="AF66" s="3192">
        <v>137</v>
      </c>
      <c r="AG66" s="3192">
        <v>175</v>
      </c>
      <c r="AH66" s="3193">
        <v>0</v>
      </c>
      <c r="AI66" s="3189">
        <f>SUM(D66:AH66)</f>
        <v>2580</v>
      </c>
      <c r="AJ66" s="3190">
        <f>AI66*$AX$67/100</f>
        <v>1217.8110870101059</v>
      </c>
      <c r="AK66" s="2673" t="s">
        <v>52</v>
      </c>
      <c r="AL66" s="2673"/>
      <c r="AM66" s="2674">
        <f>IF(AJ66&gt;=2790,700000,IF(AJ66&gt;=2425,500000,IF(AJ66&gt;2110,300000,IF(AJ66&gt;=2110,0,0))))</f>
        <v>0</v>
      </c>
      <c r="AN66" s="2661">
        <f>+AI65-AN65</f>
        <v>6356</v>
      </c>
      <c r="AP66" s="3183"/>
      <c r="AT66" s="2661">
        <f>+AI66+[2]Mủ!AI13</f>
        <v>3625</v>
      </c>
      <c r="AX66" s="2741"/>
    </row>
    <row r="67" spans="1:50" ht="33.75" customHeight="1">
      <c r="A67" s="2672">
        <v>53</v>
      </c>
      <c r="B67" s="2672">
        <v>2</v>
      </c>
      <c r="C67" s="3303" t="s">
        <v>968</v>
      </c>
      <c r="D67" s="3191">
        <v>0</v>
      </c>
      <c r="E67" s="3191">
        <v>0</v>
      </c>
      <c r="F67" s="3191">
        <v>0</v>
      </c>
      <c r="G67" s="3191">
        <v>0</v>
      </c>
      <c r="H67" s="3191">
        <v>0</v>
      </c>
      <c r="I67" s="3191">
        <v>0</v>
      </c>
      <c r="J67" s="3191">
        <v>0</v>
      </c>
      <c r="K67" s="3191">
        <v>0</v>
      </c>
      <c r="L67" s="3191">
        <v>0</v>
      </c>
      <c r="M67" s="3191">
        <v>0</v>
      </c>
      <c r="N67" s="3191">
        <v>0</v>
      </c>
      <c r="O67" s="3191">
        <v>160</v>
      </c>
      <c r="P67" s="3191">
        <v>0</v>
      </c>
      <c r="Q67" s="3191">
        <v>0</v>
      </c>
      <c r="R67" s="3191">
        <v>0</v>
      </c>
      <c r="S67" s="3191">
        <v>0</v>
      </c>
      <c r="T67" s="3191">
        <v>0</v>
      </c>
      <c r="U67" s="3191">
        <v>0</v>
      </c>
      <c r="V67" s="3191">
        <v>0</v>
      </c>
      <c r="W67" s="3191">
        <v>0</v>
      </c>
      <c r="X67" s="3191">
        <v>198</v>
      </c>
      <c r="Y67" s="3191">
        <v>0</v>
      </c>
      <c r="Z67" s="3191">
        <v>0</v>
      </c>
      <c r="AA67" s="3191">
        <v>0</v>
      </c>
      <c r="AB67" s="3191">
        <v>0</v>
      </c>
      <c r="AC67" s="3191">
        <v>0</v>
      </c>
      <c r="AD67" s="3192">
        <v>0</v>
      </c>
      <c r="AE67" s="3192">
        <v>129</v>
      </c>
      <c r="AF67" s="3192">
        <v>0</v>
      </c>
      <c r="AG67" s="3192">
        <v>0</v>
      </c>
      <c r="AH67" s="3193">
        <v>0</v>
      </c>
      <c r="AI67" s="3189">
        <f t="shared" ref="AI67:AI81" si="12">SUM(D67:AH67)</f>
        <v>487</v>
      </c>
      <c r="AJ67" s="3190">
        <f t="shared" ref="AJ67:AJ78" si="13">AI67*$AX$67/100</f>
        <v>229.87364316818667</v>
      </c>
      <c r="AK67" s="2673" t="s">
        <v>92</v>
      </c>
      <c r="AL67" s="2673"/>
      <c r="AM67" s="2674">
        <f t="shared" ref="AM67:AM80" si="14">IF(AJ67&gt;=2790,700000,IF(AJ67&gt;=2425,500000,IF(AJ67&gt;2110,300000,IF(AJ67&gt;=2110,0,0))))</f>
        <v>0</v>
      </c>
      <c r="AT67" s="2661">
        <f>+AI67+[2]Mủ!AI14</f>
        <v>1291</v>
      </c>
      <c r="AX67" s="2739">
        <v>47.201980116670775</v>
      </c>
    </row>
    <row r="68" spans="1:50" ht="33.75" customHeight="1">
      <c r="A68" s="2672">
        <v>54</v>
      </c>
      <c r="B68" s="2672">
        <v>3</v>
      </c>
      <c r="C68" s="3303" t="s">
        <v>978</v>
      </c>
      <c r="D68" s="3191">
        <v>81</v>
      </c>
      <c r="E68" s="3191">
        <v>0</v>
      </c>
      <c r="F68" s="3191">
        <v>0</v>
      </c>
      <c r="G68" s="3191">
        <v>0</v>
      </c>
      <c r="H68" s="3191">
        <v>89</v>
      </c>
      <c r="I68" s="3191">
        <v>73</v>
      </c>
      <c r="J68" s="3191">
        <v>0</v>
      </c>
      <c r="K68" s="3191">
        <v>78</v>
      </c>
      <c r="L68" s="3191">
        <v>85</v>
      </c>
      <c r="M68" s="3191">
        <v>0</v>
      </c>
      <c r="N68" s="3191">
        <v>51</v>
      </c>
      <c r="O68" s="3191">
        <v>0</v>
      </c>
      <c r="P68" s="3191">
        <v>0</v>
      </c>
      <c r="Q68" s="3191">
        <v>0</v>
      </c>
      <c r="R68" s="3191">
        <v>80</v>
      </c>
      <c r="S68" s="3191">
        <v>0</v>
      </c>
      <c r="T68" s="3191">
        <v>92</v>
      </c>
      <c r="U68" s="3191">
        <v>81</v>
      </c>
      <c r="V68" s="3191">
        <v>0</v>
      </c>
      <c r="W68" s="3191">
        <v>75</v>
      </c>
      <c r="X68" s="3191">
        <v>44</v>
      </c>
      <c r="Y68" s="3191">
        <v>40</v>
      </c>
      <c r="Z68" s="3191">
        <v>0</v>
      </c>
      <c r="AA68" s="3191">
        <v>0</v>
      </c>
      <c r="AB68" s="3191">
        <v>0</v>
      </c>
      <c r="AC68" s="3191">
        <v>76</v>
      </c>
      <c r="AD68" s="3192">
        <v>74</v>
      </c>
      <c r="AE68" s="3192">
        <v>0</v>
      </c>
      <c r="AF68" s="3192">
        <v>0</v>
      </c>
      <c r="AG68" s="3192">
        <v>36</v>
      </c>
      <c r="AH68" s="3193">
        <v>0</v>
      </c>
      <c r="AI68" s="3189">
        <f t="shared" si="12"/>
        <v>1055</v>
      </c>
      <c r="AJ68" s="3190">
        <f t="shared" si="13"/>
        <v>497.9808902308767</v>
      </c>
      <c r="AK68" s="2673" t="s">
        <v>92</v>
      </c>
      <c r="AL68" s="2673"/>
      <c r="AM68" s="2674">
        <f t="shared" si="14"/>
        <v>0</v>
      </c>
      <c r="AT68" s="2661">
        <f>+AI68+[2]Mủ!AI15</f>
        <v>2640</v>
      </c>
    </row>
    <row r="69" spans="1:50" ht="33.75" customHeight="1">
      <c r="A69" s="2672">
        <v>55</v>
      </c>
      <c r="B69" s="2672">
        <v>4</v>
      </c>
      <c r="C69" s="3303" t="s">
        <v>753</v>
      </c>
      <c r="D69" s="3191">
        <v>0</v>
      </c>
      <c r="E69" s="3191">
        <v>80</v>
      </c>
      <c r="F69" s="3191">
        <v>100</v>
      </c>
      <c r="G69" s="3191">
        <v>75</v>
      </c>
      <c r="H69" s="3191">
        <v>97</v>
      </c>
      <c r="I69" s="3191">
        <v>107</v>
      </c>
      <c r="J69" s="3191">
        <v>113</v>
      </c>
      <c r="K69" s="3191">
        <v>118</v>
      </c>
      <c r="L69" s="3191">
        <v>104</v>
      </c>
      <c r="M69" s="3191">
        <v>100</v>
      </c>
      <c r="N69" s="3191">
        <v>0</v>
      </c>
      <c r="O69" s="3191">
        <v>0</v>
      </c>
      <c r="P69" s="3191">
        <v>92</v>
      </c>
      <c r="Q69" s="3191">
        <v>100</v>
      </c>
      <c r="R69" s="3191">
        <v>80</v>
      </c>
      <c r="S69" s="3191">
        <v>0</v>
      </c>
      <c r="T69" s="3191">
        <v>0</v>
      </c>
      <c r="U69" s="3191">
        <v>75</v>
      </c>
      <c r="V69" s="3191">
        <v>0</v>
      </c>
      <c r="W69" s="3191">
        <v>93</v>
      </c>
      <c r="X69" s="3191">
        <v>75</v>
      </c>
      <c r="Y69" s="3191">
        <v>0</v>
      </c>
      <c r="Z69" s="3191">
        <v>71</v>
      </c>
      <c r="AA69" s="3191">
        <v>50</v>
      </c>
      <c r="AB69" s="3191">
        <v>0</v>
      </c>
      <c r="AC69" s="3191">
        <v>103</v>
      </c>
      <c r="AD69" s="3192">
        <v>0</v>
      </c>
      <c r="AE69" s="3192">
        <v>0</v>
      </c>
      <c r="AF69" s="3192">
        <v>43</v>
      </c>
      <c r="AG69" s="3192">
        <v>44</v>
      </c>
      <c r="AH69" s="3193">
        <v>0</v>
      </c>
      <c r="AI69" s="3189">
        <f t="shared" si="12"/>
        <v>1720</v>
      </c>
      <c r="AJ69" s="3190">
        <f t="shared" si="13"/>
        <v>811.8740580067373</v>
      </c>
      <c r="AK69" s="2673" t="s">
        <v>52</v>
      </c>
      <c r="AL69" s="2673"/>
      <c r="AM69" s="2674">
        <f t="shared" si="14"/>
        <v>0</v>
      </c>
      <c r="AT69" s="2661">
        <f>+AI69+[2]Mủ!AI16</f>
        <v>2955</v>
      </c>
    </row>
    <row r="70" spans="1:50" ht="33.75" customHeight="1">
      <c r="A70" s="2672">
        <v>56</v>
      </c>
      <c r="B70" s="2672">
        <v>5</v>
      </c>
      <c r="C70" s="3303" t="s">
        <v>977</v>
      </c>
      <c r="D70" s="3191">
        <v>0</v>
      </c>
      <c r="E70" s="3191">
        <v>80</v>
      </c>
      <c r="F70" s="3191">
        <v>101</v>
      </c>
      <c r="G70" s="3191">
        <v>76</v>
      </c>
      <c r="H70" s="3191">
        <v>98</v>
      </c>
      <c r="I70" s="3191">
        <v>108</v>
      </c>
      <c r="J70" s="3191">
        <v>113</v>
      </c>
      <c r="K70" s="3191">
        <v>119</v>
      </c>
      <c r="L70" s="3191">
        <v>104</v>
      </c>
      <c r="M70" s="3191">
        <v>103</v>
      </c>
      <c r="N70" s="3191">
        <v>0</v>
      </c>
      <c r="O70" s="3191">
        <v>0</v>
      </c>
      <c r="P70" s="3191">
        <v>93</v>
      </c>
      <c r="Q70" s="3191">
        <v>100</v>
      </c>
      <c r="R70" s="3191">
        <v>80</v>
      </c>
      <c r="S70" s="3191">
        <v>0</v>
      </c>
      <c r="T70" s="3191">
        <v>0</v>
      </c>
      <c r="U70" s="3191">
        <v>0</v>
      </c>
      <c r="V70" s="3191">
        <v>0</v>
      </c>
      <c r="W70" s="3191">
        <v>0</v>
      </c>
      <c r="X70" s="3191">
        <v>75</v>
      </c>
      <c r="Y70" s="3191">
        <v>0</v>
      </c>
      <c r="Z70" s="3191">
        <v>71</v>
      </c>
      <c r="AA70" s="3191">
        <v>50</v>
      </c>
      <c r="AB70" s="3191">
        <v>0</v>
      </c>
      <c r="AC70" s="3191">
        <v>0</v>
      </c>
      <c r="AD70" s="3192">
        <v>0</v>
      </c>
      <c r="AE70" s="3192">
        <v>0</v>
      </c>
      <c r="AF70" s="3192">
        <v>43</v>
      </c>
      <c r="AG70" s="3192">
        <v>45</v>
      </c>
      <c r="AH70" s="3193">
        <v>0</v>
      </c>
      <c r="AI70" s="3189">
        <f t="shared" si="12"/>
        <v>1459</v>
      </c>
      <c r="AJ70" s="3190">
        <f t="shared" si="13"/>
        <v>688.67688990222655</v>
      </c>
      <c r="AK70" s="2673" t="s">
        <v>92</v>
      </c>
      <c r="AL70" s="2673"/>
      <c r="AM70" s="2674">
        <f t="shared" si="14"/>
        <v>0</v>
      </c>
      <c r="AT70" s="2661">
        <f>+AI70+[2]Mủ!AI17</f>
        <v>2690</v>
      </c>
    </row>
    <row r="71" spans="1:50" ht="33.75" customHeight="1">
      <c r="A71" s="2672">
        <v>57</v>
      </c>
      <c r="B71" s="2672">
        <v>6</v>
      </c>
      <c r="C71" s="3303" t="s">
        <v>926</v>
      </c>
      <c r="D71" s="3191">
        <v>0</v>
      </c>
      <c r="E71" s="3191">
        <v>0</v>
      </c>
      <c r="F71" s="3191">
        <v>90</v>
      </c>
      <c r="G71" s="3191">
        <v>148</v>
      </c>
      <c r="H71" s="3191">
        <v>70</v>
      </c>
      <c r="I71" s="3191">
        <v>80</v>
      </c>
      <c r="J71" s="3191">
        <v>81</v>
      </c>
      <c r="K71" s="3191">
        <v>75</v>
      </c>
      <c r="L71" s="3191">
        <v>73</v>
      </c>
      <c r="M71" s="3191">
        <v>0</v>
      </c>
      <c r="N71" s="3191">
        <v>73</v>
      </c>
      <c r="O71" s="3191">
        <v>0</v>
      </c>
      <c r="P71" s="3191">
        <v>169</v>
      </c>
      <c r="Q71" s="3191">
        <v>70</v>
      </c>
      <c r="R71" s="3191">
        <v>90</v>
      </c>
      <c r="S71" s="3191">
        <v>0</v>
      </c>
      <c r="T71" s="3191">
        <v>0</v>
      </c>
      <c r="U71" s="3191">
        <v>95</v>
      </c>
      <c r="V71" s="3191">
        <v>0</v>
      </c>
      <c r="W71" s="3191">
        <v>0</v>
      </c>
      <c r="X71" s="3191">
        <v>55</v>
      </c>
      <c r="Y71" s="3191">
        <v>0</v>
      </c>
      <c r="Z71" s="3191">
        <v>0</v>
      </c>
      <c r="AA71" s="3191">
        <v>0</v>
      </c>
      <c r="AB71" s="3191">
        <v>0</v>
      </c>
      <c r="AC71" s="3191">
        <v>124</v>
      </c>
      <c r="AD71" s="3192">
        <v>59</v>
      </c>
      <c r="AE71" s="3192">
        <v>72</v>
      </c>
      <c r="AF71" s="3192">
        <v>0</v>
      </c>
      <c r="AG71" s="3192">
        <v>0</v>
      </c>
      <c r="AH71" s="3193">
        <v>0</v>
      </c>
      <c r="AI71" s="3189">
        <f t="shared" si="12"/>
        <v>1424</v>
      </c>
      <c r="AJ71" s="3190">
        <f t="shared" si="13"/>
        <v>672.15619686139178</v>
      </c>
      <c r="AK71" s="2673" t="s">
        <v>52</v>
      </c>
      <c r="AL71" s="2673"/>
      <c r="AM71" s="2674">
        <f t="shared" si="14"/>
        <v>0</v>
      </c>
      <c r="AT71" s="2661">
        <f>+AI71+[2]Mủ!AI18</f>
        <v>2197</v>
      </c>
    </row>
    <row r="72" spans="1:50" ht="33.75" customHeight="1">
      <c r="A72" s="2672">
        <v>58</v>
      </c>
      <c r="B72" s="2672">
        <v>7</v>
      </c>
      <c r="C72" s="3303" t="s">
        <v>1734</v>
      </c>
      <c r="D72" s="3191">
        <v>0</v>
      </c>
      <c r="E72" s="3191">
        <v>120</v>
      </c>
      <c r="F72" s="3191">
        <v>85</v>
      </c>
      <c r="G72" s="3191">
        <v>152</v>
      </c>
      <c r="H72" s="3191">
        <v>102</v>
      </c>
      <c r="I72" s="3191">
        <v>71</v>
      </c>
      <c r="J72" s="3191">
        <v>51</v>
      </c>
      <c r="K72" s="3191">
        <v>82</v>
      </c>
      <c r="L72" s="3191">
        <v>112</v>
      </c>
      <c r="M72" s="3191">
        <v>125</v>
      </c>
      <c r="N72" s="3191">
        <v>128</v>
      </c>
      <c r="O72" s="3191">
        <v>211</v>
      </c>
      <c r="P72" s="3191">
        <v>0</v>
      </c>
      <c r="Q72" s="3191">
        <v>49</v>
      </c>
      <c r="R72" s="3191">
        <v>0</v>
      </c>
      <c r="S72" s="3191">
        <v>112</v>
      </c>
      <c r="T72" s="3191">
        <v>0</v>
      </c>
      <c r="U72" s="3191">
        <v>172</v>
      </c>
      <c r="V72" s="3191">
        <v>109</v>
      </c>
      <c r="W72" s="3191">
        <v>0</v>
      </c>
      <c r="X72" s="3191">
        <v>103</v>
      </c>
      <c r="Y72" s="3191">
        <v>0</v>
      </c>
      <c r="Z72" s="3191">
        <v>0</v>
      </c>
      <c r="AA72" s="3191">
        <v>62</v>
      </c>
      <c r="AB72" s="3191">
        <v>0</v>
      </c>
      <c r="AC72" s="3191">
        <v>126</v>
      </c>
      <c r="AD72" s="3192">
        <v>98</v>
      </c>
      <c r="AE72" s="3192">
        <v>0</v>
      </c>
      <c r="AF72" s="3192">
        <v>120</v>
      </c>
      <c r="AG72" s="3192">
        <v>38</v>
      </c>
      <c r="AH72" s="3193">
        <v>0</v>
      </c>
      <c r="AI72" s="3189">
        <f t="shared" si="12"/>
        <v>2228</v>
      </c>
      <c r="AJ72" s="3190">
        <f t="shared" si="13"/>
        <v>1051.6601169994249</v>
      </c>
      <c r="AK72" s="2673" t="s">
        <v>52</v>
      </c>
      <c r="AL72" s="2673"/>
      <c r="AM72" s="2674">
        <f t="shared" si="14"/>
        <v>0</v>
      </c>
      <c r="AT72" s="2661">
        <f>+AI72+[2]Mủ!AI19</f>
        <v>2977</v>
      </c>
    </row>
    <row r="73" spans="1:50" ht="33.75" customHeight="1">
      <c r="A73" s="2672">
        <v>59</v>
      </c>
      <c r="B73" s="2672">
        <v>8</v>
      </c>
      <c r="C73" s="3303" t="s">
        <v>1731</v>
      </c>
      <c r="D73" s="3191">
        <v>0</v>
      </c>
      <c r="E73" s="3191">
        <v>0</v>
      </c>
      <c r="F73" s="3191">
        <v>80</v>
      </c>
      <c r="G73" s="3191">
        <v>0</v>
      </c>
      <c r="H73" s="3191">
        <v>0</v>
      </c>
      <c r="I73" s="3191">
        <v>71</v>
      </c>
      <c r="J73" s="3191">
        <v>0</v>
      </c>
      <c r="K73" s="3191">
        <v>0</v>
      </c>
      <c r="L73" s="3191">
        <v>0</v>
      </c>
      <c r="M73" s="3191">
        <v>0</v>
      </c>
      <c r="N73" s="3191">
        <v>102</v>
      </c>
      <c r="O73" s="3191">
        <v>98</v>
      </c>
      <c r="P73" s="3191">
        <v>0</v>
      </c>
      <c r="Q73" s="3191">
        <v>83</v>
      </c>
      <c r="R73" s="3191">
        <v>0</v>
      </c>
      <c r="S73" s="3191">
        <v>102</v>
      </c>
      <c r="T73" s="3191">
        <v>134</v>
      </c>
      <c r="U73" s="3191">
        <v>119</v>
      </c>
      <c r="V73" s="3191">
        <v>0</v>
      </c>
      <c r="W73" s="3191">
        <v>113</v>
      </c>
      <c r="X73" s="3191">
        <v>87</v>
      </c>
      <c r="Y73" s="3191">
        <v>90</v>
      </c>
      <c r="Z73" s="3191">
        <v>0</v>
      </c>
      <c r="AA73" s="3191">
        <v>110</v>
      </c>
      <c r="AB73" s="3191">
        <v>0</v>
      </c>
      <c r="AC73" s="3191">
        <v>0</v>
      </c>
      <c r="AD73" s="3192">
        <v>0</v>
      </c>
      <c r="AE73" s="3192">
        <v>0</v>
      </c>
      <c r="AF73" s="3192">
        <v>0</v>
      </c>
      <c r="AG73" s="3192">
        <v>0</v>
      </c>
      <c r="AH73" s="3193">
        <v>0</v>
      </c>
      <c r="AI73" s="3189">
        <f t="shared" si="12"/>
        <v>1189</v>
      </c>
      <c r="AJ73" s="3190">
        <f t="shared" si="13"/>
        <v>561.23154358721547</v>
      </c>
      <c r="AK73" s="2673" t="s">
        <v>92</v>
      </c>
      <c r="AL73" s="2673"/>
      <c r="AM73" s="2674">
        <f t="shared" si="14"/>
        <v>0</v>
      </c>
    </row>
    <row r="74" spans="1:50" ht="33.75" customHeight="1">
      <c r="A74" s="2672">
        <v>60</v>
      </c>
      <c r="B74" s="2672">
        <v>9</v>
      </c>
      <c r="C74" s="3303" t="s">
        <v>1732</v>
      </c>
      <c r="D74" s="3191">
        <v>0</v>
      </c>
      <c r="E74" s="3191">
        <v>0</v>
      </c>
      <c r="F74" s="3191">
        <v>81</v>
      </c>
      <c r="G74" s="3191">
        <v>84</v>
      </c>
      <c r="H74" s="3191">
        <v>75</v>
      </c>
      <c r="I74" s="3191">
        <v>69</v>
      </c>
      <c r="J74" s="3191">
        <v>0</v>
      </c>
      <c r="K74" s="3191">
        <v>0</v>
      </c>
      <c r="L74" s="3191">
        <v>0</v>
      </c>
      <c r="M74" s="3191">
        <v>0</v>
      </c>
      <c r="N74" s="3191">
        <v>103</v>
      </c>
      <c r="O74" s="3191">
        <v>98</v>
      </c>
      <c r="P74" s="3191">
        <v>65</v>
      </c>
      <c r="Q74" s="3191">
        <v>83</v>
      </c>
      <c r="R74" s="3191">
        <v>40</v>
      </c>
      <c r="S74" s="3191">
        <v>104</v>
      </c>
      <c r="T74" s="3191">
        <v>135</v>
      </c>
      <c r="U74" s="3191">
        <v>119</v>
      </c>
      <c r="V74" s="3191">
        <v>0</v>
      </c>
      <c r="W74" s="3191">
        <v>112</v>
      </c>
      <c r="X74" s="3191">
        <v>0</v>
      </c>
      <c r="Y74" s="3191">
        <v>91</v>
      </c>
      <c r="Z74" s="3191">
        <v>101</v>
      </c>
      <c r="AA74" s="3191">
        <v>109</v>
      </c>
      <c r="AB74" s="3191">
        <v>0</v>
      </c>
      <c r="AC74" s="3191">
        <v>0</v>
      </c>
      <c r="AD74" s="3192">
        <v>0</v>
      </c>
      <c r="AE74" s="3192">
        <v>0</v>
      </c>
      <c r="AF74" s="3192">
        <v>0</v>
      </c>
      <c r="AG74" s="3192">
        <v>0</v>
      </c>
      <c r="AH74" s="3193">
        <v>0</v>
      </c>
      <c r="AI74" s="3189">
        <f t="shared" si="12"/>
        <v>1469</v>
      </c>
      <c r="AJ74" s="3190">
        <f t="shared" si="13"/>
        <v>693.39708791389364</v>
      </c>
      <c r="AK74" s="2673" t="s">
        <v>52</v>
      </c>
      <c r="AL74" s="2673"/>
      <c r="AM74" s="2674">
        <f t="shared" si="14"/>
        <v>0</v>
      </c>
    </row>
    <row r="75" spans="1:50" ht="33.75" customHeight="1">
      <c r="A75" s="2672">
        <v>61</v>
      </c>
      <c r="B75" s="2672">
        <v>10</v>
      </c>
      <c r="C75" s="3303" t="s">
        <v>1733</v>
      </c>
      <c r="D75" s="3191">
        <v>0</v>
      </c>
      <c r="E75" s="3191">
        <v>0</v>
      </c>
      <c r="F75" s="3191">
        <v>0</v>
      </c>
      <c r="G75" s="3191">
        <v>86</v>
      </c>
      <c r="H75" s="3191">
        <v>75</v>
      </c>
      <c r="I75" s="3191">
        <v>70</v>
      </c>
      <c r="J75" s="3191">
        <v>0</v>
      </c>
      <c r="K75" s="3191">
        <v>0</v>
      </c>
      <c r="L75" s="3191">
        <v>0</v>
      </c>
      <c r="M75" s="3191">
        <v>0</v>
      </c>
      <c r="N75" s="3191">
        <v>102</v>
      </c>
      <c r="O75" s="3191">
        <v>98</v>
      </c>
      <c r="P75" s="3191">
        <v>65</v>
      </c>
      <c r="Q75" s="3191">
        <v>84</v>
      </c>
      <c r="R75" s="3191">
        <v>0</v>
      </c>
      <c r="S75" s="3191">
        <v>102</v>
      </c>
      <c r="T75" s="3191">
        <v>134</v>
      </c>
      <c r="U75" s="3191">
        <v>119</v>
      </c>
      <c r="V75" s="3191">
        <v>0</v>
      </c>
      <c r="W75" s="3191">
        <v>112</v>
      </c>
      <c r="X75" s="3191">
        <v>87</v>
      </c>
      <c r="Y75" s="3191">
        <v>90</v>
      </c>
      <c r="Z75" s="3191">
        <v>101</v>
      </c>
      <c r="AA75" s="3191">
        <v>109</v>
      </c>
      <c r="AB75" s="3191">
        <v>0</v>
      </c>
      <c r="AC75" s="3191">
        <v>0</v>
      </c>
      <c r="AD75" s="3192">
        <v>0</v>
      </c>
      <c r="AE75" s="3192">
        <v>0</v>
      </c>
      <c r="AF75" s="3192">
        <v>0</v>
      </c>
      <c r="AG75" s="3192">
        <v>0</v>
      </c>
      <c r="AH75" s="3193">
        <v>0</v>
      </c>
      <c r="AI75" s="3189">
        <f t="shared" si="12"/>
        <v>1434</v>
      </c>
      <c r="AJ75" s="3190">
        <f t="shared" si="13"/>
        <v>676.87639487305887</v>
      </c>
      <c r="AK75" s="2673" t="s">
        <v>52</v>
      </c>
      <c r="AL75" s="2673"/>
      <c r="AM75" s="2674">
        <f t="shared" si="14"/>
        <v>0</v>
      </c>
    </row>
    <row r="76" spans="1:50" ht="33.75" customHeight="1">
      <c r="A76" s="2672">
        <v>62</v>
      </c>
      <c r="B76" s="2672">
        <v>11</v>
      </c>
      <c r="C76" s="3303" t="s">
        <v>1598</v>
      </c>
      <c r="D76" s="3191">
        <v>0</v>
      </c>
      <c r="E76" s="3191">
        <v>0</v>
      </c>
      <c r="F76" s="3191">
        <v>0</v>
      </c>
      <c r="G76" s="3191">
        <v>102</v>
      </c>
      <c r="H76" s="3191">
        <v>90</v>
      </c>
      <c r="I76" s="3191">
        <v>0</v>
      </c>
      <c r="J76" s="3191">
        <v>0</v>
      </c>
      <c r="K76" s="3191">
        <v>0</v>
      </c>
      <c r="L76" s="3191">
        <v>0</v>
      </c>
      <c r="M76" s="3191">
        <v>116</v>
      </c>
      <c r="N76" s="3191">
        <v>0</v>
      </c>
      <c r="O76" s="3191">
        <v>150</v>
      </c>
      <c r="P76" s="3191">
        <v>114</v>
      </c>
      <c r="Q76" s="3191">
        <v>0</v>
      </c>
      <c r="R76" s="3191">
        <v>38</v>
      </c>
      <c r="S76" s="3191">
        <v>0</v>
      </c>
      <c r="T76" s="3191">
        <v>0</v>
      </c>
      <c r="U76" s="3191">
        <v>81</v>
      </c>
      <c r="V76" s="3191">
        <v>0</v>
      </c>
      <c r="W76" s="3191">
        <v>0</v>
      </c>
      <c r="X76" s="3191">
        <v>168</v>
      </c>
      <c r="Y76" s="3191">
        <v>0</v>
      </c>
      <c r="Z76" s="3191">
        <v>87</v>
      </c>
      <c r="AA76" s="3191">
        <v>0</v>
      </c>
      <c r="AB76" s="3191">
        <v>0</v>
      </c>
      <c r="AC76" s="3191">
        <v>0</v>
      </c>
      <c r="AD76" s="3192">
        <v>0</v>
      </c>
      <c r="AE76" s="3192">
        <v>246</v>
      </c>
      <c r="AF76" s="3192">
        <v>0</v>
      </c>
      <c r="AG76" s="3192">
        <v>125</v>
      </c>
      <c r="AH76" s="3193">
        <v>0</v>
      </c>
      <c r="AI76" s="3189">
        <f t="shared" si="12"/>
        <v>1317</v>
      </c>
      <c r="AJ76" s="3190">
        <f t="shared" si="13"/>
        <v>621.65007813655404</v>
      </c>
      <c r="AK76" s="2673" t="s">
        <v>92</v>
      </c>
      <c r="AL76" s="2673"/>
      <c r="AM76" s="2674">
        <f t="shared" si="14"/>
        <v>0</v>
      </c>
    </row>
    <row r="77" spans="1:50" ht="33.75" customHeight="1">
      <c r="A77" s="2672">
        <v>63</v>
      </c>
      <c r="B77" s="2672">
        <v>12</v>
      </c>
      <c r="C77" s="3303" t="s">
        <v>1599</v>
      </c>
      <c r="D77" s="3191">
        <v>0</v>
      </c>
      <c r="E77" s="3191">
        <v>161</v>
      </c>
      <c r="F77" s="3191">
        <v>81</v>
      </c>
      <c r="G77" s="3191">
        <v>124</v>
      </c>
      <c r="H77" s="3191">
        <v>0</v>
      </c>
      <c r="I77" s="3191">
        <v>139</v>
      </c>
      <c r="J77" s="3191">
        <v>125</v>
      </c>
      <c r="K77" s="3191">
        <v>150</v>
      </c>
      <c r="L77" s="3191">
        <v>0</v>
      </c>
      <c r="M77" s="3191">
        <v>0</v>
      </c>
      <c r="N77" s="3191">
        <v>115</v>
      </c>
      <c r="O77" s="3191">
        <v>87</v>
      </c>
      <c r="P77" s="3191">
        <v>154</v>
      </c>
      <c r="Q77" s="3191">
        <v>156</v>
      </c>
      <c r="R77" s="3191">
        <v>120</v>
      </c>
      <c r="S77" s="3191">
        <v>0</v>
      </c>
      <c r="T77" s="3191">
        <v>162</v>
      </c>
      <c r="U77" s="3191">
        <v>169</v>
      </c>
      <c r="V77" s="3191">
        <v>159</v>
      </c>
      <c r="W77" s="3191">
        <v>160</v>
      </c>
      <c r="X77" s="3191">
        <v>109</v>
      </c>
      <c r="Y77" s="3191">
        <v>0</v>
      </c>
      <c r="Z77" s="3191">
        <v>0</v>
      </c>
      <c r="AA77" s="3191">
        <v>76</v>
      </c>
      <c r="AB77" s="3191">
        <v>114</v>
      </c>
      <c r="AC77" s="3191">
        <v>61</v>
      </c>
      <c r="AD77" s="3192">
        <v>133</v>
      </c>
      <c r="AE77" s="3192">
        <v>137</v>
      </c>
      <c r="AF77" s="3192">
        <v>132</v>
      </c>
      <c r="AG77" s="3192">
        <v>139</v>
      </c>
      <c r="AH77" s="3193">
        <v>0</v>
      </c>
      <c r="AI77" s="3189">
        <f t="shared" si="12"/>
        <v>2963</v>
      </c>
      <c r="AJ77" s="3190">
        <f t="shared" si="13"/>
        <v>1398.594670856955</v>
      </c>
      <c r="AK77" s="2673" t="s">
        <v>52</v>
      </c>
      <c r="AL77" s="2673"/>
      <c r="AM77" s="2674">
        <f t="shared" si="14"/>
        <v>0</v>
      </c>
    </row>
    <row r="78" spans="1:50" ht="33.75" customHeight="1">
      <c r="A78" s="2672">
        <v>64</v>
      </c>
      <c r="B78" s="2672">
        <v>13</v>
      </c>
      <c r="C78" s="3303" t="s">
        <v>1600</v>
      </c>
      <c r="D78" s="3189">
        <v>0</v>
      </c>
      <c r="E78" s="3189">
        <v>101</v>
      </c>
      <c r="F78" s="3189">
        <v>104</v>
      </c>
      <c r="G78" s="3189">
        <v>61</v>
      </c>
      <c r="H78" s="3189">
        <v>74</v>
      </c>
      <c r="I78" s="3193">
        <v>80</v>
      </c>
      <c r="J78" s="3193">
        <v>76</v>
      </c>
      <c r="K78" s="3193">
        <v>97</v>
      </c>
      <c r="L78" s="3193">
        <v>60</v>
      </c>
      <c r="M78" s="3189">
        <v>87</v>
      </c>
      <c r="N78" s="3193">
        <v>0</v>
      </c>
      <c r="O78" s="3193">
        <v>95</v>
      </c>
      <c r="P78" s="3193">
        <v>74</v>
      </c>
      <c r="Q78" s="3193">
        <v>85</v>
      </c>
      <c r="R78" s="3193">
        <v>75</v>
      </c>
      <c r="S78" s="3193">
        <v>0</v>
      </c>
      <c r="T78" s="3189">
        <v>88</v>
      </c>
      <c r="U78" s="3193">
        <v>84</v>
      </c>
      <c r="V78" s="3193">
        <v>0</v>
      </c>
      <c r="W78" s="3193">
        <v>0</v>
      </c>
      <c r="X78" s="3193">
        <v>70</v>
      </c>
      <c r="Y78" s="3193">
        <v>113</v>
      </c>
      <c r="Z78" s="3193">
        <v>89</v>
      </c>
      <c r="AA78" s="3194">
        <v>0</v>
      </c>
      <c r="AB78" s="3193">
        <v>84</v>
      </c>
      <c r="AC78" s="3193">
        <v>87</v>
      </c>
      <c r="AD78" s="3192">
        <v>66</v>
      </c>
      <c r="AE78" s="3192">
        <v>0</v>
      </c>
      <c r="AF78" s="3192">
        <v>80</v>
      </c>
      <c r="AG78" s="3192">
        <v>0</v>
      </c>
      <c r="AH78" s="3193">
        <v>0</v>
      </c>
      <c r="AI78" s="3189">
        <f t="shared" si="12"/>
        <v>1830</v>
      </c>
      <c r="AJ78" s="3190">
        <f t="shared" si="13"/>
        <v>863.79623613507511</v>
      </c>
      <c r="AK78" s="2673" t="s">
        <v>92</v>
      </c>
      <c r="AL78" s="2673"/>
      <c r="AM78" s="2674">
        <f t="shared" si="14"/>
        <v>0</v>
      </c>
    </row>
    <row r="79" spans="1:50" ht="33.75" customHeight="1">
      <c r="A79" s="2672">
        <v>65</v>
      </c>
      <c r="B79" s="2672">
        <v>14</v>
      </c>
      <c r="C79" s="3303" t="s">
        <v>1601</v>
      </c>
      <c r="D79" s="3189">
        <v>0</v>
      </c>
      <c r="E79" s="3189">
        <v>102</v>
      </c>
      <c r="F79" s="3189">
        <v>106</v>
      </c>
      <c r="G79" s="3189">
        <v>62</v>
      </c>
      <c r="H79" s="3189">
        <v>76</v>
      </c>
      <c r="I79" s="3193">
        <v>81</v>
      </c>
      <c r="J79" s="3193">
        <v>76</v>
      </c>
      <c r="K79" s="3193">
        <v>98</v>
      </c>
      <c r="L79" s="3193">
        <v>60</v>
      </c>
      <c r="M79" s="3189">
        <v>87</v>
      </c>
      <c r="N79" s="3193">
        <v>0</v>
      </c>
      <c r="O79" s="3193">
        <v>95</v>
      </c>
      <c r="P79" s="3193">
        <v>76</v>
      </c>
      <c r="Q79" s="3193">
        <v>86</v>
      </c>
      <c r="R79" s="3193">
        <v>75</v>
      </c>
      <c r="S79" s="3193">
        <v>0</v>
      </c>
      <c r="T79" s="3189">
        <v>89</v>
      </c>
      <c r="U79" s="3193">
        <v>84</v>
      </c>
      <c r="V79" s="3193">
        <v>0</v>
      </c>
      <c r="W79" s="3193">
        <v>0</v>
      </c>
      <c r="X79" s="3193">
        <v>70</v>
      </c>
      <c r="Y79" s="3193">
        <v>113</v>
      </c>
      <c r="Z79" s="3193">
        <v>90</v>
      </c>
      <c r="AA79" s="3194">
        <v>0</v>
      </c>
      <c r="AB79" s="3193">
        <v>83</v>
      </c>
      <c r="AC79" s="3193">
        <v>88</v>
      </c>
      <c r="AD79" s="3192">
        <v>65</v>
      </c>
      <c r="AE79" s="3192">
        <v>0</v>
      </c>
      <c r="AF79" s="3192">
        <v>79</v>
      </c>
      <c r="AG79" s="3192">
        <v>0</v>
      </c>
      <c r="AH79" s="3193">
        <v>0</v>
      </c>
      <c r="AI79" s="3189">
        <f t="shared" si="12"/>
        <v>1841</v>
      </c>
      <c r="AJ79" s="3190">
        <f>AI79*$AX$67/100</f>
        <v>868.98845394790897</v>
      </c>
      <c r="AK79" s="2673" t="s">
        <v>52</v>
      </c>
      <c r="AL79" s="2673"/>
      <c r="AM79" s="2674">
        <f t="shared" si="14"/>
        <v>0</v>
      </c>
    </row>
    <row r="80" spans="1:50" ht="24.75" customHeight="1">
      <c r="A80" s="2672">
        <v>66</v>
      </c>
      <c r="B80" s="2672">
        <v>15</v>
      </c>
      <c r="C80" s="3303" t="s">
        <v>1602</v>
      </c>
      <c r="D80" s="3190">
        <v>46</v>
      </c>
      <c r="E80" s="3190">
        <v>0</v>
      </c>
      <c r="F80" s="3190">
        <v>0</v>
      </c>
      <c r="G80" s="3190">
        <v>0</v>
      </c>
      <c r="H80" s="3190">
        <v>0</v>
      </c>
      <c r="I80" s="3195">
        <v>65</v>
      </c>
      <c r="J80" s="3195">
        <v>0</v>
      </c>
      <c r="K80" s="3195">
        <v>102</v>
      </c>
      <c r="L80" s="3195">
        <v>47</v>
      </c>
      <c r="M80" s="3190">
        <v>62</v>
      </c>
      <c r="N80" s="3195">
        <v>0</v>
      </c>
      <c r="O80" s="3195">
        <v>141</v>
      </c>
      <c r="P80" s="3195">
        <v>0</v>
      </c>
      <c r="Q80" s="3195">
        <v>0</v>
      </c>
      <c r="R80" s="3195">
        <v>30</v>
      </c>
      <c r="S80" s="3195">
        <v>66</v>
      </c>
      <c r="T80" s="3190">
        <v>0</v>
      </c>
      <c r="U80" s="3195">
        <v>0</v>
      </c>
      <c r="V80" s="3195">
        <v>44</v>
      </c>
      <c r="W80" s="3195">
        <v>80</v>
      </c>
      <c r="X80" s="3195">
        <v>35</v>
      </c>
      <c r="Y80" s="3195">
        <v>0</v>
      </c>
      <c r="Z80" s="3195">
        <v>0</v>
      </c>
      <c r="AA80" s="3196">
        <v>0</v>
      </c>
      <c r="AB80" s="3195">
        <v>0</v>
      </c>
      <c r="AC80" s="3195">
        <v>50</v>
      </c>
      <c r="AD80" s="3197">
        <v>45</v>
      </c>
      <c r="AE80" s="3197">
        <v>88</v>
      </c>
      <c r="AF80" s="3197">
        <v>60</v>
      </c>
      <c r="AG80" s="3197">
        <v>88</v>
      </c>
      <c r="AH80" s="3195">
        <v>0</v>
      </c>
      <c r="AI80" s="3189">
        <f t="shared" si="12"/>
        <v>1049</v>
      </c>
      <c r="AJ80" s="3190">
        <f t="shared" ref="AJ80:AJ81" si="15">AI80*$AX$67/100</f>
        <v>495.14877142387644</v>
      </c>
      <c r="AK80" s="2673" t="s">
        <v>52</v>
      </c>
      <c r="AL80" s="2673"/>
      <c r="AM80" s="2674">
        <f t="shared" si="14"/>
        <v>0</v>
      </c>
    </row>
    <row r="81" spans="1:42" ht="24.75" customHeight="1">
      <c r="A81" s="2672">
        <v>67</v>
      </c>
      <c r="B81" s="2672">
        <v>16</v>
      </c>
      <c r="C81" s="3303" t="s">
        <v>946</v>
      </c>
      <c r="D81" s="3190">
        <v>0</v>
      </c>
      <c r="E81" s="3190">
        <v>0</v>
      </c>
      <c r="F81" s="3190">
        <v>0</v>
      </c>
      <c r="G81" s="3190">
        <v>0</v>
      </c>
      <c r="H81" s="3190">
        <v>0</v>
      </c>
      <c r="I81" s="3195">
        <v>0</v>
      </c>
      <c r="J81" s="3195">
        <v>0</v>
      </c>
      <c r="K81" s="3195">
        <v>0</v>
      </c>
      <c r="L81" s="3195">
        <v>0</v>
      </c>
      <c r="M81" s="3190">
        <v>0</v>
      </c>
      <c r="N81" s="3195">
        <v>0</v>
      </c>
      <c r="O81" s="3195">
        <v>0</v>
      </c>
      <c r="P81" s="3195">
        <v>0</v>
      </c>
      <c r="Q81" s="3195">
        <v>0</v>
      </c>
      <c r="R81" s="3195">
        <v>28</v>
      </c>
      <c r="S81" s="3195">
        <v>0</v>
      </c>
      <c r="T81" s="3190">
        <v>0</v>
      </c>
      <c r="U81" s="3195">
        <v>0</v>
      </c>
      <c r="V81" s="3195">
        <v>0</v>
      </c>
      <c r="W81" s="3195">
        <v>0</v>
      </c>
      <c r="X81" s="3195">
        <v>0</v>
      </c>
      <c r="Y81" s="3195">
        <v>110</v>
      </c>
      <c r="Z81" s="3195">
        <v>0</v>
      </c>
      <c r="AA81" s="3196">
        <v>0</v>
      </c>
      <c r="AB81" s="3195">
        <v>0</v>
      </c>
      <c r="AC81" s="3195">
        <v>0</v>
      </c>
      <c r="AD81" s="3197">
        <v>115</v>
      </c>
      <c r="AE81" s="3197">
        <v>0</v>
      </c>
      <c r="AF81" s="3197">
        <v>0</v>
      </c>
      <c r="AG81" s="3197">
        <v>44</v>
      </c>
      <c r="AH81" s="3195">
        <v>0</v>
      </c>
      <c r="AI81" s="3189">
        <f t="shared" si="12"/>
        <v>297</v>
      </c>
      <c r="AJ81" s="3190">
        <f t="shared" si="15"/>
        <v>140.1898809465122</v>
      </c>
      <c r="AK81" s="2673" t="s">
        <v>92</v>
      </c>
      <c r="AL81" s="2673"/>
      <c r="AM81" s="2674"/>
    </row>
    <row r="82" spans="1:42" s="3200" customFormat="1" ht="34.5" customHeight="1">
      <c r="A82" s="3707" t="s">
        <v>807</v>
      </c>
      <c r="B82" s="3708"/>
      <c r="C82" s="3709"/>
      <c r="D82" s="3198">
        <f t="shared" ref="D82:AJ82" si="16">+D12+D49+D65</f>
        <v>1445</v>
      </c>
      <c r="E82" s="3198">
        <f t="shared" si="16"/>
        <v>3490</v>
      </c>
      <c r="F82" s="3198">
        <f t="shared" si="16"/>
        <v>5084</v>
      </c>
      <c r="G82" s="3198">
        <f t="shared" si="16"/>
        <v>6501</v>
      </c>
      <c r="H82" s="3198">
        <f t="shared" si="16"/>
        <v>4329</v>
      </c>
      <c r="I82" s="3304">
        <f t="shared" si="16"/>
        <v>6238</v>
      </c>
      <c r="J82" s="3198">
        <f t="shared" si="16"/>
        <v>5325</v>
      </c>
      <c r="K82" s="3198">
        <f t="shared" si="16"/>
        <v>6126</v>
      </c>
      <c r="L82" s="3198">
        <f t="shared" si="16"/>
        <v>5359</v>
      </c>
      <c r="M82" s="3304">
        <f t="shared" si="16"/>
        <v>5864</v>
      </c>
      <c r="N82" s="3198">
        <f t="shared" si="16"/>
        <v>5104</v>
      </c>
      <c r="O82" s="3198">
        <f t="shared" si="16"/>
        <v>5767</v>
      </c>
      <c r="P82" s="3304">
        <f t="shared" si="16"/>
        <v>4811</v>
      </c>
      <c r="Q82" s="3304">
        <f t="shared" si="16"/>
        <v>4927</v>
      </c>
      <c r="R82" s="3304">
        <f t="shared" si="16"/>
        <v>5090</v>
      </c>
      <c r="S82" s="3304">
        <f t="shared" si="16"/>
        <v>5032</v>
      </c>
      <c r="T82" s="3198">
        <f t="shared" si="16"/>
        <v>3740</v>
      </c>
      <c r="U82" s="3304">
        <f t="shared" si="16"/>
        <v>6633</v>
      </c>
      <c r="V82" s="3198">
        <f t="shared" si="16"/>
        <v>3775</v>
      </c>
      <c r="W82" s="3198">
        <f t="shared" si="16"/>
        <v>4588</v>
      </c>
      <c r="X82" s="3198">
        <f t="shared" si="16"/>
        <v>6045</v>
      </c>
      <c r="Y82" s="3304">
        <f t="shared" si="16"/>
        <v>4160</v>
      </c>
      <c r="Z82" s="3198">
        <f t="shared" si="16"/>
        <v>4144</v>
      </c>
      <c r="AA82" s="3304">
        <f t="shared" si="16"/>
        <v>4208</v>
      </c>
      <c r="AB82" s="3198">
        <f t="shared" si="16"/>
        <v>3945</v>
      </c>
      <c r="AC82" s="3304">
        <f t="shared" si="16"/>
        <v>5186</v>
      </c>
      <c r="AD82" s="3198">
        <f t="shared" si="16"/>
        <v>4665</v>
      </c>
      <c r="AE82" s="3198">
        <f t="shared" si="16"/>
        <v>4170</v>
      </c>
      <c r="AF82" s="3198">
        <f t="shared" si="16"/>
        <v>3003</v>
      </c>
      <c r="AG82" s="3304">
        <f t="shared" si="16"/>
        <v>4806</v>
      </c>
      <c r="AH82" s="3198">
        <f t="shared" si="16"/>
        <v>1969</v>
      </c>
      <c r="AI82" s="3198">
        <f t="shared" si="16"/>
        <v>145529</v>
      </c>
      <c r="AJ82" s="3198">
        <f t="shared" si="16"/>
        <v>63154.457999999999</v>
      </c>
      <c r="AK82" s="3199"/>
      <c r="AL82" s="3199"/>
    </row>
    <row r="83" spans="1:42">
      <c r="A83" s="2682"/>
      <c r="B83" s="2683"/>
      <c r="C83" s="2683"/>
      <c r="D83" s="2684"/>
      <c r="E83" s="2684"/>
      <c r="F83" s="2685"/>
      <c r="G83" s="2684"/>
      <c r="H83" s="2684"/>
      <c r="I83" s="2684"/>
      <c r="J83" s="2686"/>
      <c r="K83" s="2686"/>
      <c r="L83" s="2686"/>
      <c r="M83" s="2686"/>
      <c r="N83" s="2686"/>
      <c r="O83" s="2686"/>
      <c r="P83" s="2686"/>
      <c r="Q83" s="2686"/>
      <c r="R83" s="2686"/>
      <c r="S83" s="2686"/>
      <c r="T83" s="2686"/>
      <c r="U83" s="2686"/>
      <c r="V83" s="2686"/>
      <c r="W83" s="2686"/>
      <c r="X83" s="2686"/>
      <c r="Y83" s="2686"/>
      <c r="Z83" s="2686"/>
      <c r="AA83" s="2686"/>
      <c r="AB83" s="2686"/>
      <c r="AC83" s="2686"/>
      <c r="AK83" s="2687"/>
      <c r="AL83" s="2687"/>
    </row>
    <row r="84" spans="1:42" s="2664" customFormat="1" ht="24" customHeight="1">
      <c r="A84" s="3699" t="s">
        <v>1</v>
      </c>
      <c r="B84" s="3700"/>
      <c r="C84" s="3701"/>
      <c r="D84" s="3702" t="s">
        <v>544</v>
      </c>
      <c r="E84" s="3702"/>
      <c r="F84" s="3702"/>
      <c r="G84" s="3702" t="s">
        <v>1149</v>
      </c>
      <c r="H84" s="3702"/>
      <c r="I84" s="3702"/>
      <c r="J84" s="3702" t="s">
        <v>1150</v>
      </c>
      <c r="K84" s="3702"/>
      <c r="L84" s="3702"/>
      <c r="M84" s="3702"/>
      <c r="N84" s="3702"/>
      <c r="O84" s="3702"/>
      <c r="P84" s="3702" t="s">
        <v>1320</v>
      </c>
      <c r="Q84" s="3702"/>
      <c r="R84" s="3702"/>
      <c r="S84" s="3702"/>
      <c r="T84" s="3702"/>
      <c r="U84" s="3702"/>
      <c r="V84" s="3702"/>
      <c r="W84" s="3882" t="s">
        <v>1736</v>
      </c>
      <c r="X84" s="3883"/>
      <c r="Y84" s="3883"/>
      <c r="Z84" s="3883"/>
      <c r="AA84" s="3883"/>
      <c r="AB84" s="3882" t="s">
        <v>634</v>
      </c>
      <c r="AC84" s="3883"/>
      <c r="AD84" s="3883"/>
      <c r="AE84" s="3884"/>
      <c r="AF84" s="3435"/>
      <c r="AG84" s="2688"/>
      <c r="AI84" s="3201"/>
      <c r="AJ84" s="3184"/>
    </row>
    <row r="85" spans="1:42" ht="24" customHeight="1">
      <c r="A85" s="3694">
        <v>1</v>
      </c>
      <c r="B85" s="3695"/>
      <c r="C85" s="3696"/>
      <c r="D85" s="3697">
        <f>SUM(COUNTIF(AK13:AK81,"A"))</f>
        <v>33</v>
      </c>
      <c r="E85" s="3697"/>
      <c r="F85" s="3697"/>
      <c r="G85" s="3697" t="s">
        <v>52</v>
      </c>
      <c r="H85" s="3697"/>
      <c r="I85" s="3697"/>
      <c r="J85" s="3698">
        <f ca="1">SUMIF($AK$13:$AK$81,"A",$AI$13:$AI$80)</f>
        <v>77490</v>
      </c>
      <c r="K85" s="3698"/>
      <c r="L85" s="3698"/>
      <c r="M85" s="3698"/>
      <c r="N85" s="3698"/>
      <c r="O85" s="3698"/>
      <c r="P85" s="3698">
        <f ca="1">SUMIF($AK$13:$AK$81,"A",$AJ$13:$AJ$80)</f>
        <v>33784.446996580387</v>
      </c>
      <c r="Q85" s="3698"/>
      <c r="R85" s="3698"/>
      <c r="S85" s="3698"/>
      <c r="T85" s="3698"/>
      <c r="U85" s="3698"/>
      <c r="V85" s="3698"/>
      <c r="W85" s="3882">
        <f ca="1">P85/$P$89*100</f>
        <v>53.49495200573233</v>
      </c>
      <c r="X85" s="3883"/>
      <c r="Y85" s="3883"/>
      <c r="Z85" s="3883"/>
      <c r="AA85" s="3884"/>
      <c r="AB85" s="3882"/>
      <c r="AC85" s="3883"/>
      <c r="AD85" s="3883"/>
      <c r="AE85" s="3884"/>
    </row>
    <row r="86" spans="1:42" ht="24" customHeight="1">
      <c r="A86" s="3694">
        <v>2</v>
      </c>
      <c r="B86" s="3695"/>
      <c r="C86" s="3696"/>
      <c r="D86" s="3697">
        <f>SUM(COUNTIF(AK13:AK81,"B"))</f>
        <v>29</v>
      </c>
      <c r="E86" s="3697"/>
      <c r="F86" s="3697"/>
      <c r="G86" s="3697" t="s">
        <v>92</v>
      </c>
      <c r="H86" s="3697"/>
      <c r="I86" s="3697"/>
      <c r="J86" s="3698">
        <f ca="1">SUMIF($AK$13:$AK$81,"B",$AI$13:$AI$80)</f>
        <v>57853</v>
      </c>
      <c r="K86" s="3698"/>
      <c r="L86" s="3698"/>
      <c r="M86" s="3698"/>
      <c r="N86" s="3698"/>
      <c r="O86" s="3698"/>
      <c r="P86" s="3698">
        <f ca="1">SUMIF($AK$13:$AK$81,"B",$AJ$13:$AJ$80)</f>
        <v>25021.969510487423</v>
      </c>
      <c r="Q86" s="3698"/>
      <c r="R86" s="3698"/>
      <c r="S86" s="3698"/>
      <c r="T86" s="3698"/>
      <c r="U86" s="3698"/>
      <c r="V86" s="3698"/>
      <c r="W86" s="3882">
        <f t="shared" ref="W86:W87" ca="1" si="17">P86/$P$89*100</f>
        <v>39.620274328832686</v>
      </c>
      <c r="X86" s="3883"/>
      <c r="Y86" s="3883"/>
      <c r="Z86" s="3883"/>
      <c r="AA86" s="3884"/>
      <c r="AB86" s="3882"/>
      <c r="AC86" s="3883"/>
      <c r="AD86" s="3883"/>
      <c r="AE86" s="3884"/>
      <c r="AP86" s="3202">
        <f>97677*43.16</f>
        <v>4215739.3199999994</v>
      </c>
    </row>
    <row r="87" spans="1:42" ht="24" customHeight="1">
      <c r="A87" s="3694">
        <v>3</v>
      </c>
      <c r="B87" s="3695"/>
      <c r="C87" s="3696"/>
      <c r="D87" s="3697">
        <f>SUM(COUNTIF(AK13:AK81,"C"))</f>
        <v>5</v>
      </c>
      <c r="E87" s="3697"/>
      <c r="F87" s="3697"/>
      <c r="G87" s="3697" t="s">
        <v>53</v>
      </c>
      <c r="H87" s="3697"/>
      <c r="I87" s="3697"/>
      <c r="J87" s="3698">
        <f ca="1">SUMIF($AK$13:$AK$81,"C",$AI$13:$AI$80)</f>
        <v>10186</v>
      </c>
      <c r="K87" s="3698"/>
      <c r="L87" s="3698"/>
      <c r="M87" s="3698"/>
      <c r="N87" s="3698"/>
      <c r="O87" s="3698"/>
      <c r="P87" s="3698">
        <f ca="1">SUMIF($AK$13:$AK$81,"C",$AJ$13:$AJ$80)</f>
        <v>4348.0414929321987</v>
      </c>
      <c r="Q87" s="3698"/>
      <c r="R87" s="3698"/>
      <c r="S87" s="3698"/>
      <c r="T87" s="3698"/>
      <c r="U87" s="3698"/>
      <c r="V87" s="3698"/>
      <c r="W87" s="3882">
        <f t="shared" ca="1" si="17"/>
        <v>6.8847736654349845</v>
      </c>
      <c r="X87" s="3883"/>
      <c r="Y87" s="3883"/>
      <c r="Z87" s="3883"/>
      <c r="AA87" s="3884"/>
      <c r="AB87" s="3882"/>
      <c r="AC87" s="3883"/>
      <c r="AD87" s="3883"/>
      <c r="AE87" s="3884"/>
    </row>
    <row r="88" spans="1:42" ht="24" hidden="1" customHeight="1">
      <c r="A88" s="3694">
        <v>4</v>
      </c>
      <c r="B88" s="3695"/>
      <c r="C88" s="3696"/>
      <c r="D88" s="3697">
        <f>SUM(COUNTIF(AK13:AK75,"D"))</f>
        <v>0</v>
      </c>
      <c r="E88" s="3697"/>
      <c r="F88" s="3697"/>
      <c r="G88" s="3697" t="s">
        <v>93</v>
      </c>
      <c r="H88" s="3697"/>
      <c r="I88" s="3697"/>
      <c r="J88" s="3698">
        <f>SUMIF($AK$13:$AK$72,"D",$AI$13:$AI$72)</f>
        <v>0</v>
      </c>
      <c r="K88" s="3698"/>
      <c r="L88" s="3698"/>
      <c r="M88" s="3698"/>
      <c r="N88" s="3698"/>
      <c r="O88" s="3698"/>
      <c r="P88" s="3698">
        <f>SUMIF($AK$13:$AK$72,"D",$AJ$13:$AJ$72)</f>
        <v>0</v>
      </c>
      <c r="Q88" s="3698"/>
      <c r="R88" s="3698"/>
      <c r="S88" s="3698"/>
      <c r="T88" s="3698"/>
      <c r="U88" s="3698"/>
      <c r="V88" s="3698"/>
      <c r="W88" s="3882"/>
      <c r="X88" s="3883"/>
      <c r="Y88" s="3883"/>
      <c r="Z88" s="3883"/>
      <c r="AA88" s="3884"/>
      <c r="AB88" s="3882"/>
      <c r="AC88" s="3883"/>
      <c r="AD88" s="3883"/>
      <c r="AE88" s="3884"/>
    </row>
    <row r="89" spans="1:42" s="2671" customFormat="1" ht="24" customHeight="1">
      <c r="A89" s="3699" t="s">
        <v>187</v>
      </c>
      <c r="B89" s="3700"/>
      <c r="C89" s="3701"/>
      <c r="D89" s="3702">
        <f>SUM(D85:F88)</f>
        <v>67</v>
      </c>
      <c r="E89" s="3702"/>
      <c r="F89" s="3702"/>
      <c r="G89" s="3702"/>
      <c r="H89" s="3702"/>
      <c r="I89" s="3702"/>
      <c r="J89" s="3703">
        <f ca="1">SUM(J85:O88)</f>
        <v>145529</v>
      </c>
      <c r="K89" s="3703"/>
      <c r="L89" s="3703"/>
      <c r="M89" s="3703"/>
      <c r="N89" s="3703"/>
      <c r="O89" s="3703"/>
      <c r="P89" s="3703">
        <f ca="1">SUM(P85:V88)</f>
        <v>63154.458000000013</v>
      </c>
      <c r="Q89" s="3703"/>
      <c r="R89" s="3703"/>
      <c r="S89" s="3703"/>
      <c r="T89" s="3703"/>
      <c r="U89" s="3703"/>
      <c r="V89" s="3703"/>
      <c r="W89" s="3882">
        <v>100</v>
      </c>
      <c r="X89" s="3883"/>
      <c r="Y89" s="3883"/>
      <c r="Z89" s="3883"/>
      <c r="AA89" s="3884"/>
      <c r="AB89" s="3882"/>
      <c r="AC89" s="3883"/>
      <c r="AD89" s="3883"/>
      <c r="AE89" s="3884"/>
      <c r="AF89" s="2689"/>
      <c r="AG89" s="2689"/>
      <c r="AI89" s="3203"/>
      <c r="AJ89" s="3183"/>
    </row>
    <row r="90" spans="1:42" s="2691" customFormat="1" ht="19.5" customHeight="1">
      <c r="A90" s="2690"/>
      <c r="E90" s="3204"/>
      <c r="G90" s="3204"/>
      <c r="H90" s="3204"/>
      <c r="I90" s="3204"/>
      <c r="J90" s="3205"/>
      <c r="K90" s="2692"/>
      <c r="M90" s="2692"/>
      <c r="N90" s="2692"/>
      <c r="O90" s="2692"/>
      <c r="P90" s="2692"/>
      <c r="Q90" s="2692"/>
      <c r="R90" s="2692"/>
      <c r="S90" s="2693"/>
      <c r="T90" s="2693"/>
      <c r="U90" s="2693"/>
      <c r="V90" s="2693"/>
      <c r="W90" s="2693"/>
      <c r="X90" s="2693"/>
      <c r="Y90" s="2693"/>
      <c r="AA90" s="2693"/>
      <c r="AB90" s="3283"/>
      <c r="AC90" s="3283"/>
      <c r="AD90" s="3283"/>
      <c r="AE90" s="3691" t="s">
        <v>1770</v>
      </c>
      <c r="AF90" s="3691"/>
      <c r="AG90" s="3691"/>
      <c r="AH90" s="3691"/>
      <c r="AI90" s="3691"/>
      <c r="AJ90" s="3691"/>
      <c r="AK90" s="3691"/>
      <c r="AL90" s="3539"/>
      <c r="AM90" s="3283"/>
      <c r="AN90" s="3283"/>
    </row>
    <row r="91" spans="1:42" ht="28.5" customHeight="1">
      <c r="B91" s="2694"/>
      <c r="C91" s="2692" t="s">
        <v>46</v>
      </c>
      <c r="D91" s="2694"/>
      <c r="E91" s="3206"/>
      <c r="F91" s="3206"/>
      <c r="G91" s="3207"/>
      <c r="H91" s="3207"/>
      <c r="I91" s="3207"/>
      <c r="J91" s="2695"/>
      <c r="K91" s="2661"/>
      <c r="L91" s="2696"/>
      <c r="M91" s="2696"/>
      <c r="N91" s="2696"/>
      <c r="O91" s="3692" t="s">
        <v>1147</v>
      </c>
      <c r="P91" s="3692"/>
      <c r="Q91" s="3692"/>
      <c r="R91" s="3692"/>
      <c r="S91" s="3692"/>
      <c r="T91" s="3692"/>
      <c r="U91" s="3692"/>
      <c r="V91" s="3692"/>
      <c r="W91" s="2661"/>
      <c r="X91" s="2695"/>
      <c r="Y91" s="2697"/>
      <c r="Z91" s="2697"/>
      <c r="AA91" s="2697"/>
      <c r="AB91" s="2697"/>
      <c r="AC91" s="2661"/>
      <c r="AD91" s="2661"/>
      <c r="AE91" s="3692" t="s">
        <v>1107</v>
      </c>
      <c r="AF91" s="3692"/>
      <c r="AG91" s="3692"/>
      <c r="AH91" s="3692"/>
      <c r="AI91" s="3692"/>
      <c r="AJ91" s="3692"/>
      <c r="AK91" s="3692"/>
      <c r="AL91" s="3537"/>
    </row>
    <row r="97" spans="31:37">
      <c r="AE97" s="3693" t="s">
        <v>1013</v>
      </c>
      <c r="AF97" s="3693"/>
      <c r="AG97" s="3693"/>
      <c r="AH97" s="3693"/>
      <c r="AI97" s="3693"/>
      <c r="AJ97" s="3693"/>
      <c r="AK97" s="3693"/>
    </row>
  </sheetData>
  <mergeCells count="64">
    <mergeCell ref="AE97:AK97"/>
    <mergeCell ref="A8:AL8"/>
    <mergeCell ref="O91:V91"/>
    <mergeCell ref="AL10:AL12"/>
    <mergeCell ref="D10:AH10"/>
    <mergeCell ref="B65:C65"/>
    <mergeCell ref="B10:B11"/>
    <mergeCell ref="C10:C11"/>
    <mergeCell ref="B12:C12"/>
    <mergeCell ref="AE90:AK90"/>
    <mergeCell ref="J84:O84"/>
    <mergeCell ref="A10:A11"/>
    <mergeCell ref="B49:C49"/>
    <mergeCell ref="G87:I87"/>
    <mergeCell ref="G86:I86"/>
    <mergeCell ref="D85:F85"/>
    <mergeCell ref="A85:C85"/>
    <mergeCell ref="A84:C84"/>
    <mergeCell ref="D84:F84"/>
    <mergeCell ref="A1:AL1"/>
    <mergeCell ref="A2:AL2"/>
    <mergeCell ref="A3:AL3"/>
    <mergeCell ref="A5:N5"/>
    <mergeCell ref="A6:N6"/>
    <mergeCell ref="A82:C82"/>
    <mergeCell ref="AB85:AE85"/>
    <mergeCell ref="P88:V88"/>
    <mergeCell ref="AE91:AK91"/>
    <mergeCell ref="AI10:AI11"/>
    <mergeCell ref="AJ10:AJ11"/>
    <mergeCell ref="G85:I85"/>
    <mergeCell ref="G84:I84"/>
    <mergeCell ref="P89:V89"/>
    <mergeCell ref="P84:V84"/>
    <mergeCell ref="P85:V85"/>
    <mergeCell ref="AK10:AK11"/>
    <mergeCell ref="P86:V86"/>
    <mergeCell ref="P87:V87"/>
    <mergeCell ref="J85:O85"/>
    <mergeCell ref="W84:AA84"/>
    <mergeCell ref="AB84:AE84"/>
    <mergeCell ref="W85:AA85"/>
    <mergeCell ref="A89:C89"/>
    <mergeCell ref="D89:F89"/>
    <mergeCell ref="G89:I89"/>
    <mergeCell ref="J89:O89"/>
    <mergeCell ref="J86:O86"/>
    <mergeCell ref="J87:O87"/>
    <mergeCell ref="A88:C88"/>
    <mergeCell ref="D88:F88"/>
    <mergeCell ref="G88:I88"/>
    <mergeCell ref="J88:O88"/>
    <mergeCell ref="A87:C87"/>
    <mergeCell ref="A86:C86"/>
    <mergeCell ref="D87:F87"/>
    <mergeCell ref="D86:F86"/>
    <mergeCell ref="W89:AA89"/>
    <mergeCell ref="AB89:AE89"/>
    <mergeCell ref="W86:AA86"/>
    <mergeCell ref="AB86:AE86"/>
    <mergeCell ref="W87:AA87"/>
    <mergeCell ref="AB87:AE87"/>
    <mergeCell ref="W88:AA88"/>
    <mergeCell ref="AB88:AE88"/>
  </mergeCells>
  <printOptions horizontalCentered="1"/>
  <pageMargins left="0.19685039370078741" right="0.19685039370078741" top="0.43307086614173229" bottom="0.43307086614173229" header="0.31496062992125984" footer="0.31496062992125984"/>
  <pageSetup paperSize="9" scale="51" orientation="landscape" r:id="rId1"/>
  <colBreaks count="1" manualBreakCount="1">
    <brk id="38" max="1048575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24BE7A1E-AD97-4B01-9A12-477C94A081E2}">
            <xm:f>'\NHÂN 2024\Tháng 08\SL TỔ\[SL mủ Tổ 1 27-8.xlsx]axit đánh đông'!#REF!="x"</xm:f>
            <x14:dxf>
              <fill>
                <patternFill patternType="solid">
                  <bgColor rgb="FF00B050"/>
                </patternFill>
              </fill>
            </x14:dxf>
          </x14:cfRule>
          <xm:sqref>D13:H48 J13:K48</xm:sqref>
        </x14:conditionalFormatting>
        <x14:conditionalFormatting xmlns:xm="http://schemas.microsoft.com/office/excel/2006/main">
          <x14:cfRule type="expression" priority="4" id="{F84885B5-5590-4DC1-9E46-3B74B5B27152}">
            <xm:f>'\NHÂN 2024\Tháng 08\SL TỔ\[SL mủ Tổ 2 27-08.xlsx]axit đánh đông'!#REF!="x"</xm:f>
            <x14:dxf>
              <fill>
                <patternFill>
                  <bgColor rgb="FF00B050"/>
                </patternFill>
              </fill>
            </x14:dxf>
          </x14:cfRule>
          <xm:sqref>D50:K64</xm:sqref>
        </x14:conditionalFormatting>
        <x14:conditionalFormatting xmlns:xm="http://schemas.microsoft.com/office/excel/2006/main">
          <x14:cfRule type="expression" priority="3" id="{41513EBF-9822-42FD-88E9-62A1DC588AD3}">
            <xm:f>'\NHÂN 2024\Tháng 08\SL TỔ\[SL mủ Tổ 3 T8.xlsx]axit đánh đông'!#REF!="x"</xm:f>
            <x14:dxf>
              <fill>
                <patternFill>
                  <bgColor rgb="FF00B050"/>
                </patternFill>
              </fill>
            </x14:dxf>
          </x14:cfRule>
          <xm:sqref>D66:K77</xm:sqref>
        </x14:conditionalFormatting>
        <x14:conditionalFormatting xmlns:xm="http://schemas.microsoft.com/office/excel/2006/main">
          <x14:cfRule type="expression" priority="2" id="{E170958C-9F64-45FA-98AB-C8F21EC80B74}">
            <xm:f>'\Users\Administrator\Desktop\[SL mủ Tổ 2 30-08.xlsx]axit đánh đông'!#REF!="x"</xm:f>
            <x14:dxf>
              <fill>
                <patternFill>
                  <bgColor rgb="FF00B050"/>
                </patternFill>
              </fill>
            </x14:dxf>
          </x14:cfRule>
          <xm:sqref>AB50:AC64</xm:sqref>
        </x14:conditionalFormatting>
        <x14:conditionalFormatting xmlns:xm="http://schemas.microsoft.com/office/excel/2006/main">
          <x14:cfRule type="expression" priority="1" id="{E65F93A2-3A74-4AB9-982E-43BFC12AF853}">
            <xm:f>'\Users\Administrator\Desktop\[SL mủ Tổ 1  30-8.xlsx]axit đánh đông'!#REF!="x"</xm:f>
            <x14:dxf>
              <fill>
                <patternFill patternType="solid">
                  <bgColor rgb="FF00B050"/>
                </patternFill>
              </fill>
            </x14:dxf>
          </x14:cfRule>
          <xm:sqref>I13:I48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A95"/>
  <sheetViews>
    <sheetView zoomScale="70" zoomScaleNormal="70" workbookViewId="0">
      <pane ySplit="11" topLeftCell="A69" activePane="bottomLeft" state="frozen"/>
      <selection pane="bottomLeft" activeCell="W79" sqref="W79"/>
    </sheetView>
  </sheetViews>
  <sheetFormatPr defaultColWidth="9.375" defaultRowHeight="16.5"/>
  <cols>
    <col min="1" max="1" width="9.375" style="2173"/>
    <col min="2" max="2" width="7.875" style="156" customWidth="1"/>
    <col min="3" max="3" width="21.75" style="697" customWidth="1"/>
    <col min="4" max="4" width="8.375" style="831" hidden="1" customWidth="1"/>
    <col min="5" max="6" width="9.75" style="831" hidden="1" customWidth="1"/>
    <col min="7" max="7" width="11.75" style="156" hidden="1" customWidth="1"/>
    <col min="8" max="8" width="10.75" style="697" hidden="1" customWidth="1"/>
    <col min="9" max="9" width="11.875" style="836" hidden="1" customWidth="1"/>
    <col min="10" max="10" width="10.25" style="836" customWidth="1"/>
    <col min="11" max="11" width="11.125" style="836" hidden="1" customWidth="1"/>
    <col min="12" max="12" width="9.375" style="836" hidden="1" customWidth="1"/>
    <col min="13" max="13" width="11.875" style="836" hidden="1" customWidth="1"/>
    <col min="14" max="14" width="8.125" style="836" hidden="1" customWidth="1"/>
    <col min="15" max="15" width="9" style="836" hidden="1" customWidth="1"/>
    <col min="16" max="17" width="9.75" style="836" hidden="1" customWidth="1"/>
    <col min="18" max="18" width="14.375" style="843" customWidth="1"/>
    <col min="19" max="19" width="14.625" style="843" customWidth="1"/>
    <col min="20" max="20" width="2" style="838" hidden="1" customWidth="1"/>
    <col min="21" max="21" width="12.75" style="1577" customWidth="1"/>
    <col min="22" max="22" width="11.125" style="838" customWidth="1"/>
    <col min="23" max="26" width="9.375" style="838" customWidth="1"/>
    <col min="27" max="27" width="19.375" style="838" customWidth="1"/>
    <col min="28" max="28" width="16.375" style="697" customWidth="1"/>
    <col min="29" max="31" width="9.375" style="697"/>
    <col min="32" max="32" width="15.5" style="697" bestFit="1" customWidth="1"/>
    <col min="33" max="33" width="10.125" style="697" customWidth="1"/>
    <col min="34" max="34" width="15" style="697" customWidth="1"/>
    <col min="35" max="16384" width="9.375" style="697"/>
  </cols>
  <sheetData>
    <row r="1" spans="1:53">
      <c r="A1" s="2507">
        <v>1</v>
      </c>
      <c r="B1" s="156">
        <v>2</v>
      </c>
      <c r="C1" s="2507">
        <v>3</v>
      </c>
      <c r="D1" s="156">
        <v>4</v>
      </c>
      <c r="E1" s="2507">
        <v>5</v>
      </c>
      <c r="F1" s="156">
        <v>6</v>
      </c>
      <c r="G1" s="2507">
        <v>7</v>
      </c>
      <c r="H1" s="156">
        <v>8</v>
      </c>
      <c r="I1" s="2507">
        <v>9</v>
      </c>
      <c r="J1" s="156">
        <v>10</v>
      </c>
      <c r="K1" s="2507">
        <v>11</v>
      </c>
      <c r="L1" s="156">
        <v>12</v>
      </c>
      <c r="M1" s="2507">
        <v>13</v>
      </c>
      <c r="N1" s="156">
        <v>14</v>
      </c>
      <c r="O1" s="2507">
        <v>15</v>
      </c>
      <c r="P1" s="156">
        <v>16</v>
      </c>
      <c r="Q1" s="156"/>
      <c r="R1" s="2507">
        <v>17</v>
      </c>
    </row>
    <row r="2" spans="1:53" s="815" customFormat="1" ht="24.75" customHeight="1">
      <c r="A2" s="3666" t="s">
        <v>165</v>
      </c>
      <c r="B2" s="3666"/>
      <c r="C2" s="3666"/>
      <c r="D2" s="3666"/>
      <c r="E2" s="3666"/>
      <c r="F2" s="3666"/>
      <c r="G2" s="3666"/>
      <c r="H2" s="3666"/>
      <c r="I2" s="3666"/>
      <c r="J2" s="3666"/>
      <c r="K2" s="3666"/>
      <c r="L2" s="3666"/>
      <c r="M2" s="3666"/>
      <c r="N2" s="3666"/>
      <c r="O2" s="3666"/>
      <c r="P2" s="3666"/>
      <c r="Q2" s="3666"/>
      <c r="R2" s="3666"/>
      <c r="S2" s="3666"/>
      <c r="T2" s="3666"/>
      <c r="U2" s="3666"/>
      <c r="V2" s="3666"/>
      <c r="W2" s="3666"/>
      <c r="X2" s="3666"/>
      <c r="Y2" s="3666"/>
      <c r="Z2" s="3666"/>
      <c r="AA2" s="3666"/>
      <c r="AB2" s="3666"/>
    </row>
    <row r="3" spans="1:53" ht="21.75" customHeight="1">
      <c r="A3" s="3666" t="s">
        <v>171</v>
      </c>
      <c r="B3" s="3666"/>
      <c r="C3" s="3666"/>
      <c r="D3" s="3666"/>
      <c r="E3" s="3666"/>
      <c r="F3" s="3666"/>
      <c r="G3" s="3666"/>
      <c r="H3" s="3666"/>
      <c r="I3" s="3666"/>
      <c r="J3" s="3666"/>
      <c r="K3" s="3666"/>
      <c r="L3" s="3666"/>
      <c r="M3" s="3666"/>
      <c r="N3" s="3666"/>
      <c r="O3" s="3666"/>
      <c r="P3" s="3666"/>
      <c r="Q3" s="3666"/>
      <c r="R3" s="3666"/>
      <c r="S3" s="3666"/>
      <c r="T3" s="3666"/>
      <c r="U3" s="3666"/>
      <c r="V3" s="3666"/>
      <c r="W3" s="3666"/>
      <c r="X3" s="3666"/>
      <c r="Y3" s="3666"/>
      <c r="Z3" s="3666"/>
      <c r="AA3" s="3666"/>
      <c r="AB3" s="3666"/>
    </row>
    <row r="4" spans="1:53" ht="21.75" customHeight="1">
      <c r="C4" s="2435"/>
      <c r="D4" s="2435"/>
      <c r="E4" s="2435"/>
      <c r="F4" s="2435"/>
      <c r="G4" s="2435"/>
      <c r="H4" s="2435"/>
      <c r="I4" s="2435"/>
      <c r="J4" s="2435"/>
      <c r="K4" s="2435"/>
      <c r="L4" s="3799" t="s">
        <v>726</v>
      </c>
      <c r="M4" s="3799"/>
      <c r="N4" s="2435"/>
      <c r="O4" s="2435"/>
      <c r="P4" s="2435"/>
      <c r="Q4" s="2435"/>
      <c r="R4" s="2435"/>
      <c r="S4" s="2435"/>
      <c r="T4" s="2435"/>
      <c r="U4" s="2435"/>
      <c r="V4" s="2435"/>
      <c r="W4" s="2435"/>
      <c r="X4" s="2435"/>
      <c r="Y4" s="2435"/>
      <c r="Z4" s="2435"/>
      <c r="AA4" s="2435"/>
      <c r="AB4" s="2435"/>
      <c r="AC4" s="2435"/>
      <c r="AD4" s="2435"/>
      <c r="AE4" s="2435"/>
      <c r="AF4" s="2435"/>
      <c r="AG4" s="2435"/>
      <c r="AH4" s="2435"/>
      <c r="AI4" s="2435"/>
      <c r="AJ4" s="2435"/>
      <c r="AK4" s="2435"/>
      <c r="AL4" s="2435"/>
      <c r="AM4" s="2435"/>
      <c r="AN4" s="2435"/>
      <c r="AO4" s="2435"/>
      <c r="AP4" s="2435"/>
      <c r="AQ4" s="2435"/>
      <c r="AR4" s="2435"/>
      <c r="AS4" s="2435"/>
      <c r="AT4" s="2435"/>
      <c r="AU4" s="2435"/>
      <c r="AV4" s="2435"/>
      <c r="AW4" s="2435"/>
      <c r="AX4" s="2435"/>
      <c r="AY4" s="2435"/>
      <c r="AZ4" s="2435"/>
      <c r="BA4" s="2435"/>
    </row>
    <row r="5" spans="1:53" ht="21.75" customHeight="1">
      <c r="A5" s="1535" t="s">
        <v>574</v>
      </c>
      <c r="B5" s="2426"/>
      <c r="C5" s="2426"/>
      <c r="D5" s="2426"/>
      <c r="E5" s="2426"/>
      <c r="F5" s="2503"/>
      <c r="G5" s="2426"/>
      <c r="H5" s="2426"/>
      <c r="I5" s="2426"/>
      <c r="J5" s="2426"/>
      <c r="K5" s="2426"/>
      <c r="L5" s="156"/>
      <c r="M5" s="156"/>
      <c r="N5" s="156"/>
      <c r="O5" s="156"/>
      <c r="P5" s="156"/>
      <c r="Q5" s="156"/>
      <c r="R5" s="2426"/>
      <c r="S5" s="2426"/>
      <c r="T5" s="2426"/>
      <c r="U5" s="2426"/>
      <c r="V5" s="2426"/>
      <c r="W5" s="2426"/>
      <c r="X5" s="2426"/>
      <c r="Y5" s="2426"/>
      <c r="Z5" s="2426"/>
      <c r="AA5" s="2426"/>
      <c r="AB5" s="2426"/>
    </row>
    <row r="6" spans="1:53">
      <c r="A6" s="1536" t="s">
        <v>541</v>
      </c>
      <c r="B6" s="2426"/>
      <c r="C6" s="2426"/>
      <c r="D6" s="2426"/>
      <c r="E6" s="2426"/>
      <c r="F6" s="2503"/>
      <c r="G6" s="2426"/>
      <c r="H6" s="2426"/>
      <c r="I6" s="2426"/>
      <c r="J6" s="2426"/>
      <c r="K6" s="2426"/>
      <c r="L6" s="156"/>
      <c r="M6" s="156"/>
      <c r="N6" s="156"/>
      <c r="O6" s="156"/>
      <c r="P6" s="156"/>
      <c r="Q6" s="156"/>
      <c r="R6" s="2426"/>
      <c r="S6" s="2426"/>
      <c r="T6" s="2426"/>
      <c r="U6" s="2426"/>
      <c r="V6" s="2426"/>
      <c r="W6" s="2426"/>
      <c r="X6" s="2426"/>
      <c r="Y6" s="2426"/>
      <c r="Z6" s="2426"/>
      <c r="AA6" s="2426"/>
      <c r="AB6" s="2426"/>
    </row>
    <row r="7" spans="1:53">
      <c r="B7" s="816"/>
      <c r="C7" s="816"/>
      <c r="D7" s="817"/>
      <c r="E7" s="817"/>
      <c r="F7" s="817"/>
      <c r="G7" s="693"/>
      <c r="H7" s="157"/>
      <c r="I7" s="816"/>
      <c r="J7" s="816"/>
      <c r="K7" s="816"/>
      <c r="L7" s="816"/>
      <c r="M7" s="816"/>
      <c r="N7" s="816"/>
      <c r="O7" s="816"/>
      <c r="P7" s="816"/>
      <c r="Q7" s="816"/>
      <c r="R7" s="816"/>
      <c r="S7" s="816"/>
      <c r="T7" s="816"/>
      <c r="U7" s="1574"/>
      <c r="V7" s="816"/>
      <c r="W7" s="816"/>
      <c r="X7" s="816"/>
      <c r="Y7" s="816"/>
      <c r="Z7" s="816"/>
      <c r="AA7" s="816"/>
      <c r="AB7" s="816"/>
      <c r="AD7" s="697">
        <f>1/0.4</f>
        <v>2.5</v>
      </c>
    </row>
    <row r="8" spans="1:53" ht="2.25" customHeight="1">
      <c r="B8" s="3672" t="s">
        <v>1174</v>
      </c>
      <c r="C8" s="3672"/>
      <c r="D8" s="3672"/>
      <c r="E8" s="3672"/>
      <c r="F8" s="3672"/>
      <c r="G8" s="3672"/>
      <c r="H8" s="3672"/>
      <c r="I8" s="3672"/>
      <c r="J8" s="3672"/>
      <c r="K8" s="3672"/>
      <c r="L8" s="3672"/>
      <c r="M8" s="3672"/>
      <c r="N8" s="3672"/>
      <c r="O8" s="3672"/>
      <c r="P8" s="3672"/>
      <c r="Q8" s="3672"/>
      <c r="R8" s="3672"/>
      <c r="S8" s="3672"/>
      <c r="T8" s="3672"/>
      <c r="U8" s="3672"/>
      <c r="V8" s="3672"/>
      <c r="W8" s="3672"/>
      <c r="X8" s="3672"/>
      <c r="Y8" s="3672"/>
      <c r="Z8" s="3672"/>
      <c r="AA8" s="3672"/>
      <c r="AB8" s="3672"/>
    </row>
    <row r="9" spans="1:53" ht="24.75" customHeight="1">
      <c r="B9" s="1622"/>
      <c r="C9" s="693"/>
      <c r="D9" s="817"/>
      <c r="E9" s="817"/>
      <c r="F9" s="817"/>
      <c r="G9" s="693"/>
      <c r="H9" s="693"/>
      <c r="I9" s="818"/>
      <c r="J9" s="818"/>
      <c r="K9" s="818"/>
      <c r="L9" s="818"/>
      <c r="M9" s="818"/>
      <c r="N9" s="818"/>
      <c r="O9" s="818"/>
      <c r="P9" s="818"/>
      <c r="Q9" s="818"/>
      <c r="R9" s="819"/>
      <c r="S9" s="819"/>
      <c r="T9" s="819"/>
      <c r="U9" s="1575"/>
      <c r="V9" s="819"/>
      <c r="W9" s="819"/>
      <c r="X9" s="819"/>
      <c r="Y9" s="819"/>
      <c r="Z9" s="819"/>
      <c r="AA9" s="819"/>
      <c r="AB9" s="693"/>
    </row>
    <row r="10" spans="1:53" s="714" customFormat="1" ht="45" customHeight="1">
      <c r="A10" s="3893" t="s">
        <v>1</v>
      </c>
      <c r="B10" s="3819" t="s">
        <v>1</v>
      </c>
      <c r="C10" s="3905" t="s">
        <v>318</v>
      </c>
      <c r="D10" s="3896" t="s">
        <v>333</v>
      </c>
      <c r="E10" s="3896"/>
      <c r="F10" s="3896"/>
      <c r="G10" s="3896"/>
      <c r="H10" s="3896"/>
      <c r="I10" s="3896"/>
      <c r="J10" s="3896"/>
      <c r="K10" s="3896"/>
      <c r="L10" s="3896"/>
      <c r="M10" s="3896"/>
      <c r="N10" s="3896"/>
      <c r="O10" s="3896"/>
      <c r="P10" s="3896"/>
      <c r="Q10" s="3896"/>
      <c r="R10" s="3896"/>
      <c r="S10" s="3896"/>
      <c r="T10" s="3896"/>
      <c r="U10" s="3896"/>
      <c r="V10" s="3896"/>
      <c r="W10" s="3896"/>
      <c r="X10" s="3896"/>
      <c r="Y10" s="3896"/>
      <c r="Z10" s="3896"/>
      <c r="AA10" s="3896"/>
      <c r="AB10" s="2171"/>
      <c r="AC10" s="697"/>
      <c r="AD10" s="697"/>
      <c r="AE10" s="697"/>
      <c r="AF10" s="697"/>
      <c r="AG10" s="697"/>
      <c r="AH10" s="697"/>
      <c r="AI10" s="697"/>
      <c r="AJ10" s="697"/>
      <c r="AK10" s="697"/>
      <c r="AL10" s="697"/>
      <c r="AM10" s="697"/>
      <c r="AN10" s="697"/>
      <c r="AO10" s="697"/>
      <c r="AP10" s="697"/>
      <c r="AQ10" s="697"/>
      <c r="AR10" s="697"/>
      <c r="AS10" s="697"/>
      <c r="AT10" s="697"/>
      <c r="AU10" s="697"/>
      <c r="AV10" s="697"/>
      <c r="AW10" s="697"/>
      <c r="AX10" s="697"/>
      <c r="AY10" s="697"/>
      <c r="AZ10" s="697"/>
      <c r="BA10" s="697"/>
    </row>
    <row r="11" spans="1:53" s="1650" customFormat="1" ht="93.75" customHeight="1">
      <c r="A11" s="3894"/>
      <c r="B11" s="3820"/>
      <c r="C11" s="3906"/>
      <c r="D11" s="820"/>
      <c r="E11" s="2304" t="s">
        <v>1213</v>
      </c>
      <c r="F11" s="2505" t="s">
        <v>1063</v>
      </c>
      <c r="G11" s="2171" t="s">
        <v>1064</v>
      </c>
      <c r="H11" s="2171" t="s">
        <v>979</v>
      </c>
      <c r="I11" s="3412" t="s">
        <v>1735</v>
      </c>
      <c r="J11" s="821" t="s">
        <v>971</v>
      </c>
      <c r="K11" s="821" t="s">
        <v>1276</v>
      </c>
      <c r="L11" s="821" t="s">
        <v>1279</v>
      </c>
      <c r="M11" s="821" t="s">
        <v>1046</v>
      </c>
      <c r="N11" s="821" t="s">
        <v>972</v>
      </c>
      <c r="O11" s="822"/>
      <c r="P11" s="822"/>
      <c r="Q11" s="822" t="s">
        <v>1566</v>
      </c>
      <c r="R11" s="822" t="s">
        <v>47</v>
      </c>
      <c r="S11" s="822" t="s">
        <v>49</v>
      </c>
      <c r="T11" s="822" t="s">
        <v>660</v>
      </c>
      <c r="U11" s="1576" t="s">
        <v>48</v>
      </c>
      <c r="V11" s="823" t="s">
        <v>50</v>
      </c>
      <c r="W11" s="823" t="s">
        <v>1011</v>
      </c>
      <c r="X11" s="823" t="s">
        <v>973</v>
      </c>
      <c r="Y11" s="823" t="s">
        <v>974</v>
      </c>
      <c r="Z11" s="823" t="s">
        <v>808</v>
      </c>
      <c r="AA11" s="823" t="s">
        <v>54</v>
      </c>
      <c r="AB11" s="2171" t="s">
        <v>51</v>
      </c>
      <c r="AC11" s="714"/>
      <c r="AD11" s="714"/>
      <c r="AE11" s="714"/>
      <c r="AF11" s="714"/>
      <c r="AG11" s="714"/>
      <c r="AH11" s="714"/>
      <c r="AI11" s="714"/>
      <c r="AJ11" s="714"/>
      <c r="AK11" s="714"/>
      <c r="AL11" s="714"/>
      <c r="AM11" s="714"/>
      <c r="AN11" s="714"/>
      <c r="AO11" s="714"/>
      <c r="AP11" s="714"/>
      <c r="AQ11" s="714"/>
      <c r="AR11" s="714"/>
      <c r="AS11" s="714"/>
      <c r="AT11" s="714"/>
      <c r="AU11" s="714"/>
      <c r="AV11" s="714"/>
      <c r="AW11" s="714"/>
      <c r="AX11" s="714"/>
      <c r="AY11" s="714"/>
      <c r="AZ11" s="714"/>
      <c r="BA11" s="714"/>
    </row>
    <row r="12" spans="1:53" s="824" customFormat="1" ht="18" customHeight="1">
      <c r="A12" s="2286" t="s">
        <v>52</v>
      </c>
      <c r="B12" s="3900" t="s">
        <v>321</v>
      </c>
      <c r="C12" s="3901"/>
      <c r="D12" s="2255"/>
      <c r="E12" s="2257">
        <f t="shared" ref="E12:Z12" si="0">SUM(E13:E49)</f>
        <v>0</v>
      </c>
      <c r="F12" s="2257">
        <f t="shared" si="0"/>
        <v>0</v>
      </c>
      <c r="G12" s="2257">
        <f>SUM(G13:G49)</f>
        <v>0</v>
      </c>
      <c r="H12" s="2257">
        <f t="shared" si="0"/>
        <v>0</v>
      </c>
      <c r="I12" s="2257">
        <f t="shared" si="0"/>
        <v>0</v>
      </c>
      <c r="J12" s="2257">
        <f t="shared" si="0"/>
        <v>0</v>
      </c>
      <c r="K12" s="2257">
        <f t="shared" si="0"/>
        <v>0</v>
      </c>
      <c r="L12" s="2257">
        <f t="shared" si="0"/>
        <v>0</v>
      </c>
      <c r="M12" s="2257">
        <f t="shared" si="0"/>
        <v>0</v>
      </c>
      <c r="N12" s="2257">
        <f t="shared" si="0"/>
        <v>0</v>
      </c>
      <c r="O12" s="2257">
        <f t="shared" si="0"/>
        <v>0</v>
      </c>
      <c r="P12" s="2257">
        <f t="shared" si="0"/>
        <v>0</v>
      </c>
      <c r="Q12" s="2257">
        <f t="shared" si="0"/>
        <v>0</v>
      </c>
      <c r="R12" s="2257">
        <f>SUM(R13:R49)</f>
        <v>0</v>
      </c>
      <c r="S12" s="2257">
        <f t="shared" si="0"/>
        <v>84143</v>
      </c>
      <c r="T12" s="2257">
        <f t="shared" si="0"/>
        <v>0</v>
      </c>
      <c r="U12" s="2257">
        <f t="shared" si="0"/>
        <v>35751.783999999992</v>
      </c>
      <c r="V12" s="2257">
        <f t="shared" si="0"/>
        <v>696</v>
      </c>
      <c r="W12" s="2257">
        <f t="shared" si="0"/>
        <v>111</v>
      </c>
      <c r="X12" s="2257">
        <f t="shared" si="0"/>
        <v>130</v>
      </c>
      <c r="Y12" s="2257">
        <f t="shared" si="0"/>
        <v>22</v>
      </c>
      <c r="Z12" s="2257">
        <f t="shared" si="0"/>
        <v>0</v>
      </c>
      <c r="AA12" s="2258"/>
      <c r="AB12" s="2256"/>
      <c r="AC12" s="1650"/>
      <c r="AD12" s="1650"/>
      <c r="AE12" s="1650"/>
      <c r="AF12" s="1650"/>
      <c r="AG12" s="1650"/>
      <c r="AH12" s="1650"/>
      <c r="AI12" s="1650"/>
      <c r="AJ12" s="1650"/>
      <c r="AK12" s="1650"/>
      <c r="AL12" s="1650"/>
      <c r="AM12" s="1650"/>
      <c r="AN12" s="1650"/>
      <c r="AO12" s="1650"/>
      <c r="AP12" s="1650"/>
      <c r="AQ12" s="1650"/>
      <c r="AR12" s="1650"/>
      <c r="AS12" s="1650"/>
      <c r="AT12" s="1650"/>
      <c r="AU12" s="1650"/>
      <c r="AV12" s="1650"/>
      <c r="AW12" s="1650"/>
      <c r="AX12" s="1650"/>
      <c r="AY12" s="1650"/>
      <c r="AZ12" s="1650"/>
      <c r="BA12" s="1650"/>
    </row>
    <row r="13" spans="1:53" s="824" customFormat="1" ht="18" customHeight="1">
      <c r="A13" s="2287">
        <v>1</v>
      </c>
      <c r="B13" s="2252">
        <v>1</v>
      </c>
      <c r="C13" s="1616" t="str">
        <f>'Chấm công công nhân'!L13</f>
        <v>Vắt Đi</v>
      </c>
      <c r="D13" s="2259"/>
      <c r="E13" s="2260"/>
      <c r="F13" s="2260"/>
      <c r="G13" s="2260"/>
      <c r="H13" s="2260"/>
      <c r="I13" s="2261">
        <f>'kt1'!H14</f>
        <v>0</v>
      </c>
      <c r="J13" s="2305">
        <f>'xã cạo t1'!H14</f>
        <v>0</v>
      </c>
      <c r="K13" s="2582">
        <f>'mcm t1'!J14</f>
        <v>0</v>
      </c>
      <c r="L13" s="2305">
        <f>'gia cố mcm t1'!H14</f>
        <v>0</v>
      </c>
      <c r="M13" s="2305">
        <f>'mpc t1'!H14</f>
        <v>0</v>
      </c>
      <c r="N13" s="2262"/>
      <c r="O13" s="2262"/>
      <c r="P13" s="2262"/>
      <c r="Q13" s="2262"/>
      <c r="R13" s="2263">
        <f>SUM(D13:Q13)</f>
        <v>0</v>
      </c>
      <c r="S13" s="2264">
        <f>VLOOKUP(C13,Mủ!C13:AI48,33,0)</f>
        <v>3038</v>
      </c>
      <c r="T13" s="2265"/>
      <c r="U13" s="2264">
        <f>VLOOKUP(C13,Mủ!C13:AJ48,34,0)</f>
        <v>1290.825378130088</v>
      </c>
      <c r="V13" s="2267">
        <f>VLOOKUP(C13,'Chấm công công nhân'!L13:AR13,33,0)</f>
        <v>19</v>
      </c>
      <c r="W13" s="2267">
        <f>VLOOKUP(C13,'Chấm công công nhân'!L13:AS82,34,0)</f>
        <v>3</v>
      </c>
      <c r="X13" s="2267">
        <f>VLOOKUP(C13,'Chấm công công nhân'!L13:AT48,35,0)</f>
        <v>7</v>
      </c>
      <c r="Y13" s="2267">
        <f>VLOOKUP(C13,'Chấm công công nhân'!L13:AU82,36,0)</f>
        <v>1</v>
      </c>
      <c r="Z13" s="2267"/>
      <c r="AA13" s="2267" t="str">
        <f>VLOOKUP(C13,'Kỷ thuật'!C11:M11,11,0)</f>
        <v>A</v>
      </c>
      <c r="AB13" s="2268"/>
    </row>
    <row r="14" spans="1:53" s="824" customFormat="1" ht="18" customHeight="1">
      <c r="A14" s="2287">
        <v>2</v>
      </c>
      <c r="B14" s="2252">
        <v>2</v>
      </c>
      <c r="C14" s="1616" t="str">
        <f>'Chấm công công nhân'!L14</f>
        <v>T Ô Vên</v>
      </c>
      <c r="D14" s="2259"/>
      <c r="E14" s="2260"/>
      <c r="F14" s="2260"/>
      <c r="G14" s="2260"/>
      <c r="H14" s="2260"/>
      <c r="I14" s="2261">
        <f>'kt1'!H15</f>
        <v>0</v>
      </c>
      <c r="J14" s="2305">
        <f>'xã cạo t1'!H15</f>
        <v>0</v>
      </c>
      <c r="K14" s="2582">
        <f>'mcm t1'!J15</f>
        <v>0</v>
      </c>
      <c r="L14" s="2305">
        <f>'gia cố mcm t1'!H15</f>
        <v>0</v>
      </c>
      <c r="M14" s="2305">
        <f>'mpc t1'!H15</f>
        <v>0</v>
      </c>
      <c r="N14" s="2262"/>
      <c r="O14" s="2262"/>
      <c r="P14" s="2262"/>
      <c r="Q14" s="2262"/>
      <c r="R14" s="2263">
        <f t="shared" ref="R14:R49" si="1">SUM(D14:Q14)</f>
        <v>0</v>
      </c>
      <c r="S14" s="2264">
        <f>VLOOKUP(C14,Mủ!C14:AI49,33,0)</f>
        <v>2658</v>
      </c>
      <c r="T14" s="2265"/>
      <c r="U14" s="2264">
        <f>VLOOKUP(C14,Mủ!C14:AJ49,34,0)</f>
        <v>1129.3659825772793</v>
      </c>
      <c r="V14" s="2267">
        <f>VLOOKUP(C14,'Chấm công công nhân'!L14:AR14,33,0)</f>
        <v>20</v>
      </c>
      <c r="W14" s="2267">
        <f>VLOOKUP(C14,'Chấm công công nhân'!L14:AS83,34,0)</f>
        <v>2</v>
      </c>
      <c r="X14" s="2267">
        <f>VLOOKUP(C14,'Chấm công công nhân'!L14:AT49,35,0)</f>
        <v>7</v>
      </c>
      <c r="Y14" s="2267">
        <f>VLOOKUP(C14,'Chấm công công nhân'!L14:AU83,36,0)</f>
        <v>2</v>
      </c>
      <c r="Z14" s="2267"/>
      <c r="AA14" s="2267" t="str">
        <f>VLOOKUP(C14,'Kỷ thuật'!C12:M12,11,0)</f>
        <v>B</v>
      </c>
      <c r="AB14" s="2268"/>
    </row>
    <row r="15" spans="1:53" s="824" customFormat="1" ht="18" customHeight="1">
      <c r="A15" s="2287">
        <v>3</v>
      </c>
      <c r="B15" s="2252">
        <v>3</v>
      </c>
      <c r="C15" s="1616" t="str">
        <f>'Chấm công công nhân'!L15</f>
        <v>Nàng Túc</v>
      </c>
      <c r="D15" s="2259"/>
      <c r="E15" s="2260"/>
      <c r="F15" s="2260"/>
      <c r="G15" s="2260"/>
      <c r="H15" s="2260"/>
      <c r="I15" s="2261">
        <f>'kt1'!H16</f>
        <v>0</v>
      </c>
      <c r="J15" s="2305">
        <f>'xã cạo t1'!H16</f>
        <v>0</v>
      </c>
      <c r="K15" s="2582">
        <f>'mcm t1'!J16</f>
        <v>0</v>
      </c>
      <c r="L15" s="2305">
        <f>'gia cố mcm t1'!H16</f>
        <v>0</v>
      </c>
      <c r="M15" s="2305">
        <f>'mpc t1'!H16</f>
        <v>0</v>
      </c>
      <c r="N15" s="2262"/>
      <c r="O15" s="2262"/>
      <c r="P15" s="2262"/>
      <c r="Q15" s="2262"/>
      <c r="R15" s="2263">
        <f t="shared" si="1"/>
        <v>0</v>
      </c>
      <c r="S15" s="2264">
        <f>VLOOKUP(C15,Mủ!C15:AI50,33,0)</f>
        <v>2464</v>
      </c>
      <c r="T15" s="2265"/>
      <c r="U15" s="2264">
        <f>VLOOKUP(C15,Mủ!C15:AJ50,34,0)</f>
        <v>1046.9367122161084</v>
      </c>
      <c r="V15" s="2267">
        <f>VLOOKUP(C15,'Chấm công công nhân'!L15:AR15,33,0)</f>
        <v>20</v>
      </c>
      <c r="W15" s="2267">
        <f>VLOOKUP(C15,'Chấm công công nhân'!L15:AS84,34,0)</f>
        <v>2</v>
      </c>
      <c r="X15" s="2267">
        <f>VLOOKUP(C15,'Chấm công công nhân'!L15:AT50,35,0)</f>
        <v>7</v>
      </c>
      <c r="Y15" s="2267">
        <f>VLOOKUP(C15,'Chấm công công nhân'!L15:AU84,36,0)</f>
        <v>2</v>
      </c>
      <c r="Z15" s="2267"/>
      <c r="AA15" s="2267" t="str">
        <f>VLOOKUP(C15,'Kỷ thuật'!C13:M13,11,0)</f>
        <v>A</v>
      </c>
      <c r="AB15" s="2268"/>
    </row>
    <row r="16" spans="1:53" s="824" customFormat="1" ht="18" customHeight="1">
      <c r="A16" s="2287">
        <v>4</v>
      </c>
      <c r="B16" s="2252">
        <v>4</v>
      </c>
      <c r="C16" s="1616" t="str">
        <f>'Chấm công công nhân'!L16</f>
        <v>Thảo Say</v>
      </c>
      <c r="D16" s="2259"/>
      <c r="E16" s="2260"/>
      <c r="F16" s="2260"/>
      <c r="G16" s="2260"/>
      <c r="H16" s="2260"/>
      <c r="I16" s="2261">
        <f>'kt1'!H17</f>
        <v>0</v>
      </c>
      <c r="J16" s="2305">
        <f>'xã cạo t1'!H17</f>
        <v>0</v>
      </c>
      <c r="K16" s="2582">
        <f>'mcm t1'!J17</f>
        <v>0</v>
      </c>
      <c r="L16" s="2305">
        <f>'gia cố mcm t1'!H17</f>
        <v>0</v>
      </c>
      <c r="M16" s="2305">
        <f>'mpc t1'!H17</f>
        <v>0</v>
      </c>
      <c r="N16" s="2262"/>
      <c r="O16" s="2262"/>
      <c r="P16" s="2262"/>
      <c r="Q16" s="2262"/>
      <c r="R16" s="2263">
        <f t="shared" si="1"/>
        <v>0</v>
      </c>
      <c r="S16" s="2264">
        <f>VLOOKUP(C16,Mủ!C16:AI51,33,0)</f>
        <v>1481</v>
      </c>
      <c r="T16" s="2265"/>
      <c r="U16" s="2264">
        <f>VLOOKUP(C16,Mủ!C16:AJ51,34,0)</f>
        <v>629.26674950976314</v>
      </c>
      <c r="V16" s="2267">
        <f>VLOOKUP(C16,'Chấm công công nhân'!L16:AR16,33,0)</f>
        <v>12</v>
      </c>
      <c r="W16" s="2267">
        <f>VLOOKUP(C16,'Chấm công công nhân'!L16:AS85,34,0)</f>
        <v>2</v>
      </c>
      <c r="X16" s="2267">
        <f>VLOOKUP(C16,'Chấm công công nhân'!L16:AT51,35,0)</f>
        <v>2</v>
      </c>
      <c r="Y16" s="2267">
        <f>VLOOKUP(C16,'Chấm công công nhân'!L16:AU85,36,0)</f>
        <v>2</v>
      </c>
      <c r="Z16" s="2267"/>
      <c r="AA16" s="2267" t="str">
        <f>VLOOKUP(C16,'Kỷ thuật'!C14:M14,11,0)</f>
        <v>B</v>
      </c>
      <c r="AB16" s="2268"/>
      <c r="AC16" s="824">
        <f>1/0.33</f>
        <v>3.0303030303030303</v>
      </c>
    </row>
    <row r="17" spans="1:28" s="824" customFormat="1" ht="18" customHeight="1">
      <c r="A17" s="2287">
        <v>5</v>
      </c>
      <c r="B17" s="2252">
        <v>5</v>
      </c>
      <c r="C17" s="1616" t="str">
        <f>'Chấm công công nhân'!L17</f>
        <v>Thảo Pheng</v>
      </c>
      <c r="D17" s="2259"/>
      <c r="E17" s="2260"/>
      <c r="F17" s="2260"/>
      <c r="G17" s="2260"/>
      <c r="H17" s="2260"/>
      <c r="I17" s="2261">
        <f>'kt1'!H18</f>
        <v>0</v>
      </c>
      <c r="J17" s="2305">
        <f>'xã cạo t1'!H18</f>
        <v>0</v>
      </c>
      <c r="K17" s="2582">
        <f>'mcm t1'!J18</f>
        <v>0</v>
      </c>
      <c r="L17" s="2305">
        <f>'gia cố mcm t1'!H18</f>
        <v>0</v>
      </c>
      <c r="M17" s="2305">
        <f>'mpc t1'!H18</f>
        <v>0</v>
      </c>
      <c r="N17" s="2262"/>
      <c r="O17" s="2262"/>
      <c r="P17" s="2262"/>
      <c r="Q17" s="2262"/>
      <c r="R17" s="2263">
        <f t="shared" si="1"/>
        <v>0</v>
      </c>
      <c r="S17" s="2264">
        <f>VLOOKUP(C17,Mủ!C17:AI52,33,0)</f>
        <v>2232</v>
      </c>
      <c r="T17" s="2265"/>
      <c r="U17" s="2264">
        <f>VLOOKUP(C17,Mủ!C17:AJ52,34,0)</f>
        <v>948.36150229965654</v>
      </c>
      <c r="V17" s="2267">
        <f>VLOOKUP(C17,'Chấm công công nhân'!L17:AR17,33,0)</f>
        <v>12</v>
      </c>
      <c r="W17" s="2267">
        <f>VLOOKUP(C17,'Chấm công công nhân'!L17:AS86,34,0)</f>
        <v>2</v>
      </c>
      <c r="X17" s="2267">
        <f>VLOOKUP(C17,'Chấm công công nhân'!L17:AT52,35,0)</f>
        <v>12</v>
      </c>
      <c r="Y17" s="2267">
        <f>VLOOKUP(C17,'Chấm công công nhân'!L17:AU86,36,0)</f>
        <v>2</v>
      </c>
      <c r="Z17" s="2267"/>
      <c r="AA17" s="2267" t="str">
        <f>VLOOKUP(C17,'Kỷ thuật'!C15:M15,11,0)</f>
        <v>C</v>
      </c>
      <c r="AB17" s="2268"/>
    </row>
    <row r="18" spans="1:28" s="824" customFormat="1" ht="18" customHeight="1">
      <c r="A18" s="2287">
        <v>6</v>
      </c>
      <c r="B18" s="2252">
        <v>6</v>
      </c>
      <c r="C18" s="1616" t="str">
        <f>'Chấm công công nhân'!L18</f>
        <v>Nàng Chay</v>
      </c>
      <c r="D18" s="2259"/>
      <c r="E18" s="2260"/>
      <c r="F18" s="2260"/>
      <c r="G18" s="2260"/>
      <c r="H18" s="2260"/>
      <c r="I18" s="2261">
        <f>'kt1'!H19</f>
        <v>0</v>
      </c>
      <c r="J18" s="2305">
        <f>'xã cạo t1'!H19</f>
        <v>0</v>
      </c>
      <c r="K18" s="2582">
        <f>'mcm t1'!J19</f>
        <v>0</v>
      </c>
      <c r="L18" s="2305">
        <f>'gia cố mcm t1'!H19</f>
        <v>0</v>
      </c>
      <c r="M18" s="2305">
        <f>'mpc t1'!H19</f>
        <v>0</v>
      </c>
      <c r="N18" s="2262"/>
      <c r="O18" s="2262"/>
      <c r="P18" s="2262"/>
      <c r="Q18" s="2262"/>
      <c r="R18" s="2263">
        <f t="shared" si="1"/>
        <v>0</v>
      </c>
      <c r="S18" s="2264">
        <f>VLOOKUP(C18,Mủ!C18:AI53,33,0)</f>
        <v>2469</v>
      </c>
      <c r="T18" s="2265"/>
      <c r="U18" s="2264">
        <f>VLOOKUP(C18,Mủ!C18:AJ53,34,0)</f>
        <v>1049.0611779470664</v>
      </c>
      <c r="V18" s="2267">
        <f>VLOOKUP(C18,'Chấm công công nhân'!L18:AR18,33,0)</f>
        <v>13</v>
      </c>
      <c r="W18" s="2267">
        <f>VLOOKUP(C18,'Chấm công công nhân'!L18:AS87,34,0)</f>
        <v>2</v>
      </c>
      <c r="X18" s="2267">
        <f>VLOOKUP(C18,'Chấm công công nhân'!L18:AT53,35,0)</f>
        <v>14</v>
      </c>
      <c r="Y18" s="2267">
        <f>VLOOKUP(C18,'Chấm công công nhân'!L18:AU87,36,0)</f>
        <v>2</v>
      </c>
      <c r="Z18" s="2267"/>
      <c r="AA18" s="2267" t="str">
        <f>VLOOKUP(C18,'Kỷ thuật'!C16:M16,11,0)</f>
        <v>B</v>
      </c>
      <c r="AB18" s="2268"/>
    </row>
    <row r="19" spans="1:28" s="824" customFormat="1" ht="18" customHeight="1">
      <c r="A19" s="2287">
        <v>7</v>
      </c>
      <c r="B19" s="2252">
        <v>7</v>
      </c>
      <c r="C19" s="1616" t="str">
        <f>'Chấm công công nhân'!L19</f>
        <v>Nàng Hđao</v>
      </c>
      <c r="D19" s="2259"/>
      <c r="E19" s="2260"/>
      <c r="F19" s="2260"/>
      <c r="G19" s="2260"/>
      <c r="H19" s="2260"/>
      <c r="I19" s="2261">
        <f>'kt1'!H20</f>
        <v>0</v>
      </c>
      <c r="J19" s="2305">
        <f>'xã cạo t1'!H20</f>
        <v>0</v>
      </c>
      <c r="K19" s="2582">
        <f>'mcm t1'!J20</f>
        <v>0</v>
      </c>
      <c r="L19" s="2305">
        <f>'gia cố mcm t1'!H20</f>
        <v>0</v>
      </c>
      <c r="M19" s="2305">
        <f>'mpc t1'!H20</f>
        <v>0</v>
      </c>
      <c r="N19" s="2262"/>
      <c r="O19" s="2262"/>
      <c r="P19" s="2262"/>
      <c r="Q19" s="2262"/>
      <c r="R19" s="2263">
        <f t="shared" si="1"/>
        <v>0</v>
      </c>
      <c r="S19" s="2264">
        <f>VLOOKUP(C19,Mủ!C19:AI54,33,0)</f>
        <v>2109</v>
      </c>
      <c r="T19" s="2265"/>
      <c r="U19" s="2264">
        <f>VLOOKUP(C19,Mủ!C19:AJ54,34,0)</f>
        <v>896.09964531808942</v>
      </c>
      <c r="V19" s="2267">
        <f>VLOOKUP(C19,'Chấm công công nhân'!L19:AR19,33,0)</f>
        <v>10</v>
      </c>
      <c r="W19" s="2267">
        <f>VLOOKUP(C19,'Chấm công công nhân'!L19:AS88,34,0)</f>
        <v>3</v>
      </c>
      <c r="X19" s="2267">
        <f>VLOOKUP(C19,'Chấm công công nhân'!L19:AT54,35,0)</f>
        <v>11</v>
      </c>
      <c r="Y19" s="2267">
        <f>VLOOKUP(C19,'Chấm công công nhân'!L19:AU88,36,0)</f>
        <v>1</v>
      </c>
      <c r="Z19" s="2267"/>
      <c r="AA19" s="2267" t="str">
        <f>VLOOKUP(C19,'Kỷ thuật'!C17:M17,11,0)</f>
        <v>B</v>
      </c>
      <c r="AB19" s="2268"/>
    </row>
    <row r="20" spans="1:28" s="824" customFormat="1" ht="18" customHeight="1">
      <c r="A20" s="2287">
        <v>8</v>
      </c>
      <c r="B20" s="2252">
        <v>8</v>
      </c>
      <c r="C20" s="1616" t="str">
        <f>'Chấm công công nhân'!L20</f>
        <v xml:space="preserve">Thảo Ken </v>
      </c>
      <c r="D20" s="2259"/>
      <c r="E20" s="2260"/>
      <c r="F20" s="2260"/>
      <c r="G20" s="2260"/>
      <c r="H20" s="2260"/>
      <c r="I20" s="2261">
        <f>'kt1'!H21</f>
        <v>0</v>
      </c>
      <c r="J20" s="2305">
        <f>'xã cạo t1'!H21</f>
        <v>0</v>
      </c>
      <c r="K20" s="2582">
        <f>'mcm t1'!J21</f>
        <v>0</v>
      </c>
      <c r="L20" s="2305">
        <f>'gia cố mcm t1'!H21</f>
        <v>0</v>
      </c>
      <c r="M20" s="2305">
        <f>'mpc t1'!H21</f>
        <v>0</v>
      </c>
      <c r="N20" s="2262"/>
      <c r="O20" s="2262"/>
      <c r="P20" s="2262"/>
      <c r="Q20" s="2262"/>
      <c r="R20" s="2263">
        <f t="shared" si="1"/>
        <v>0</v>
      </c>
      <c r="S20" s="2264">
        <f>VLOOKUP(C20,Mủ!C20:AI55,33,0)</f>
        <v>2481</v>
      </c>
      <c r="T20" s="2265"/>
      <c r="U20" s="2264">
        <f>VLOOKUP(C20,Mủ!C20:AJ55,34,0)</f>
        <v>1054.1598957013657</v>
      </c>
      <c r="V20" s="2267">
        <f>VLOOKUP(C20,'Chấm công công nhân'!L20:AR20,33,0)</f>
        <v>13</v>
      </c>
      <c r="W20" s="2267">
        <f>VLOOKUP(C20,'Chấm công công nhân'!L20:AS89,34,0)</f>
        <v>3</v>
      </c>
      <c r="X20" s="2267">
        <f>VLOOKUP(C20,'Chấm công công nhân'!L20:AT55,35,0)</f>
        <v>14</v>
      </c>
      <c r="Y20" s="2267">
        <f>VLOOKUP(C20,'Chấm công công nhân'!L20:AU89,36,0)</f>
        <v>1</v>
      </c>
      <c r="Z20" s="2267"/>
      <c r="AA20" s="2267" t="str">
        <f>VLOOKUP(C20,'Kỷ thuật'!C18:M18,11,0)</f>
        <v>A</v>
      </c>
      <c r="AB20" s="2268"/>
    </row>
    <row r="21" spans="1:28" s="824" customFormat="1" ht="18" customHeight="1">
      <c r="A21" s="2287">
        <v>9</v>
      </c>
      <c r="B21" s="2252">
        <v>9</v>
      </c>
      <c r="C21" s="1616" t="str">
        <f>'Chấm công công nhân'!L21</f>
        <v>Thảo Cợt</v>
      </c>
      <c r="D21" s="2259"/>
      <c r="E21" s="2260"/>
      <c r="F21" s="2260"/>
      <c r="G21" s="2260"/>
      <c r="H21" s="2260"/>
      <c r="I21" s="2261">
        <f>'kt1'!H22</f>
        <v>0</v>
      </c>
      <c r="J21" s="2305">
        <f>'xã cạo t1'!H22</f>
        <v>0</v>
      </c>
      <c r="K21" s="2582">
        <f>'mcm t1'!J22</f>
        <v>0</v>
      </c>
      <c r="L21" s="2305">
        <f>'gia cố mcm t1'!H22</f>
        <v>0</v>
      </c>
      <c r="M21" s="2305">
        <f>'mpc t1'!H22</f>
        <v>0</v>
      </c>
      <c r="N21" s="2262"/>
      <c r="O21" s="2262"/>
      <c r="P21" s="2262"/>
      <c r="Q21" s="2262"/>
      <c r="R21" s="2263">
        <f t="shared" si="1"/>
        <v>0</v>
      </c>
      <c r="S21" s="2264">
        <f>VLOOKUP(C21,Mủ!C21:AI56,33,0)</f>
        <v>2188</v>
      </c>
      <c r="T21" s="2265"/>
      <c r="U21" s="2264">
        <f>VLOOKUP(C21,Mủ!C21:AJ56,34,0)</f>
        <v>929.66620386722605</v>
      </c>
      <c r="V21" s="2267">
        <f>VLOOKUP(C21,'Chấm công công nhân'!L21:AR21,33,0)</f>
        <v>8</v>
      </c>
      <c r="W21" s="2267">
        <f>VLOOKUP(C21,'Chấm công công nhân'!L21:AS90,34,0)</f>
        <v>2</v>
      </c>
      <c r="X21" s="2267">
        <f>VLOOKUP(C21,'Chấm công công nhân'!L21:AT56,35,0)</f>
        <v>12</v>
      </c>
      <c r="Y21" s="2267">
        <f>VLOOKUP(C21,'Chấm công công nhân'!L21:AU90,36,0)</f>
        <v>1</v>
      </c>
      <c r="Z21" s="2267"/>
      <c r="AA21" s="2267" t="str">
        <f>VLOOKUP(C21,'Kỷ thuật'!C19:M19,11,0)</f>
        <v>B</v>
      </c>
      <c r="AB21" s="2268"/>
    </row>
    <row r="22" spans="1:28" s="824" customFormat="1" ht="18" customHeight="1">
      <c r="A22" s="2287">
        <v>10</v>
      </c>
      <c r="B22" s="2252">
        <v>10</v>
      </c>
      <c r="C22" s="1616" t="str">
        <f>'Chấm công công nhân'!L22</f>
        <v>Thảo Mi</v>
      </c>
      <c r="D22" s="2259"/>
      <c r="E22" s="2260"/>
      <c r="F22" s="2260"/>
      <c r="G22" s="2260"/>
      <c r="H22" s="2260"/>
      <c r="I22" s="2261">
        <f>'kt1'!H23</f>
        <v>0</v>
      </c>
      <c r="J22" s="2305">
        <f>'xã cạo t1'!H23</f>
        <v>0</v>
      </c>
      <c r="K22" s="2582">
        <f>'mcm t1'!J23</f>
        <v>0</v>
      </c>
      <c r="L22" s="2305">
        <f>'gia cố mcm t1'!H23</f>
        <v>0</v>
      </c>
      <c r="M22" s="2305">
        <f>'mpc t1'!H23</f>
        <v>0</v>
      </c>
      <c r="N22" s="2262"/>
      <c r="O22" s="2262"/>
      <c r="P22" s="2262"/>
      <c r="Q22" s="2262"/>
      <c r="R22" s="2263">
        <f t="shared" si="1"/>
        <v>0</v>
      </c>
      <c r="S22" s="2264">
        <f>VLOOKUP(C22,Mủ!C22:AI57,33,0)</f>
        <v>1470</v>
      </c>
      <c r="T22" s="2265"/>
      <c r="U22" s="2264">
        <f>VLOOKUP(C22,Mủ!C22:AJ57,34,0)</f>
        <v>624.59292490165546</v>
      </c>
      <c r="V22" s="2267">
        <f>VLOOKUP(C22,'Chấm công công nhân'!L22:AR22,33,0)</f>
        <v>8</v>
      </c>
      <c r="W22" s="2267">
        <f>VLOOKUP(C22,'Chấm công công nhân'!L22:AS91,34,0)</f>
        <v>2</v>
      </c>
      <c r="X22" s="2267">
        <f>VLOOKUP(C22,'Chấm công công nhân'!L22:AT57,35,0)</f>
        <v>8</v>
      </c>
      <c r="Y22" s="2267">
        <f>VLOOKUP(C22,'Chấm công công nhân'!L22:AU91,36,0)</f>
        <v>1</v>
      </c>
      <c r="Z22" s="2267"/>
      <c r="AA22" s="2267" t="str">
        <f>VLOOKUP(C22,'Kỷ thuật'!C20:M20,11,0)</f>
        <v>B</v>
      </c>
      <c r="AB22" s="2268"/>
    </row>
    <row r="23" spans="1:28" s="824" customFormat="1" ht="18" customHeight="1">
      <c r="A23" s="2287">
        <v>11</v>
      </c>
      <c r="B23" s="2252">
        <v>11</v>
      </c>
      <c r="C23" s="1616" t="str">
        <f>'Chấm công công nhân'!L23</f>
        <v>Thảo Phét</v>
      </c>
      <c r="D23" s="2259"/>
      <c r="E23" s="2260"/>
      <c r="F23" s="2260"/>
      <c r="G23" s="2260"/>
      <c r="H23" s="2260"/>
      <c r="I23" s="2261">
        <f>'kt1'!H24</f>
        <v>0</v>
      </c>
      <c r="J23" s="2305">
        <f>'xã cạo t1'!H24</f>
        <v>0</v>
      </c>
      <c r="K23" s="2582">
        <f>'mcm t1'!J24</f>
        <v>0</v>
      </c>
      <c r="L23" s="2305">
        <f>'gia cố mcm t1'!H24</f>
        <v>0</v>
      </c>
      <c r="M23" s="2305">
        <f>'mpc t1'!H24</f>
        <v>0</v>
      </c>
      <c r="N23" s="2262"/>
      <c r="O23" s="2262"/>
      <c r="P23" s="2262"/>
      <c r="Q23" s="2262"/>
      <c r="R23" s="2263">
        <f t="shared" si="1"/>
        <v>0</v>
      </c>
      <c r="S23" s="2264">
        <f>VLOOKUP(C23,Mủ!C23:AI58,33,0)</f>
        <v>2210</v>
      </c>
      <c r="T23" s="2265"/>
      <c r="U23" s="2264">
        <f>VLOOKUP(C23,Mủ!C23:AJ58,34,0)</f>
        <v>939.0138530834414</v>
      </c>
      <c r="V23" s="2267">
        <f>VLOOKUP(C23,'Chấm công công nhân'!L23:AR23,33,0)</f>
        <v>25</v>
      </c>
      <c r="W23" s="2267">
        <f>VLOOKUP(C23,'Chấm công công nhân'!L23:AS92,34,0)</f>
        <v>3</v>
      </c>
      <c r="X23" s="2267">
        <f>VLOOKUP(C23,'Chấm công công nhân'!L23:AT58,35,0)</f>
        <v>0</v>
      </c>
      <c r="Y23" s="2267">
        <f>VLOOKUP(C23,'Chấm công công nhân'!L23:AU92,36,0)</f>
        <v>0</v>
      </c>
      <c r="Z23" s="2267"/>
      <c r="AA23" s="2267" t="str">
        <f>VLOOKUP(C23,'Kỷ thuật'!C21:M21,11,0)</f>
        <v>A</v>
      </c>
      <c r="AB23" s="2268"/>
    </row>
    <row r="24" spans="1:28" s="824" customFormat="1" ht="18" customHeight="1">
      <c r="A24" s="2287">
        <v>12</v>
      </c>
      <c r="B24" s="2252">
        <v>12</v>
      </c>
      <c r="C24" s="1616" t="str">
        <f>'Chấm công công nhân'!L24</f>
        <v>Thảo Hăm</v>
      </c>
      <c r="D24" s="2259"/>
      <c r="E24" s="2260"/>
      <c r="F24" s="2260"/>
      <c r="G24" s="2260"/>
      <c r="H24" s="2260"/>
      <c r="I24" s="2261">
        <f>'kt1'!H25</f>
        <v>0</v>
      </c>
      <c r="J24" s="2305">
        <f>'xã cạo t1'!H25</f>
        <v>0</v>
      </c>
      <c r="K24" s="2582">
        <f>'mcm t1'!J25</f>
        <v>0</v>
      </c>
      <c r="L24" s="2305">
        <f>'gia cố mcm t1'!H25</f>
        <v>0</v>
      </c>
      <c r="M24" s="2305">
        <f>'mpc t1'!H25</f>
        <v>0</v>
      </c>
      <c r="N24" s="2262"/>
      <c r="O24" s="2262"/>
      <c r="P24" s="2262"/>
      <c r="Q24" s="2262"/>
      <c r="R24" s="2263">
        <f t="shared" si="1"/>
        <v>0</v>
      </c>
      <c r="S24" s="2264">
        <f>VLOOKUP(C24,Mủ!C24:AI59,33,0)</f>
        <v>2555</v>
      </c>
      <c r="T24" s="2265"/>
      <c r="U24" s="2264">
        <f>VLOOKUP(C24,Mủ!C24:AJ59,34,0)</f>
        <v>1085.6019885195442</v>
      </c>
      <c r="V24" s="2267">
        <f>VLOOKUP(C24,'Chấm công công nhân'!L24:AR24,33,0)</f>
        <v>24</v>
      </c>
      <c r="W24" s="2267">
        <f>VLOOKUP(C24,'Chấm công công nhân'!L24:AS93,34,0)</f>
        <v>4</v>
      </c>
      <c r="X24" s="2267">
        <f>VLOOKUP(C24,'Chấm công công nhân'!L24:AT59,35,0)</f>
        <v>0</v>
      </c>
      <c r="Y24" s="2267">
        <f>VLOOKUP(C24,'Chấm công công nhân'!L24:AU93,36,0)</f>
        <v>0</v>
      </c>
      <c r="Z24" s="2267"/>
      <c r="AA24" s="2267" t="str">
        <f>VLOOKUP(C24,'Kỷ thuật'!C22:M22,11,0)</f>
        <v>A</v>
      </c>
      <c r="AB24" s="2268"/>
    </row>
    <row r="25" spans="1:28" s="824" customFormat="1" ht="18" customHeight="1">
      <c r="A25" s="2287">
        <v>13</v>
      </c>
      <c r="B25" s="2252">
        <v>13</v>
      </c>
      <c r="C25" s="1616" t="str">
        <f>'Chấm công công nhân'!L25</f>
        <v>Nang Lon</v>
      </c>
      <c r="D25" s="2259"/>
      <c r="E25" s="2260"/>
      <c r="F25" s="2260"/>
      <c r="G25" s="2260"/>
      <c r="H25" s="2260"/>
      <c r="I25" s="2261">
        <f>'kt1'!H26</f>
        <v>0</v>
      </c>
      <c r="J25" s="2305">
        <f>'xã cạo t1'!H26</f>
        <v>0</v>
      </c>
      <c r="K25" s="2582">
        <f>'mcm t1'!J26</f>
        <v>0</v>
      </c>
      <c r="L25" s="2305">
        <f>'gia cố mcm t1'!H26</f>
        <v>0</v>
      </c>
      <c r="M25" s="2305">
        <f>'mpc t1'!H26</f>
        <v>0</v>
      </c>
      <c r="N25" s="2262"/>
      <c r="O25" s="2262"/>
      <c r="P25" s="2262"/>
      <c r="Q25" s="2262"/>
      <c r="R25" s="2263">
        <f t="shared" si="1"/>
        <v>0</v>
      </c>
      <c r="S25" s="2264">
        <f>VLOOKUP(C25,Mủ!C25:AI60,33,0)</f>
        <v>2558</v>
      </c>
      <c r="T25" s="2265"/>
      <c r="U25" s="2264">
        <f>VLOOKUP(C25,Mủ!C25:AJ60,34,0)</f>
        <v>1086.876667958119</v>
      </c>
      <c r="V25" s="2267">
        <f>VLOOKUP(C25,'Chấm công công nhân'!L25:AR25,33,0)</f>
        <v>25</v>
      </c>
      <c r="W25" s="2267">
        <f>VLOOKUP(C25,'Chấm công công nhân'!L25:AS94,34,0)</f>
        <v>4</v>
      </c>
      <c r="X25" s="2267">
        <f>VLOOKUP(C25,'Chấm công công nhân'!L25:AT60,35,0)</f>
        <v>0</v>
      </c>
      <c r="Y25" s="2267">
        <f>VLOOKUP(C25,'Chấm công công nhân'!L25:AU94,36,0)</f>
        <v>0</v>
      </c>
      <c r="Z25" s="2267"/>
      <c r="AA25" s="2267" t="str">
        <f>VLOOKUP(C25,'Kỷ thuật'!C23:M23,11,0)</f>
        <v>A</v>
      </c>
      <c r="AB25" s="2268"/>
    </row>
    <row r="26" spans="1:28" s="824" customFormat="1" ht="18" customHeight="1">
      <c r="A26" s="2287">
        <v>14</v>
      </c>
      <c r="B26" s="2252">
        <v>14</v>
      </c>
      <c r="C26" s="1616" t="str">
        <f>'Chấm công công nhân'!L26</f>
        <v>Thảo Phết</v>
      </c>
      <c r="D26" s="2259"/>
      <c r="E26" s="2260"/>
      <c r="F26" s="2260"/>
      <c r="G26" s="2260"/>
      <c r="H26" s="2260"/>
      <c r="I26" s="2261">
        <f>'kt1'!H27</f>
        <v>0</v>
      </c>
      <c r="J26" s="2305">
        <f>'xã cạo t1'!H27</f>
        <v>0</v>
      </c>
      <c r="K26" s="2582">
        <f>'mcm t1'!J27</f>
        <v>0</v>
      </c>
      <c r="L26" s="2305">
        <f>'gia cố mcm t1'!H27</f>
        <v>0</v>
      </c>
      <c r="M26" s="2305">
        <f>'mpc t1'!H27</f>
        <v>0</v>
      </c>
      <c r="N26" s="2262"/>
      <c r="O26" s="2262"/>
      <c r="P26" s="2262"/>
      <c r="Q26" s="2262"/>
      <c r="R26" s="2263">
        <f t="shared" si="1"/>
        <v>0</v>
      </c>
      <c r="S26" s="2264">
        <f>VLOOKUP(C26,Mủ!C26:AI61,33,0)</f>
        <v>2451</v>
      </c>
      <c r="T26" s="2265"/>
      <c r="U26" s="2264">
        <f>VLOOKUP(C26,Mủ!C26:AJ61,34,0)</f>
        <v>1041.4131013156175</v>
      </c>
      <c r="V26" s="2267">
        <f>VLOOKUP(C26,'Chấm công công nhân'!L26:AR26,33,0)</f>
        <v>20</v>
      </c>
      <c r="W26" s="2267">
        <f>VLOOKUP(C26,'Chấm công công nhân'!L26:AS95,34,0)</f>
        <v>3</v>
      </c>
      <c r="X26" s="2267">
        <f>VLOOKUP(C26,'Chấm công công nhân'!L26:AT61,35,0)</f>
        <v>0</v>
      </c>
      <c r="Y26" s="2267">
        <f>VLOOKUP(C26,'Chấm công công nhân'!L26:AU95,36,0)</f>
        <v>0</v>
      </c>
      <c r="Z26" s="2267"/>
      <c r="AA26" s="2267" t="str">
        <f>VLOOKUP(C26,'Kỷ thuật'!C24:M24,11,0)</f>
        <v>B</v>
      </c>
      <c r="AB26" s="2268"/>
    </row>
    <row r="27" spans="1:28" s="824" customFormat="1" ht="18" customHeight="1">
      <c r="A27" s="2287">
        <v>15</v>
      </c>
      <c r="B27" s="2252">
        <v>15</v>
      </c>
      <c r="C27" s="1616" t="str">
        <f>'Chấm công công nhân'!L27</f>
        <v>Vĩ Lay</v>
      </c>
      <c r="D27" s="2259"/>
      <c r="E27" s="2260"/>
      <c r="F27" s="2260"/>
      <c r="G27" s="2260"/>
      <c r="H27" s="2260"/>
      <c r="I27" s="2261">
        <f>'kt1'!H28</f>
        <v>0</v>
      </c>
      <c r="J27" s="2305">
        <f>'xã cạo t1'!H28</f>
        <v>0</v>
      </c>
      <c r="K27" s="2582">
        <f>'mcm t1'!J28</f>
        <v>0</v>
      </c>
      <c r="L27" s="2305">
        <f>'gia cố mcm t1'!H28</f>
        <v>0</v>
      </c>
      <c r="M27" s="2305">
        <f>'mpc t1'!H28</f>
        <v>0</v>
      </c>
      <c r="N27" s="2262"/>
      <c r="O27" s="2262"/>
      <c r="P27" s="2262"/>
      <c r="Q27" s="2262"/>
      <c r="R27" s="2263">
        <f t="shared" si="1"/>
        <v>0</v>
      </c>
      <c r="S27" s="2264">
        <f>VLOOKUP(C27,Mủ!C27:AI62,33,0)</f>
        <v>3176</v>
      </c>
      <c r="T27" s="2265"/>
      <c r="U27" s="2264">
        <f>VLOOKUP(C27,Mủ!C27:AJ62,34,0)</f>
        <v>1349.4606323045291</v>
      </c>
      <c r="V27" s="2267">
        <f>VLOOKUP(C27,'Chấm công công nhân'!L27:AR27,33,0)</f>
        <v>27</v>
      </c>
      <c r="W27" s="2267">
        <f>VLOOKUP(C27,'Chấm công công nhân'!L27:AS96,34,0)</f>
        <v>4</v>
      </c>
      <c r="X27" s="2267">
        <f>VLOOKUP(C27,'Chấm công công nhân'!L27:AT62,35,0)</f>
        <v>0</v>
      </c>
      <c r="Y27" s="2267">
        <f>VLOOKUP(C27,'Chấm công công nhân'!L27:AU96,36,0)</f>
        <v>0</v>
      </c>
      <c r="Z27" s="2267"/>
      <c r="AA27" s="2267" t="str">
        <f>VLOOKUP(C27,'Kỷ thuật'!C25:M25,11,0)</f>
        <v>A</v>
      </c>
      <c r="AB27" s="2268"/>
    </row>
    <row r="28" spans="1:28" s="824" customFormat="1" ht="18" customHeight="1">
      <c r="A28" s="2287">
        <v>16</v>
      </c>
      <c r="B28" s="2252">
        <v>16</v>
      </c>
      <c r="C28" s="1616" t="str">
        <f>'Chấm công công nhân'!L28</f>
        <v>Pha Xúc</v>
      </c>
      <c r="D28" s="2259"/>
      <c r="E28" s="2260"/>
      <c r="F28" s="2260"/>
      <c r="G28" s="2260"/>
      <c r="H28" s="2260"/>
      <c r="I28" s="2261">
        <f>'kt1'!H29</f>
        <v>0</v>
      </c>
      <c r="J28" s="2305">
        <f>'xã cạo t1'!H29</f>
        <v>0</v>
      </c>
      <c r="K28" s="2582">
        <f>'mcm t1'!J29</f>
        <v>0</v>
      </c>
      <c r="L28" s="2305">
        <f>'gia cố mcm t1'!H29</f>
        <v>0</v>
      </c>
      <c r="M28" s="2305">
        <f>'mpc t1'!H29</f>
        <v>0</v>
      </c>
      <c r="N28" s="2262"/>
      <c r="O28" s="2262"/>
      <c r="P28" s="2262"/>
      <c r="Q28" s="2262"/>
      <c r="R28" s="2263">
        <f t="shared" si="1"/>
        <v>0</v>
      </c>
      <c r="S28" s="2264">
        <f>VLOOKUP(C28,Mủ!C28:AI63,33,0)</f>
        <v>2308</v>
      </c>
      <c r="T28" s="2265"/>
      <c r="U28" s="2264">
        <f>VLOOKUP(C28,Mủ!C28:AJ63,34,0)</f>
        <v>980.65338141021823</v>
      </c>
      <c r="V28" s="2267">
        <f>VLOOKUP(C28,'Chấm công công nhân'!L28:AR28,33,0)</f>
        <v>26</v>
      </c>
      <c r="W28" s="2267">
        <f>VLOOKUP(C28,'Chấm công công nhân'!L28:AS97,34,0)</f>
        <v>3</v>
      </c>
      <c r="X28" s="2267">
        <f>VLOOKUP(C28,'Chấm công công nhân'!L28:AT63,35,0)</f>
        <v>0</v>
      </c>
      <c r="Y28" s="2267">
        <f>VLOOKUP(C28,'Chấm công công nhân'!L28:AU97,36,0)</f>
        <v>0</v>
      </c>
      <c r="Z28" s="2267"/>
      <c r="AA28" s="2267" t="str">
        <f>VLOOKUP(C28,'Kỷ thuật'!C26:M26,11,0)</f>
        <v>A</v>
      </c>
      <c r="AB28" s="2268"/>
    </row>
    <row r="29" spans="1:28" s="824" customFormat="1" ht="18" customHeight="1">
      <c r="A29" s="2287">
        <v>17</v>
      </c>
      <c r="B29" s="2252">
        <v>17</v>
      </c>
      <c r="C29" s="1616" t="str">
        <f>'Chấm công công nhân'!L29</f>
        <v>Nàng Đao</v>
      </c>
      <c r="D29" s="2259"/>
      <c r="E29" s="2260"/>
      <c r="F29" s="2260"/>
      <c r="G29" s="2260"/>
      <c r="H29" s="2260"/>
      <c r="I29" s="2261">
        <f>'kt1'!H30</f>
        <v>0</v>
      </c>
      <c r="J29" s="2305">
        <f>'xã cạo t1'!H30</f>
        <v>0</v>
      </c>
      <c r="K29" s="2582">
        <f>'mcm t1'!J30</f>
        <v>0</v>
      </c>
      <c r="L29" s="2305">
        <f>'gia cố mcm t1'!H30</f>
        <v>0</v>
      </c>
      <c r="M29" s="2305">
        <f>'mpc t1'!H30</f>
        <v>0</v>
      </c>
      <c r="N29" s="2262"/>
      <c r="O29" s="2262"/>
      <c r="P29" s="2262"/>
      <c r="Q29" s="2262"/>
      <c r="R29" s="2263">
        <f t="shared" si="1"/>
        <v>0</v>
      </c>
      <c r="S29" s="2264">
        <f>VLOOKUP(C29,Mủ!C29:AI64,33,0)</f>
        <v>2310</v>
      </c>
      <c r="T29" s="2265"/>
      <c r="U29" s="2264">
        <f>VLOOKUP(C29,Mủ!C29:AJ64,34,0)</f>
        <v>981.50316770260144</v>
      </c>
      <c r="V29" s="2267">
        <f>VLOOKUP(C29,'Chấm công công nhân'!L29:AR29,33,0)</f>
        <v>26</v>
      </c>
      <c r="W29" s="2267">
        <f>VLOOKUP(C29,'Chấm công công nhân'!L29:AS98,34,0)</f>
        <v>4</v>
      </c>
      <c r="X29" s="2267">
        <f>VLOOKUP(C29,'Chấm công công nhân'!L29:AT64,35,0)</f>
        <v>0</v>
      </c>
      <c r="Y29" s="2267">
        <f>VLOOKUP(C29,'Chấm công công nhân'!L29:AU98,36,0)</f>
        <v>0</v>
      </c>
      <c r="Z29" s="2267"/>
      <c r="AA29" s="2267" t="str">
        <f>VLOOKUP(C29,'Kỷ thuật'!C27:M27,11,0)</f>
        <v>B</v>
      </c>
      <c r="AB29" s="2268"/>
    </row>
    <row r="30" spans="1:28" s="824" customFormat="1" ht="18" customHeight="1">
      <c r="A30" s="2287">
        <v>18</v>
      </c>
      <c r="B30" s="2252">
        <v>18</v>
      </c>
      <c r="C30" s="1616" t="str">
        <f>'Chấm công công nhân'!L30</f>
        <v>Nàng Kiên</v>
      </c>
      <c r="D30" s="2259"/>
      <c r="E30" s="2260"/>
      <c r="F30" s="2260"/>
      <c r="G30" s="2260"/>
      <c r="H30" s="2260"/>
      <c r="I30" s="2261">
        <f>'kt1'!H31</f>
        <v>0</v>
      </c>
      <c r="J30" s="2305">
        <f>'xã cạo t1'!H31</f>
        <v>0</v>
      </c>
      <c r="K30" s="2582">
        <f>'mcm t1'!J31</f>
        <v>0</v>
      </c>
      <c r="L30" s="2305">
        <f>'gia cố mcm t1'!H31</f>
        <v>0</v>
      </c>
      <c r="M30" s="2305">
        <f>'mpc t1'!H31</f>
        <v>0</v>
      </c>
      <c r="N30" s="2262"/>
      <c r="O30" s="2262"/>
      <c r="P30" s="2262"/>
      <c r="Q30" s="2262"/>
      <c r="R30" s="2263">
        <f t="shared" si="1"/>
        <v>0</v>
      </c>
      <c r="S30" s="2264">
        <f>VLOOKUP(C30,Mủ!C30:AI65,33,0)</f>
        <v>2129</v>
      </c>
      <c r="T30" s="2265"/>
      <c r="U30" s="2264">
        <f>VLOOKUP(C30,Mủ!C30:AJ64,34,0)</f>
        <v>904.59750824192145</v>
      </c>
      <c r="V30" s="2267">
        <f>VLOOKUP(C30,'Chấm công công nhân'!L30:AR30,33,0)</f>
        <v>25</v>
      </c>
      <c r="W30" s="2267">
        <f>VLOOKUP(C30,'Chấm công công nhân'!L30:AS99,34,0)</f>
        <v>4</v>
      </c>
      <c r="X30" s="2267">
        <f>VLOOKUP(C30,'Chấm công công nhân'!L30:AT65,35,0)</f>
        <v>0</v>
      </c>
      <c r="Y30" s="2267">
        <f>VLOOKUP(C30,'Chấm công công nhân'!L30:AU99,36,0)</f>
        <v>0</v>
      </c>
      <c r="Z30" s="2267"/>
      <c r="AA30" s="2267" t="str">
        <f>VLOOKUP(C30,'Kỷ thuật'!C28:M28,11,0)</f>
        <v>A</v>
      </c>
      <c r="AB30" s="2268"/>
    </row>
    <row r="31" spans="1:28" s="824" customFormat="1" ht="18" customHeight="1">
      <c r="A31" s="2287">
        <v>19</v>
      </c>
      <c r="B31" s="2252">
        <v>19</v>
      </c>
      <c r="C31" s="1616" t="str">
        <f>'Chấm công công nhân'!L31</f>
        <v>Nàng Túc 2</v>
      </c>
      <c r="D31" s="2259"/>
      <c r="E31" s="2260"/>
      <c r="F31" s="2260"/>
      <c r="G31" s="2260"/>
      <c r="H31" s="2260"/>
      <c r="I31" s="2261">
        <f>'kt1'!H32</f>
        <v>0</v>
      </c>
      <c r="J31" s="2305">
        <f>'xã cạo t1'!H32</f>
        <v>0</v>
      </c>
      <c r="K31" s="2582">
        <f>'mcm t1'!J32</f>
        <v>0</v>
      </c>
      <c r="L31" s="2305">
        <f>'gia cố mcm t1'!H32</f>
        <v>0</v>
      </c>
      <c r="M31" s="2305">
        <f>'mpc t1'!H32</f>
        <v>0</v>
      </c>
      <c r="N31" s="2262"/>
      <c r="O31" s="2262"/>
      <c r="P31" s="2262"/>
      <c r="Q31" s="2262"/>
      <c r="R31" s="2263">
        <f t="shared" si="1"/>
        <v>0</v>
      </c>
      <c r="S31" s="2264">
        <f>VLOOKUP(C31,Mủ!C31:AI66,33,0)</f>
        <v>2312</v>
      </c>
      <c r="T31" s="2265"/>
      <c r="U31" s="2264">
        <f>VLOOKUP(C31,Mủ!C31:AJ65,34,0)</f>
        <v>982.35295399498466</v>
      </c>
      <c r="V31" s="2267">
        <f>VLOOKUP(C31,'Chấm công công nhân'!L31:AR31,33,0)</f>
        <v>26</v>
      </c>
      <c r="W31" s="2267">
        <f>VLOOKUP(C31,'Chấm công công nhân'!L31:AS100,34,0)</f>
        <v>3</v>
      </c>
      <c r="X31" s="2267">
        <f>VLOOKUP(C31,'Chấm công công nhân'!L31:AT66,35,0)</f>
        <v>0</v>
      </c>
      <c r="Y31" s="2267">
        <f>VLOOKUP(C31,'Chấm công công nhân'!L31:AU100,36,0)</f>
        <v>0</v>
      </c>
      <c r="Z31" s="2267"/>
      <c r="AA31" s="2267" t="str">
        <f>VLOOKUP(C31,'Kỷ thuật'!C29:M29,11,0)</f>
        <v>B</v>
      </c>
      <c r="AB31" s="2268"/>
    </row>
    <row r="32" spans="1:28" s="824" customFormat="1" ht="18" customHeight="1">
      <c r="A32" s="2287">
        <v>20</v>
      </c>
      <c r="B32" s="2252">
        <v>20</v>
      </c>
      <c r="C32" s="1616" t="str">
        <f>'Chấm công công nhân'!L32</f>
        <v>Nàng Phon</v>
      </c>
      <c r="D32" s="2259"/>
      <c r="E32" s="2260"/>
      <c r="F32" s="2260"/>
      <c r="G32" s="2260"/>
      <c r="H32" s="2260"/>
      <c r="I32" s="2261">
        <f>'kt1'!H33</f>
        <v>0</v>
      </c>
      <c r="J32" s="2305">
        <f>'xã cạo t1'!H33</f>
        <v>0</v>
      </c>
      <c r="K32" s="2582">
        <f>'mcm t1'!J33</f>
        <v>0</v>
      </c>
      <c r="L32" s="2305">
        <f>'gia cố mcm t1'!H33</f>
        <v>0</v>
      </c>
      <c r="M32" s="2305">
        <f>'mpc t1'!H33</f>
        <v>0</v>
      </c>
      <c r="N32" s="2262"/>
      <c r="O32" s="2262"/>
      <c r="P32" s="2262"/>
      <c r="Q32" s="2262"/>
      <c r="R32" s="2263">
        <f t="shared" si="1"/>
        <v>0</v>
      </c>
      <c r="S32" s="2264">
        <f>VLOOKUP(C32,Mủ!C32:AI67,33,0)</f>
        <v>2186</v>
      </c>
      <c r="T32" s="2265"/>
      <c r="U32" s="2264">
        <f>VLOOKUP(C32,Mủ!C32:AJ66,34,0)</f>
        <v>928.81641757484283</v>
      </c>
      <c r="V32" s="2267">
        <f>VLOOKUP(C32,'Chấm công công nhân'!L32:AR32,33,0)</f>
        <v>18</v>
      </c>
      <c r="W32" s="2267">
        <f>VLOOKUP(C32,'Chấm công công nhân'!L32:AS101,34,0)</f>
        <v>3</v>
      </c>
      <c r="X32" s="2267">
        <f>VLOOKUP(C32,'Chấm công công nhân'!L32:AT67,35,0)</f>
        <v>7</v>
      </c>
      <c r="Y32" s="2267">
        <f>VLOOKUP(C32,'Chấm công công nhân'!L32:AU101,36,0)</f>
        <v>1</v>
      </c>
      <c r="Z32" s="2267"/>
      <c r="AA32" s="2267" t="str">
        <f>VLOOKUP(C32,'Kỷ thuật'!C30:M30,11,0)</f>
        <v>C</v>
      </c>
      <c r="AB32" s="2268"/>
    </row>
    <row r="33" spans="1:53" s="824" customFormat="1" ht="18" customHeight="1">
      <c r="A33" s="2287">
        <v>21</v>
      </c>
      <c r="B33" s="2252">
        <v>21</v>
      </c>
      <c r="C33" s="1616" t="str">
        <f>'Chấm công công nhân'!L33</f>
        <v>Thảo Chòi</v>
      </c>
      <c r="D33" s="2259"/>
      <c r="E33" s="2260"/>
      <c r="F33" s="2260"/>
      <c r="G33" s="2260"/>
      <c r="H33" s="2260"/>
      <c r="I33" s="2261">
        <f>'kt1'!H34</f>
        <v>0</v>
      </c>
      <c r="J33" s="2305">
        <f>'xã cạo t1'!H34</f>
        <v>0</v>
      </c>
      <c r="K33" s="2582">
        <f>'mcm t1'!J34</f>
        <v>0</v>
      </c>
      <c r="L33" s="2305">
        <f>'gia cố mcm t1'!H34</f>
        <v>0</v>
      </c>
      <c r="M33" s="2305">
        <f>'mpc t1'!H34</f>
        <v>0</v>
      </c>
      <c r="N33" s="2262"/>
      <c r="O33" s="2262"/>
      <c r="P33" s="2262"/>
      <c r="Q33" s="2262"/>
      <c r="R33" s="2263">
        <f t="shared" si="1"/>
        <v>0</v>
      </c>
      <c r="S33" s="2264">
        <f>VLOOKUP(C33,Mủ!C33:AI68,33,0)</f>
        <v>2423</v>
      </c>
      <c r="T33" s="2265"/>
      <c r="U33" s="2264">
        <f>VLOOKUP(C33,Mủ!C33:AJ67,34,0)</f>
        <v>1029.5160932222527</v>
      </c>
      <c r="V33" s="2267">
        <f>VLOOKUP(C33,'Chấm công công nhân'!L33:AR33,33,0)</f>
        <v>19</v>
      </c>
      <c r="W33" s="2267">
        <f>VLOOKUP(C33,'Chấm công công nhân'!L33:AS102,34,0)</f>
        <v>3</v>
      </c>
      <c r="X33" s="2267">
        <f>VLOOKUP(C33,'Chấm công công nhân'!L33:AT68,35,0)</f>
        <v>7</v>
      </c>
      <c r="Y33" s="2267">
        <f>VLOOKUP(C33,'Chấm công công nhân'!L33:AU102,36,0)</f>
        <v>1</v>
      </c>
      <c r="Z33" s="2267"/>
      <c r="AA33" s="2267" t="str">
        <f>VLOOKUP(C33,'Kỷ thuật'!C31:M31,11,0)</f>
        <v>A</v>
      </c>
      <c r="AB33" s="2268"/>
    </row>
    <row r="34" spans="1:53" s="824" customFormat="1" ht="18" customHeight="1">
      <c r="A34" s="2287">
        <v>22</v>
      </c>
      <c r="B34" s="2252">
        <v>22</v>
      </c>
      <c r="C34" s="1616" t="str">
        <f>'Chấm công công nhân'!L34</f>
        <v>Thong La</v>
      </c>
      <c r="D34" s="2259"/>
      <c r="E34" s="2260"/>
      <c r="F34" s="2260"/>
      <c r="G34" s="2260"/>
      <c r="H34" s="2260"/>
      <c r="I34" s="2261">
        <f>'kt1'!H35</f>
        <v>0</v>
      </c>
      <c r="J34" s="2305">
        <f>'xã cạo t1'!H35</f>
        <v>0</v>
      </c>
      <c r="K34" s="2582">
        <f>'mcm t1'!J35</f>
        <v>0</v>
      </c>
      <c r="L34" s="2305">
        <f>'gia cố mcm t1'!H35</f>
        <v>0</v>
      </c>
      <c r="M34" s="2305">
        <f>'mpc t1'!H35</f>
        <v>0</v>
      </c>
      <c r="N34" s="2262"/>
      <c r="O34" s="2262"/>
      <c r="P34" s="2262"/>
      <c r="Q34" s="2262"/>
      <c r="R34" s="2263">
        <f t="shared" si="1"/>
        <v>0</v>
      </c>
      <c r="S34" s="2264">
        <f>VLOOKUP(C34,Mủ!C34:AI69,33,0)</f>
        <v>2851</v>
      </c>
      <c r="T34" s="2265"/>
      <c r="U34" s="2264">
        <f>VLOOKUP(C34,Mủ!C34:AJ68,34,0)</f>
        <v>1211.3703597922583</v>
      </c>
      <c r="V34" s="2267">
        <f>VLOOKUP(C34,'Chấm công công nhân'!L34:AR34,33,0)</f>
        <v>20</v>
      </c>
      <c r="W34" s="2267">
        <f>VLOOKUP(C34,'Chấm công công nhân'!L34:AS103,34,0)</f>
        <v>3</v>
      </c>
      <c r="X34" s="2267">
        <f>VLOOKUP(C34,'Chấm công công nhân'!L34:AT69,35,0)</f>
        <v>7</v>
      </c>
      <c r="Y34" s="2267">
        <f>VLOOKUP(C34,'Chấm công công nhân'!L34:AU103,36,0)</f>
        <v>1</v>
      </c>
      <c r="Z34" s="2267"/>
      <c r="AA34" s="2267" t="str">
        <f>VLOOKUP(C34,'Kỷ thuật'!C32:M32,11,0)</f>
        <v>A</v>
      </c>
      <c r="AB34" s="2268"/>
    </row>
    <row r="35" spans="1:53" s="824" customFormat="1" ht="18" customHeight="1">
      <c r="A35" s="2287">
        <v>23</v>
      </c>
      <c r="B35" s="2252">
        <v>23</v>
      </c>
      <c r="C35" s="1616" t="str">
        <f>'Chấm công công nhân'!L35</f>
        <v>Thảo kok</v>
      </c>
      <c r="D35" s="2259"/>
      <c r="E35" s="2260"/>
      <c r="F35" s="2260"/>
      <c r="G35" s="2260"/>
      <c r="H35" s="2260"/>
      <c r="I35" s="2261">
        <f>'kt1'!H36</f>
        <v>0</v>
      </c>
      <c r="J35" s="2305">
        <f>'xã cạo t1'!H36</f>
        <v>0</v>
      </c>
      <c r="K35" s="2582">
        <f>'mcm t1'!J36</f>
        <v>0</v>
      </c>
      <c r="L35" s="2305">
        <f>'gia cố mcm t1'!H36</f>
        <v>0</v>
      </c>
      <c r="M35" s="2305">
        <f>'mpc t1'!H36</f>
        <v>0</v>
      </c>
      <c r="N35" s="2262"/>
      <c r="O35" s="2262"/>
      <c r="P35" s="2262"/>
      <c r="Q35" s="2262"/>
      <c r="R35" s="2263">
        <f t="shared" si="1"/>
        <v>0</v>
      </c>
      <c r="S35" s="2264">
        <f>VLOOKUP(C35,Mủ!C35:AI70,33,0)</f>
        <v>2690</v>
      </c>
      <c r="T35" s="2265"/>
      <c r="U35" s="2264">
        <f>VLOOKUP(C35,Mủ!C35:AJ69,34,0)</f>
        <v>1142.9625632554105</v>
      </c>
      <c r="V35" s="2267">
        <f>VLOOKUP(C35,'Chấm công công nhân'!L35:AR35,33,0)</f>
        <v>18</v>
      </c>
      <c r="W35" s="2267">
        <f>VLOOKUP(C35,'Chấm công công nhân'!L35:AS104,34,0)</f>
        <v>3</v>
      </c>
      <c r="X35" s="2267">
        <f>VLOOKUP(C35,'Chấm công công nhân'!L35:AT70,35,0)</f>
        <v>7</v>
      </c>
      <c r="Y35" s="2267">
        <f>VLOOKUP(C35,'Chấm công công nhân'!L35:AU104,36,0)</f>
        <v>1</v>
      </c>
      <c r="Z35" s="2267"/>
      <c r="AA35" s="2267" t="str">
        <f>VLOOKUP(C35,'Kỷ thuật'!C33:M33,11,0)</f>
        <v>A</v>
      </c>
      <c r="AB35" s="2268"/>
    </row>
    <row r="36" spans="1:53" s="824" customFormat="1" ht="18" customHeight="1">
      <c r="A36" s="2287">
        <v>24</v>
      </c>
      <c r="B36" s="2252">
        <v>24</v>
      </c>
      <c r="C36" s="1616" t="str">
        <f>'Chấm công công nhân'!L36</f>
        <v>Thảo Hôm</v>
      </c>
      <c r="D36" s="2259"/>
      <c r="E36" s="2260"/>
      <c r="F36" s="2260"/>
      <c r="G36" s="2260"/>
      <c r="H36" s="2260"/>
      <c r="I36" s="2261">
        <f>'kt1'!H37</f>
        <v>0</v>
      </c>
      <c r="J36" s="2305">
        <f>'xã cạo t1'!H37</f>
        <v>0</v>
      </c>
      <c r="K36" s="2582">
        <f>'mcm t1'!J37</f>
        <v>0</v>
      </c>
      <c r="L36" s="2305">
        <f>'gia cố mcm t1'!H37</f>
        <v>0</v>
      </c>
      <c r="M36" s="2305">
        <f>'mpc t1'!H37</f>
        <v>0</v>
      </c>
      <c r="N36" s="2262"/>
      <c r="O36" s="2262"/>
      <c r="P36" s="2262"/>
      <c r="Q36" s="2262"/>
      <c r="R36" s="2263">
        <f t="shared" si="1"/>
        <v>0</v>
      </c>
      <c r="S36" s="2264">
        <f>VLOOKUP(C36,Mủ!C36:AI71,33,0)</f>
        <v>1469</v>
      </c>
      <c r="T36" s="2265"/>
      <c r="U36" s="2264">
        <f>VLOOKUP(C36,Mủ!C36:AJ70,34,0)</f>
        <v>624.16803175546386</v>
      </c>
      <c r="V36" s="2267">
        <f>VLOOKUP(C36,'Chấm công công nhân'!L36:AR36,33,0)</f>
        <v>14</v>
      </c>
      <c r="W36" s="2267">
        <f>VLOOKUP(C36,'Chấm công công nhân'!L36:AS105,34,0)</f>
        <v>2</v>
      </c>
      <c r="X36" s="2267">
        <f>VLOOKUP(C36,'Chấm công công nhân'!L36:AT71,35,0)</f>
        <v>2</v>
      </c>
      <c r="Y36" s="2267">
        <f>VLOOKUP(C36,'Chấm công công nhân'!L36:AU105,36,0)</f>
        <v>1</v>
      </c>
      <c r="Z36" s="2267"/>
      <c r="AA36" s="2267" t="str">
        <f>VLOOKUP(C36,'Kỷ thuật'!C34:M34,11,0)</f>
        <v>C</v>
      </c>
      <c r="AB36" s="2268"/>
    </row>
    <row r="37" spans="1:53" s="824" customFormat="1" ht="18" customHeight="1">
      <c r="A37" s="2287">
        <v>25</v>
      </c>
      <c r="B37" s="2252">
        <v>25</v>
      </c>
      <c r="C37" s="1616" t="str">
        <f>'Chấm công công nhân'!L37</f>
        <v>Nàng Lam</v>
      </c>
      <c r="D37" s="2259"/>
      <c r="E37" s="2260"/>
      <c r="F37" s="2260"/>
      <c r="G37" s="2260"/>
      <c r="H37" s="2260"/>
      <c r="I37" s="2261">
        <f>'kt1'!H38</f>
        <v>0</v>
      </c>
      <c r="J37" s="2305">
        <f>'xã cạo t1'!H38</f>
        <v>0</v>
      </c>
      <c r="K37" s="2582">
        <f>'mcm t1'!J38</f>
        <v>0</v>
      </c>
      <c r="L37" s="2305">
        <f>'gia cố mcm t1'!H38</f>
        <v>0</v>
      </c>
      <c r="M37" s="2305">
        <f>'mpc t1'!H38</f>
        <v>0</v>
      </c>
      <c r="N37" s="2262"/>
      <c r="O37" s="2262"/>
      <c r="P37" s="2262"/>
      <c r="Q37" s="2262"/>
      <c r="R37" s="2263">
        <f t="shared" si="1"/>
        <v>0</v>
      </c>
      <c r="S37" s="2264">
        <f>VLOOKUP(C37,Mủ!C37:AI72,33,0)</f>
        <v>1486</v>
      </c>
      <c r="T37" s="2265"/>
      <c r="U37" s="2264">
        <f>VLOOKUP(C37,Mủ!C37:AJ71,34,0)</f>
        <v>631.39121524072118</v>
      </c>
      <c r="V37" s="2267">
        <f>VLOOKUP(C37,'Chấm công công nhân'!L37:AR37,33,0)</f>
        <v>13</v>
      </c>
      <c r="W37" s="2267">
        <f>VLOOKUP(C37,'Chấm công công nhân'!L37:AS106,34,0)</f>
        <v>3</v>
      </c>
      <c r="X37" s="2267">
        <f>VLOOKUP(C37,'Chấm công công nhân'!L37:AT72,35,0)</f>
        <v>2</v>
      </c>
      <c r="Y37" s="2267">
        <f>VLOOKUP(C37,'Chấm công công nhân'!L37:AU106,36,0)</f>
        <v>1</v>
      </c>
      <c r="Z37" s="2267"/>
      <c r="AA37" s="2267" t="str">
        <f>VLOOKUP(C37,'Kỷ thuật'!C35:M35,11,0)</f>
        <v>B</v>
      </c>
      <c r="AB37" s="2268"/>
    </row>
    <row r="38" spans="1:53" s="824" customFormat="1" ht="18" customHeight="1">
      <c r="A38" s="2287">
        <v>26</v>
      </c>
      <c r="B38" s="2252">
        <v>26</v>
      </c>
      <c r="C38" s="1616" t="str">
        <f>'Chấm công công nhân'!L38</f>
        <v>Thảo Hơ Phơ</v>
      </c>
      <c r="D38" s="2259"/>
      <c r="E38" s="2260"/>
      <c r="F38" s="2260"/>
      <c r="G38" s="2260"/>
      <c r="H38" s="2260"/>
      <c r="I38" s="2261">
        <f>'kt1'!H39</f>
        <v>0</v>
      </c>
      <c r="J38" s="2305">
        <f>'xã cạo t1'!H39</f>
        <v>0</v>
      </c>
      <c r="K38" s="2582">
        <f>'mcm t1'!J39</f>
        <v>0</v>
      </c>
      <c r="L38" s="2305">
        <f>'gia cố mcm t1'!H39</f>
        <v>0</v>
      </c>
      <c r="M38" s="2305">
        <f>'mpc t1'!H39</f>
        <v>0</v>
      </c>
      <c r="N38" s="2262"/>
      <c r="O38" s="2262"/>
      <c r="P38" s="2262"/>
      <c r="Q38" s="2262"/>
      <c r="R38" s="2263">
        <f t="shared" si="1"/>
        <v>0</v>
      </c>
      <c r="S38" s="2264">
        <f>VLOOKUP(C38,Mủ!C38:AI73,33,0)</f>
        <v>2063</v>
      </c>
      <c r="T38" s="2265"/>
      <c r="U38" s="2264">
        <f>VLOOKUP(C38,Mủ!C38:AJ72,34,0)</f>
        <v>876.55456059327582</v>
      </c>
      <c r="V38" s="2267">
        <f>VLOOKUP(C38,'Chấm công công nhân'!L38:AR38,33,0)</f>
        <v>14</v>
      </c>
      <c r="W38" s="2267">
        <f>VLOOKUP(C38,'Chấm công công nhân'!L38:AS107,34,0)</f>
        <v>2</v>
      </c>
      <c r="X38" s="2267">
        <f>VLOOKUP(C38,'Chấm công công nhân'!L38:AT73,35,0)</f>
        <v>4</v>
      </c>
      <c r="Y38" s="2267">
        <f>VLOOKUP(C38,'Chấm công công nhân'!L38:AU107,36,0)</f>
        <v>1</v>
      </c>
      <c r="Z38" s="2267"/>
      <c r="AA38" s="2267" t="str">
        <f>VLOOKUP(C38,'Kỷ thuật'!C36:M36,11,0)</f>
        <v>A</v>
      </c>
      <c r="AB38" s="2268"/>
    </row>
    <row r="39" spans="1:53" s="824" customFormat="1" ht="18" customHeight="1">
      <c r="A39" s="2287">
        <v>27</v>
      </c>
      <c r="B39" s="2252">
        <v>27</v>
      </c>
      <c r="C39" s="1616" t="str">
        <f>'Chấm công công nhân'!L39</f>
        <v>Thảo Lay</v>
      </c>
      <c r="D39" s="2259"/>
      <c r="E39" s="2260"/>
      <c r="F39" s="2260"/>
      <c r="G39" s="2260"/>
      <c r="H39" s="2260"/>
      <c r="I39" s="2261">
        <f>'kt1'!H40</f>
        <v>0</v>
      </c>
      <c r="J39" s="2305">
        <f>'xã cạo t1'!H40</f>
        <v>0</v>
      </c>
      <c r="K39" s="2582">
        <f>'mcm t1'!J40</f>
        <v>0</v>
      </c>
      <c r="L39" s="2305">
        <f>'gia cố mcm t1'!H40</f>
        <v>0</v>
      </c>
      <c r="M39" s="2305">
        <f>'mpc t1'!H40</f>
        <v>0</v>
      </c>
      <c r="N39" s="2262"/>
      <c r="O39" s="2262"/>
      <c r="P39" s="2262"/>
      <c r="Q39" s="2262"/>
      <c r="R39" s="2263">
        <f t="shared" si="1"/>
        <v>0</v>
      </c>
      <c r="S39" s="2264">
        <f>VLOOKUP(C39,Mủ!C39:AI74,33,0)</f>
        <v>2674</v>
      </c>
      <c r="T39" s="2265"/>
      <c r="U39" s="2264">
        <f>VLOOKUP(C39,Mủ!C39:AJ73,34,0)</f>
        <v>1136.1642729163448</v>
      </c>
      <c r="V39" s="2267">
        <f>VLOOKUP(C39,'Chấm công công nhân'!L39:AR39,33,0)</f>
        <v>27</v>
      </c>
      <c r="W39" s="2267">
        <f>VLOOKUP(C39,'Chấm công công nhân'!L39:AS108,34,0)</f>
        <v>4</v>
      </c>
      <c r="X39" s="2267">
        <f>VLOOKUP(C39,'Chấm công công nhân'!L39:AT74,35,0)</f>
        <v>0</v>
      </c>
      <c r="Y39" s="2267">
        <f>VLOOKUP(C39,'Chấm công công nhân'!L39:AU108,36,0)</f>
        <v>0</v>
      </c>
      <c r="Z39" s="2267"/>
      <c r="AA39" s="2267" t="str">
        <f>VLOOKUP(C39,'Kỷ thuật'!C37:M37,11,0)</f>
        <v>A</v>
      </c>
      <c r="AB39" s="2268"/>
    </row>
    <row r="40" spans="1:53" s="824" customFormat="1" ht="18" customHeight="1">
      <c r="A40" s="2287">
        <v>28</v>
      </c>
      <c r="B40" s="2252">
        <v>28</v>
      </c>
      <c r="C40" s="1616" t="str">
        <f>'Chấm công công nhân'!L40</f>
        <v>Thảo Khốc</v>
      </c>
      <c r="D40" s="2259"/>
      <c r="E40" s="2260"/>
      <c r="F40" s="2260"/>
      <c r="G40" s="2260"/>
      <c r="H40" s="2260"/>
      <c r="I40" s="2261">
        <f>'kt1'!H41</f>
        <v>0</v>
      </c>
      <c r="J40" s="2305">
        <f>'xã cạo t1'!H41</f>
        <v>0</v>
      </c>
      <c r="K40" s="2582">
        <f>'mcm t1'!J41</f>
        <v>0</v>
      </c>
      <c r="L40" s="2305">
        <f>'gia cố mcm t1'!H41</f>
        <v>0</v>
      </c>
      <c r="M40" s="2305">
        <f>'mpc t1'!H41</f>
        <v>0</v>
      </c>
      <c r="N40" s="2262"/>
      <c r="O40" s="2262"/>
      <c r="P40" s="2262"/>
      <c r="Q40" s="2262"/>
      <c r="R40" s="2263">
        <f t="shared" si="1"/>
        <v>0</v>
      </c>
      <c r="S40" s="2264">
        <f>VLOOKUP(C40,Mủ!C40:AI75,33,0)</f>
        <v>2636</v>
      </c>
      <c r="T40" s="2265"/>
      <c r="U40" s="2264">
        <f>VLOOKUP(C40,Mủ!C40:AJ74,34,0)</f>
        <v>1120.0183333610639</v>
      </c>
      <c r="V40" s="2267">
        <f>VLOOKUP(C40,'Chấm công công nhân'!L40:AR40,33,0)</f>
        <v>20</v>
      </c>
      <c r="W40" s="2267">
        <f>VLOOKUP(C40,'Chấm công công nhân'!L40:AS109,34,0)</f>
        <v>3</v>
      </c>
      <c r="X40" s="2267">
        <f>VLOOKUP(C40,'Chấm công công nhân'!L40:AT75,35,0)</f>
        <v>0</v>
      </c>
      <c r="Y40" s="2267">
        <f>VLOOKUP(C40,'Chấm công công nhân'!L40:AU109,36,0)</f>
        <v>0</v>
      </c>
      <c r="Z40" s="2267"/>
      <c r="AA40" s="2267" t="str">
        <f>VLOOKUP(C40,'Kỷ thuật'!C38:M38,11,0)</f>
        <v>A</v>
      </c>
      <c r="AB40" s="2268"/>
    </row>
    <row r="41" spans="1:53" s="824" customFormat="1" ht="18" customHeight="1">
      <c r="A41" s="2287">
        <v>29</v>
      </c>
      <c r="B41" s="2252">
        <v>29</v>
      </c>
      <c r="C41" s="1616" t="str">
        <f>'Chấm công công nhân'!L41</f>
        <v>Thảo Sợt</v>
      </c>
      <c r="D41" s="2259"/>
      <c r="E41" s="2260"/>
      <c r="F41" s="2260"/>
      <c r="G41" s="2260"/>
      <c r="H41" s="2260"/>
      <c r="I41" s="2261">
        <f>'kt1'!H42</f>
        <v>0</v>
      </c>
      <c r="J41" s="2305">
        <f>'xã cạo t1'!H42</f>
        <v>0</v>
      </c>
      <c r="K41" s="2582">
        <f>'mcm t1'!J42</f>
        <v>0</v>
      </c>
      <c r="L41" s="2305">
        <f>'gia cố mcm t1'!H42</f>
        <v>0</v>
      </c>
      <c r="M41" s="2305">
        <f>'mpc t1'!H42</f>
        <v>0</v>
      </c>
      <c r="N41" s="2262"/>
      <c r="O41" s="2262"/>
      <c r="P41" s="2262"/>
      <c r="Q41" s="2262"/>
      <c r="R41" s="2263">
        <f t="shared" si="1"/>
        <v>0</v>
      </c>
      <c r="S41" s="2264">
        <f>VLOOKUP(C41,Mủ!C41:AI76,33,0)</f>
        <v>2643</v>
      </c>
      <c r="T41" s="2265"/>
      <c r="U41" s="2264">
        <f>VLOOKUP(C41,Mủ!C41:AJ75,34,0)</f>
        <v>1122.9925853844052</v>
      </c>
      <c r="V41" s="2267">
        <f>VLOOKUP(C41,'Chấm công công nhân'!L41:AR41,33,0)</f>
        <v>20</v>
      </c>
      <c r="W41" s="2267">
        <f>VLOOKUP(C41,'Chấm công công nhân'!L41:AS110,34,0)</f>
        <v>3</v>
      </c>
      <c r="X41" s="2267">
        <f>VLOOKUP(C41,'Chấm công công nhân'!L41:AT76,35,0)</f>
        <v>0</v>
      </c>
      <c r="Y41" s="2267">
        <f>VLOOKUP(C41,'Chấm công công nhân'!L41:AU110,36,0)</f>
        <v>0</v>
      </c>
      <c r="Z41" s="2267"/>
      <c r="AA41" s="2267" t="str">
        <f>VLOOKUP(C41,'Kỷ thuật'!C39:M39,11,0)</f>
        <v>B</v>
      </c>
      <c r="AB41" s="2268"/>
    </row>
    <row r="42" spans="1:53" s="824" customFormat="1" ht="18" customHeight="1">
      <c r="A42" s="2287">
        <v>30</v>
      </c>
      <c r="B42" s="2252">
        <v>30</v>
      </c>
      <c r="C42" s="1616" t="str">
        <f>'Chấm công công nhân'!L42</f>
        <v>Thảo Văn</v>
      </c>
      <c r="D42" s="2259"/>
      <c r="E42" s="2260"/>
      <c r="F42" s="2260"/>
      <c r="G42" s="2260"/>
      <c r="H42" s="2260"/>
      <c r="I42" s="2261">
        <f>'kt1'!H43</f>
        <v>0</v>
      </c>
      <c r="J42" s="2305">
        <f>'xã cạo t1'!H43</f>
        <v>0</v>
      </c>
      <c r="K42" s="2582">
        <f>'mcm t1'!J43</f>
        <v>0</v>
      </c>
      <c r="L42" s="2305">
        <f>'gia cố mcm t1'!H43</f>
        <v>0</v>
      </c>
      <c r="M42" s="2305">
        <f>'mpc t1'!H43</f>
        <v>0</v>
      </c>
      <c r="N42" s="2262"/>
      <c r="O42" s="2262"/>
      <c r="P42" s="2262"/>
      <c r="Q42" s="2262"/>
      <c r="R42" s="2263">
        <f t="shared" si="1"/>
        <v>0</v>
      </c>
      <c r="S42" s="2264">
        <f>VLOOKUP(C42,Mủ!C42:AI77,33,0)</f>
        <v>2821</v>
      </c>
      <c r="T42" s="2265"/>
      <c r="U42" s="2264">
        <f>VLOOKUP(C42,Mủ!C42:AJ76,34,0)</f>
        <v>1198.6235654065104</v>
      </c>
      <c r="V42" s="2267">
        <f>VLOOKUP(C42,'Chấm công công nhân'!L42:AR42,33,0)</f>
        <v>24</v>
      </c>
      <c r="W42" s="2267">
        <f>VLOOKUP(C42,'Chấm công công nhân'!L42:AS111,34,0)</f>
        <v>4</v>
      </c>
      <c r="X42" s="2267">
        <f>VLOOKUP(C42,'Chấm công công nhân'!L42:AT77,35,0)</f>
        <v>0</v>
      </c>
      <c r="Y42" s="2267">
        <f>VLOOKUP(C42,'Chấm công công nhân'!L42:AU111,36,0)</f>
        <v>0</v>
      </c>
      <c r="Z42" s="2267"/>
      <c r="AA42" s="2267" t="str">
        <f>VLOOKUP(C42,'Kỷ thuật'!C40:M40,11,0)</f>
        <v>B</v>
      </c>
      <c r="AB42" s="2268"/>
    </row>
    <row r="43" spans="1:53" s="824" customFormat="1" ht="18" customHeight="1">
      <c r="A43" s="2287">
        <v>31</v>
      </c>
      <c r="B43" s="2252">
        <v>31</v>
      </c>
      <c r="C43" s="1616" t="str">
        <f>'Chấm công công nhân'!L43</f>
        <v>Thảo Thong</v>
      </c>
      <c r="D43" s="2259"/>
      <c r="E43" s="2260"/>
      <c r="F43" s="2260"/>
      <c r="G43" s="2260"/>
      <c r="H43" s="2260"/>
      <c r="I43" s="2261">
        <f>'kt1'!H44</f>
        <v>0</v>
      </c>
      <c r="J43" s="2305">
        <f>'xã cạo t1'!H44</f>
        <v>0</v>
      </c>
      <c r="K43" s="2582">
        <f>'mcm t1'!J44</f>
        <v>0</v>
      </c>
      <c r="L43" s="2305">
        <f>'gia cố mcm t1'!H44</f>
        <v>0</v>
      </c>
      <c r="M43" s="2305">
        <f>'mpc t1'!H44</f>
        <v>0</v>
      </c>
      <c r="N43" s="2262"/>
      <c r="O43" s="2262"/>
      <c r="P43" s="2262"/>
      <c r="Q43" s="2262"/>
      <c r="R43" s="2263">
        <f t="shared" si="1"/>
        <v>0</v>
      </c>
      <c r="S43" s="2264">
        <f>VLOOKUP(C43,Mủ!C43:AI78,33,0)</f>
        <v>2235</v>
      </c>
      <c r="T43" s="2265"/>
      <c r="U43" s="2264">
        <f>VLOOKUP(C43,Mủ!C43:AJ77,34,0)</f>
        <v>949.63618173823136</v>
      </c>
      <c r="V43" s="2267">
        <f>VLOOKUP(C43,'Chấm công công nhân'!L43:AR43,33,0)</f>
        <v>21</v>
      </c>
      <c r="W43" s="2267">
        <f>VLOOKUP(C43,'Chấm công công nhân'!L43:AS112,34,0)</f>
        <v>4</v>
      </c>
      <c r="X43" s="2267">
        <f>VLOOKUP(C43,'Chấm công công nhân'!L43:AT78,35,0)</f>
        <v>0</v>
      </c>
      <c r="Y43" s="2267">
        <f>VLOOKUP(C43,'Chấm công công nhân'!L43:AU112,36,0)</f>
        <v>0</v>
      </c>
      <c r="Z43" s="2267"/>
      <c r="AA43" s="2267" t="str">
        <f>VLOOKUP(C43,'Kỷ thuật'!C41:M41,11,0)</f>
        <v>A</v>
      </c>
      <c r="AB43" s="2268"/>
    </row>
    <row r="44" spans="1:53" s="824" customFormat="1" ht="18" customHeight="1">
      <c r="A44" s="2287">
        <v>32</v>
      </c>
      <c r="B44" s="2252">
        <v>32</v>
      </c>
      <c r="C44" s="1616" t="str">
        <f>'Chấm công công nhân'!L44</f>
        <v xml:space="preserve"> Nàng Ngột</v>
      </c>
      <c r="D44" s="2259"/>
      <c r="E44" s="2260"/>
      <c r="F44" s="2260"/>
      <c r="G44" s="2260"/>
      <c r="H44" s="2260"/>
      <c r="I44" s="2261">
        <f>'kt1'!H45</f>
        <v>0</v>
      </c>
      <c r="J44" s="2305">
        <f>'xã cạo t1'!H45</f>
        <v>0</v>
      </c>
      <c r="K44" s="2582">
        <f>'mcm t1'!J45</f>
        <v>0</v>
      </c>
      <c r="L44" s="2305">
        <f>'gia cố mcm t1'!H45</f>
        <v>0</v>
      </c>
      <c r="M44" s="2305">
        <f>'mpc t1'!H45</f>
        <v>0</v>
      </c>
      <c r="N44" s="2262"/>
      <c r="O44" s="2262"/>
      <c r="P44" s="2262"/>
      <c r="Q44" s="2262"/>
      <c r="R44" s="2263">
        <f t="shared" si="1"/>
        <v>0</v>
      </c>
      <c r="S44" s="2264">
        <f>VLOOKUP(C44,Mủ!C44:AI79,33,0)</f>
        <v>2238</v>
      </c>
      <c r="T44" s="2265"/>
      <c r="U44" s="2264">
        <f>VLOOKUP(C44,Mủ!C44:AJ78,34,0)</f>
        <v>950.91086117680618</v>
      </c>
      <c r="V44" s="2267">
        <f>VLOOKUP(C44,'Chấm công công nhân'!L44:AR44,33,0)</f>
        <v>21</v>
      </c>
      <c r="W44" s="2267">
        <f>VLOOKUP(C44,'Chấm công công nhân'!L44:AS113,34,0)</f>
        <v>4</v>
      </c>
      <c r="X44" s="2267">
        <f>VLOOKUP(C44,'Chấm công công nhân'!L44:AT79,35,0)</f>
        <v>0</v>
      </c>
      <c r="Y44" s="2267">
        <f>VLOOKUP(C44,'Chấm công công nhân'!L44:AU113,36,0)</f>
        <v>0</v>
      </c>
      <c r="Z44" s="2267"/>
      <c r="AA44" s="2267" t="str">
        <f>VLOOKUP(C44,'Kỷ thuật'!C42:M42,11,0)</f>
        <v>B</v>
      </c>
      <c r="AB44" s="2268"/>
      <c r="AE44" s="824">
        <f>U50/S50</f>
        <v>0.42956397797214135</v>
      </c>
    </row>
    <row r="45" spans="1:53" s="824" customFormat="1" ht="18" customHeight="1">
      <c r="A45" s="2287">
        <v>33</v>
      </c>
      <c r="B45" s="2252">
        <v>33</v>
      </c>
      <c r="C45" s="1616" t="str">
        <f>'Chấm công công nhân'!L45</f>
        <v>Nàng Chon</v>
      </c>
      <c r="D45" s="2259"/>
      <c r="E45" s="2260"/>
      <c r="F45" s="2260"/>
      <c r="G45" s="2260"/>
      <c r="H45" s="2260"/>
      <c r="I45" s="2261">
        <f>'kt1'!H46</f>
        <v>0</v>
      </c>
      <c r="J45" s="2305">
        <f>'xã cạo t1'!H46</f>
        <v>0</v>
      </c>
      <c r="K45" s="2582">
        <f>'mcm t1'!J46</f>
        <v>0</v>
      </c>
      <c r="L45" s="2305">
        <f>'gia cố mcm t1'!H46</f>
        <v>0</v>
      </c>
      <c r="M45" s="2305">
        <f>'mpc t1'!H46</f>
        <v>0</v>
      </c>
      <c r="N45" s="2262"/>
      <c r="O45" s="2262"/>
      <c r="P45" s="2262"/>
      <c r="Q45" s="2262"/>
      <c r="R45" s="2263">
        <f t="shared" si="1"/>
        <v>0</v>
      </c>
      <c r="S45" s="2264">
        <f>VLOOKUP(C45,Mủ!C45:AI80,33,0)</f>
        <v>2064</v>
      </c>
      <c r="T45" s="2265"/>
      <c r="U45" s="2264">
        <f>VLOOKUP(C45,Mủ!C45:AJ79,34,0)</f>
        <v>876.97945373946732</v>
      </c>
      <c r="V45" s="2267">
        <f>VLOOKUP(C45,'Chấm công công nhân'!L45:AR45,33,0)</f>
        <v>18</v>
      </c>
      <c r="W45" s="2267">
        <f>VLOOKUP(C45,'Chấm công công nhân'!L45:AS114,34,0)</f>
        <v>3</v>
      </c>
      <c r="X45" s="2267">
        <f>VLOOKUP(C45,'Chấm công công nhân'!L45:AT80,35,0)</f>
        <v>0</v>
      </c>
      <c r="Y45" s="2267">
        <f>VLOOKUP(C45,'Chấm công công nhân'!L45:AU114,36,0)</f>
        <v>0</v>
      </c>
      <c r="Z45" s="2267"/>
      <c r="AA45" s="2267" t="str">
        <f>VLOOKUP(C45,'Kỷ thuật'!C43:M43,11,0)</f>
        <v>B</v>
      </c>
      <c r="AB45" s="2268"/>
    </row>
    <row r="46" spans="1:53" s="824" customFormat="1" ht="18" customHeight="1">
      <c r="A46" s="2287">
        <v>34</v>
      </c>
      <c r="B46" s="2252">
        <v>34</v>
      </c>
      <c r="C46" s="1616" t="str">
        <f>'Chấm công công nhân'!L46</f>
        <v>Bun han</v>
      </c>
      <c r="D46" s="2259"/>
      <c r="E46" s="2260"/>
      <c r="F46" s="2260"/>
      <c r="G46" s="2260"/>
      <c r="H46" s="2260"/>
      <c r="I46" s="2261">
        <f>'kt1'!H47</f>
        <v>0</v>
      </c>
      <c r="J46" s="2305">
        <f>'xã cạo t1'!H47</f>
        <v>0</v>
      </c>
      <c r="K46" s="2582">
        <f>'mcm t1'!J47</f>
        <v>0</v>
      </c>
      <c r="L46" s="2305">
        <f>'gia cố mcm t1'!H47</f>
        <v>0</v>
      </c>
      <c r="M46" s="2305">
        <f>'mpc t1'!H47</f>
        <v>0</v>
      </c>
      <c r="N46" s="2262"/>
      <c r="O46" s="2262"/>
      <c r="P46" s="2262"/>
      <c r="Q46" s="2262"/>
      <c r="R46" s="2263">
        <f t="shared" si="1"/>
        <v>0</v>
      </c>
      <c r="S46" s="2264">
        <f>VLOOKUP(C46,Mủ!C46:AI81,33,0)</f>
        <v>2207</v>
      </c>
      <c r="T46" s="2265"/>
      <c r="U46" s="2264">
        <f>VLOOKUP(C46,Mủ!C46:AJ80,34,0)</f>
        <v>937.73917364486658</v>
      </c>
      <c r="V46" s="2267">
        <f>VLOOKUP(C46,'Chấm công công nhân'!L46:AR46,33,0)</f>
        <v>22</v>
      </c>
      <c r="W46" s="2267">
        <f>VLOOKUP(C46,'Chấm công công nhân'!L46:AS115,34,0)</f>
        <v>4</v>
      </c>
      <c r="X46" s="2267">
        <f>VLOOKUP(C46,'Chấm công công nhân'!L46:AT81,35,0)</f>
        <v>0</v>
      </c>
      <c r="Y46" s="2267">
        <f>VLOOKUP(C46,'Chấm công công nhân'!L46:AU115,36,0)</f>
        <v>0</v>
      </c>
      <c r="Z46" s="2267"/>
      <c r="AA46" s="2267" t="str">
        <f>VLOOKUP(C46,'Kỷ thuật'!C44:M44,11,0)</f>
        <v>B</v>
      </c>
      <c r="AB46" s="2268"/>
    </row>
    <row r="47" spans="1:53" s="824" customFormat="1" ht="18" customHeight="1">
      <c r="A47" s="2287">
        <v>35</v>
      </c>
      <c r="B47" s="2252">
        <v>35</v>
      </c>
      <c r="C47" s="1616" t="str">
        <f>'Chấm công công nhân'!L47</f>
        <v>Hăn</v>
      </c>
      <c r="D47" s="2259"/>
      <c r="E47" s="2260"/>
      <c r="F47" s="2260"/>
      <c r="G47" s="2260"/>
      <c r="H47" s="2260"/>
      <c r="I47" s="2261">
        <f>'kt1'!H48</f>
        <v>0</v>
      </c>
      <c r="J47" s="2305">
        <f>'xã cạo t1'!H48</f>
        <v>0</v>
      </c>
      <c r="K47" s="2582">
        <f>'mcm t1'!J48</f>
        <v>0</v>
      </c>
      <c r="L47" s="2305">
        <f>'gia cố mcm t1'!H48</f>
        <v>0</v>
      </c>
      <c r="M47" s="2305">
        <f>'mpc t1'!H48</f>
        <v>0</v>
      </c>
      <c r="N47" s="2262"/>
      <c r="O47" s="2262"/>
      <c r="P47" s="2262"/>
      <c r="Q47" s="2262"/>
      <c r="R47" s="2263">
        <f t="shared" si="1"/>
        <v>0</v>
      </c>
      <c r="S47" s="2264">
        <f>VLOOKUP(C47,Mủ!C47:AI81,33,0)</f>
        <v>2204</v>
      </c>
      <c r="T47" s="2265"/>
      <c r="U47" s="2264">
        <f>VLOOKUP(C47,Mủ!C47:AJ81,34,0)</f>
        <v>936.46449420629176</v>
      </c>
      <c r="V47" s="2267">
        <f>VLOOKUP(C47,'Chấm công công nhân'!L47:AR47,33,0)</f>
        <v>21</v>
      </c>
      <c r="W47" s="2267">
        <f>VLOOKUP(C47,'Chấm công công nhân'!L47:AS116,34,0)</f>
        <v>4</v>
      </c>
      <c r="X47" s="2267">
        <f>VLOOKUP(C47,'Chấm công công nhân'!L47:AT82,35,0)</f>
        <v>0</v>
      </c>
      <c r="Y47" s="2267">
        <f>VLOOKUP(C47,'Chấm công công nhân'!L47:AU116,36,0)</f>
        <v>0</v>
      </c>
      <c r="Z47" s="2267"/>
      <c r="AA47" s="2267" t="str">
        <f>VLOOKUP(C47,'Kỷ thuật'!C45:M45,11,0)</f>
        <v>A</v>
      </c>
      <c r="AB47" s="2268"/>
    </row>
    <row r="48" spans="1:53" s="1966" customFormat="1" ht="18" customHeight="1">
      <c r="A48" s="2287">
        <v>36</v>
      </c>
      <c r="B48" s="2252">
        <v>36</v>
      </c>
      <c r="C48" s="1616" t="str">
        <f>'Chấm công công nhân'!L48</f>
        <v>Thảo Tuỳ</v>
      </c>
      <c r="D48" s="2259"/>
      <c r="E48" s="2260"/>
      <c r="F48" s="2260"/>
      <c r="G48" s="2260"/>
      <c r="H48" s="2260"/>
      <c r="I48" s="2261">
        <f>'kt1'!H49</f>
        <v>0</v>
      </c>
      <c r="J48" s="2305">
        <f>'xã cạo t1'!H49</f>
        <v>0</v>
      </c>
      <c r="K48" s="2582">
        <f>'mcm t1'!J49</f>
        <v>0</v>
      </c>
      <c r="L48" s="2305">
        <f>'gia cố mcm t1'!H49</f>
        <v>0</v>
      </c>
      <c r="M48" s="2305">
        <f>'mpc t1'!H49</f>
        <v>0</v>
      </c>
      <c r="N48" s="2262"/>
      <c r="O48" s="2262"/>
      <c r="P48" s="2262"/>
      <c r="Q48" s="2262"/>
      <c r="R48" s="2263">
        <f t="shared" si="1"/>
        <v>0</v>
      </c>
      <c r="S48" s="2264">
        <f>VLOOKUP(C48,Mủ!C48:AI81,33,0)</f>
        <v>2654</v>
      </c>
      <c r="T48" s="2265"/>
      <c r="U48" s="2264">
        <f>VLOOKUP(C48,Mủ!C48:AJ81,34,0)</f>
        <v>1127.6664099925129</v>
      </c>
      <c r="V48" s="2267">
        <f>VLOOKUP(C48,'Chấm công công nhân'!L48:AR48,33,0)</f>
        <v>27</v>
      </c>
      <c r="W48" s="2267">
        <f>VLOOKUP(C48,'Chấm công công nhân'!L48:AS117,34,0)</f>
        <v>4</v>
      </c>
      <c r="X48" s="2267">
        <f>VLOOKUP(C48,'Chấm công công nhân'!L48:AT83,35,0)</f>
        <v>0</v>
      </c>
      <c r="Y48" s="2267">
        <f>VLOOKUP(C48,'Chấm công công nhân'!L48:AU117,36,0)</f>
        <v>0</v>
      </c>
      <c r="Z48" s="2267"/>
      <c r="AA48" s="2267" t="str">
        <f>VLOOKUP(C48,'Kỷ thuật'!C46:M46,11,0)</f>
        <v>A</v>
      </c>
      <c r="AB48" s="2268"/>
      <c r="AC48" s="824"/>
      <c r="AD48" s="824"/>
      <c r="AE48" s="824"/>
      <c r="AF48" s="824"/>
      <c r="AG48" s="824"/>
      <c r="AH48" s="824"/>
      <c r="AI48" s="824"/>
      <c r="AJ48" s="824"/>
      <c r="AK48" s="824"/>
      <c r="AL48" s="824"/>
      <c r="AM48" s="824"/>
      <c r="AN48" s="824"/>
      <c r="AO48" s="824"/>
      <c r="AP48" s="824"/>
      <c r="AQ48" s="824"/>
      <c r="AR48" s="824"/>
      <c r="AS48" s="824"/>
      <c r="AT48" s="824"/>
      <c r="AU48" s="824"/>
      <c r="AV48" s="824"/>
      <c r="AW48" s="824"/>
      <c r="AX48" s="824"/>
      <c r="AY48" s="824"/>
      <c r="AZ48" s="824"/>
      <c r="BA48" s="824"/>
    </row>
    <row r="49" spans="1:53" s="824" customFormat="1" ht="18" customHeight="1">
      <c r="A49" s="2287">
        <v>37</v>
      </c>
      <c r="B49" s="2253">
        <v>37</v>
      </c>
      <c r="C49" s="1965" t="s">
        <v>1143</v>
      </c>
      <c r="D49" s="2269"/>
      <c r="E49" s="2271"/>
      <c r="F49" s="2271"/>
      <c r="G49" s="2270"/>
      <c r="H49" s="2307"/>
      <c r="I49" s="2271">
        <f>AE86+AF86</f>
        <v>0</v>
      </c>
      <c r="J49" s="2305">
        <f>'xã cạo t1'!H50</f>
        <v>0</v>
      </c>
      <c r="K49" s="2709"/>
      <c r="L49" s="2271"/>
      <c r="M49" s="2709"/>
      <c r="N49" s="2271"/>
      <c r="O49" s="2271"/>
      <c r="P49" s="2271"/>
      <c r="Q49" s="2709"/>
      <c r="R49" s="3431">
        <f t="shared" si="1"/>
        <v>0</v>
      </c>
      <c r="S49" s="2272"/>
      <c r="T49" s="2273"/>
      <c r="U49" s="2274"/>
      <c r="V49" s="2273"/>
      <c r="W49" s="2273"/>
      <c r="X49" s="2273"/>
      <c r="Y49" s="2273"/>
      <c r="Z49" s="2273"/>
      <c r="AA49" s="2273"/>
      <c r="AB49" s="2275"/>
      <c r="AC49" s="1966"/>
      <c r="AD49" s="1966"/>
      <c r="AE49" s="1966"/>
      <c r="AF49" s="1966"/>
      <c r="AG49" s="1966"/>
      <c r="AH49" s="1966"/>
      <c r="AI49" s="1966"/>
      <c r="AJ49" s="1966"/>
      <c r="AK49" s="1966"/>
      <c r="AL49" s="1966"/>
      <c r="AM49" s="1966"/>
      <c r="AN49" s="1966"/>
      <c r="AO49" s="1966"/>
      <c r="AP49" s="1966"/>
      <c r="AQ49" s="1966"/>
      <c r="AR49" s="1966"/>
      <c r="AS49" s="1966"/>
      <c r="AT49" s="1966"/>
      <c r="AU49" s="1966"/>
      <c r="AV49" s="1966"/>
      <c r="AW49" s="1966"/>
      <c r="AX49" s="1966"/>
      <c r="AY49" s="1966"/>
      <c r="AZ49" s="1966"/>
      <c r="BA49" s="1966"/>
    </row>
    <row r="50" spans="1:53" s="838" customFormat="1" ht="18" customHeight="1">
      <c r="A50" s="2287" t="s">
        <v>92</v>
      </c>
      <c r="B50" s="3902" t="s">
        <v>322</v>
      </c>
      <c r="C50" s="3902"/>
      <c r="D50" s="1645"/>
      <c r="E50" s="2306">
        <f>SUM(E51:E66)</f>
        <v>0</v>
      </c>
      <c r="F50" s="2306">
        <f t="shared" ref="F50:Y50" si="2">SUM(F51:F66)</f>
        <v>0</v>
      </c>
      <c r="G50" s="2306">
        <f t="shared" si="2"/>
        <v>0</v>
      </c>
      <c r="H50" s="2306">
        <f t="shared" si="2"/>
        <v>0</v>
      </c>
      <c r="I50" s="2306">
        <f t="shared" si="2"/>
        <v>0</v>
      </c>
      <c r="J50" s="2306">
        <f t="shared" si="2"/>
        <v>0</v>
      </c>
      <c r="K50" s="2306">
        <f>SUM(K51:K66)</f>
        <v>0</v>
      </c>
      <c r="L50" s="2306">
        <f t="shared" si="2"/>
        <v>0</v>
      </c>
      <c r="M50" s="2306">
        <f t="shared" si="2"/>
        <v>0</v>
      </c>
      <c r="N50" s="2306">
        <f t="shared" si="2"/>
        <v>0</v>
      </c>
      <c r="O50" s="2306">
        <f t="shared" si="2"/>
        <v>0</v>
      </c>
      <c r="P50" s="2306">
        <f t="shared" si="2"/>
        <v>0</v>
      </c>
      <c r="Q50" s="2306"/>
      <c r="R50" s="2306">
        <f t="shared" si="2"/>
        <v>0</v>
      </c>
      <c r="S50" s="2306">
        <f t="shared" si="2"/>
        <v>37044</v>
      </c>
      <c r="T50" s="2306">
        <f t="shared" si="2"/>
        <v>0</v>
      </c>
      <c r="U50" s="2306">
        <f t="shared" si="2"/>
        <v>15912.768000000004</v>
      </c>
      <c r="V50" s="2306">
        <f t="shared" si="2"/>
        <v>390</v>
      </c>
      <c r="W50" s="2306">
        <f t="shared" si="2"/>
        <v>59</v>
      </c>
      <c r="X50" s="2306">
        <f t="shared" si="2"/>
        <v>0</v>
      </c>
      <c r="Y50" s="2306">
        <f t="shared" si="2"/>
        <v>0</v>
      </c>
      <c r="Z50" s="2306">
        <f>SUM(Z51:Z66)</f>
        <v>0</v>
      </c>
      <c r="AA50" s="1648"/>
      <c r="AB50" s="1649"/>
      <c r="AC50" s="824"/>
      <c r="AD50" s="824"/>
      <c r="AE50" s="824"/>
      <c r="AF50" s="824"/>
      <c r="AG50" s="824"/>
      <c r="AH50" s="824"/>
      <c r="AI50" s="824"/>
      <c r="AJ50" s="824"/>
      <c r="AK50" s="824"/>
      <c r="AL50" s="824"/>
      <c r="AM50" s="824"/>
      <c r="AN50" s="824"/>
      <c r="AO50" s="824"/>
      <c r="AP50" s="824"/>
      <c r="AQ50" s="824"/>
      <c r="AR50" s="824"/>
      <c r="AS50" s="824"/>
      <c r="AT50" s="824"/>
      <c r="AU50" s="824"/>
      <c r="AV50" s="824"/>
      <c r="AW50" s="824"/>
      <c r="AX50" s="824"/>
      <c r="AY50" s="824"/>
      <c r="AZ50" s="824"/>
      <c r="BA50" s="824"/>
    </row>
    <row r="51" spans="1:53" s="824" customFormat="1" ht="18" customHeight="1">
      <c r="A51" s="2287">
        <v>38</v>
      </c>
      <c r="B51" s="2276">
        <v>1</v>
      </c>
      <c r="C51" s="2277" t="str">
        <f>'Chấm công công nhân'!L50</f>
        <v>Thảo tít</v>
      </c>
      <c r="D51" s="2262"/>
      <c r="E51" s="2261"/>
      <c r="F51" s="2261"/>
      <c r="G51" s="2261"/>
      <c r="H51" s="2261"/>
      <c r="I51" s="2261">
        <f>'kt2'!H14</f>
        <v>0</v>
      </c>
      <c r="J51" s="2262"/>
      <c r="K51" s="2305">
        <f>'mcm t2'!H14</f>
        <v>0</v>
      </c>
      <c r="L51" s="2262"/>
      <c r="M51" s="2305">
        <f>'mpc t2'!H14</f>
        <v>0</v>
      </c>
      <c r="N51" s="2262"/>
      <c r="O51" s="2262"/>
      <c r="P51" s="2262"/>
      <c r="Q51" s="2262"/>
      <c r="R51" s="2263">
        <f>SUM(D51:Q51)</f>
        <v>0</v>
      </c>
      <c r="S51" s="2264">
        <f>VLOOKUP(C51,Mủ!C50:AI64,33,0)</f>
        <v>2309</v>
      </c>
      <c r="T51" s="2265"/>
      <c r="U51" s="2264">
        <f>VLOOKUP(C51,Mủ!C50:AJ64,34,0)</f>
        <v>991.86322513767436</v>
      </c>
      <c r="V51" s="2267">
        <f>VLOOKUP(C51,'Chấm công công nhân'!L50:AR50,33,0)</f>
        <v>26</v>
      </c>
      <c r="W51" s="2267">
        <f>VLOOKUP(C51,'Chấm công công nhân'!L50:AS119,34,0)</f>
        <v>4</v>
      </c>
      <c r="X51" s="2267">
        <f>VLOOKUP(C51,'Chấm công công nhân'!L50:AT85,35,0)</f>
        <v>0</v>
      </c>
      <c r="Y51" s="2267">
        <f>VLOOKUP(C51,'Chấm công công nhân'!L50:AU119,36,0)</f>
        <v>0</v>
      </c>
      <c r="Z51" s="2267"/>
      <c r="AA51" s="2267" t="str">
        <f>VLOOKUP(C51,'Kỷ thuật'!C48:M48,11,0)</f>
        <v>B</v>
      </c>
      <c r="AB51" s="2278"/>
      <c r="AC51" s="838"/>
      <c r="AD51" s="838"/>
      <c r="AE51" s="838"/>
      <c r="AF51" s="838"/>
      <c r="AG51" s="838"/>
      <c r="AH51" s="838"/>
      <c r="AI51" s="838"/>
      <c r="AJ51" s="838"/>
      <c r="AK51" s="838"/>
      <c r="AL51" s="838"/>
      <c r="AM51" s="838"/>
      <c r="AN51" s="838"/>
      <c r="AO51" s="838"/>
      <c r="AP51" s="838"/>
      <c r="AQ51" s="838"/>
      <c r="AR51" s="838"/>
      <c r="AS51" s="838"/>
      <c r="AT51" s="838"/>
      <c r="AU51" s="838"/>
      <c r="AV51" s="838"/>
      <c r="AW51" s="838"/>
      <c r="AX51" s="838"/>
      <c r="AY51" s="838"/>
      <c r="AZ51" s="838"/>
      <c r="BA51" s="838"/>
    </row>
    <row r="52" spans="1:53" s="824" customFormat="1" ht="18" customHeight="1">
      <c r="A52" s="2287">
        <v>39</v>
      </c>
      <c r="B52" s="2252">
        <v>2</v>
      </c>
      <c r="C52" s="2277" t="str">
        <f>'Chấm công công nhân'!L51</f>
        <v>Thảo ớt</v>
      </c>
      <c r="D52" s="2259"/>
      <c r="E52" s="2260"/>
      <c r="F52" s="2260"/>
      <c r="G52" s="2260"/>
      <c r="H52" s="2260"/>
      <c r="I52" s="2261">
        <f>'kt2'!H15</f>
        <v>0</v>
      </c>
      <c r="J52" s="2262"/>
      <c r="K52" s="2305">
        <f>'mcm t2'!H15</f>
        <v>0</v>
      </c>
      <c r="L52" s="2262"/>
      <c r="M52" s="2305">
        <f>'mpc t2'!H15</f>
        <v>0</v>
      </c>
      <c r="N52" s="2262"/>
      <c r="O52" s="2262"/>
      <c r="P52" s="2262"/>
      <c r="Q52" s="2262"/>
      <c r="R52" s="2263">
        <f t="shared" ref="R52:R66" si="3">SUM(D52:Q52)</f>
        <v>0</v>
      </c>
      <c r="S52" s="2264">
        <f>VLOOKUP(C52,Mủ!C51:AI65,33,0)</f>
        <v>2580</v>
      </c>
      <c r="T52" s="2265"/>
      <c r="U52" s="2264">
        <f>VLOOKUP(C52,Mủ!C51:AJ65,34,0)</f>
        <v>1108.2750631681247</v>
      </c>
      <c r="V52" s="2267">
        <f>VLOOKUP(C52,'Chấm công công nhân'!L51:AR51,33,0)</f>
        <v>27</v>
      </c>
      <c r="W52" s="2267">
        <f>VLOOKUP(C52,'Chấm công công nhân'!L51:AS120,34,0)</f>
        <v>4</v>
      </c>
      <c r="X52" s="2267">
        <f>VLOOKUP(C52,'Chấm công công nhân'!L51:AT86,35,0)</f>
        <v>0</v>
      </c>
      <c r="Y52" s="2267">
        <f>VLOOKUP(C52,'Chấm công công nhân'!L51:AU120,36,0)</f>
        <v>0</v>
      </c>
      <c r="Z52" s="2267"/>
      <c r="AA52" s="2267" t="str">
        <f>VLOOKUP(C52,'Kỷ thuật'!C49:M49,11,0)</f>
        <v>A</v>
      </c>
      <c r="AB52" s="2268"/>
    </row>
    <row r="53" spans="1:53" s="824" customFormat="1" ht="18" customHeight="1">
      <c r="A53" s="2287">
        <v>40</v>
      </c>
      <c r="B53" s="2252">
        <v>3</v>
      </c>
      <c r="C53" s="2277" t="str">
        <f>'Chấm công công nhân'!L52</f>
        <v>Nàng Ọt</v>
      </c>
      <c r="D53" s="2259"/>
      <c r="E53" s="2260"/>
      <c r="F53" s="2260"/>
      <c r="G53" s="2260"/>
      <c r="H53" s="2260"/>
      <c r="I53" s="2261">
        <f>'kt2'!H16</f>
        <v>0</v>
      </c>
      <c r="J53" s="2262"/>
      <c r="K53" s="2305">
        <f>'mcm t2'!H16</f>
        <v>0</v>
      </c>
      <c r="L53" s="2262"/>
      <c r="M53" s="2305">
        <f>'mpc t2'!H16</f>
        <v>0</v>
      </c>
      <c r="N53" s="2262"/>
      <c r="O53" s="2262"/>
      <c r="P53" s="2262"/>
      <c r="Q53" s="2262"/>
      <c r="R53" s="2263">
        <f t="shared" si="3"/>
        <v>0</v>
      </c>
      <c r="S53" s="2264">
        <f>VLOOKUP(C53,Mủ!C52:AI66,33,0)</f>
        <v>2401</v>
      </c>
      <c r="T53" s="2265"/>
      <c r="U53" s="2264">
        <f>VLOOKUP(C53,Mủ!C52:AJ66,34,0)</f>
        <v>1031.3831111111112</v>
      </c>
      <c r="V53" s="2267">
        <f>VLOOKUP(C53,'Chấm công công nhân'!L52:AR52,33,0)</f>
        <v>27</v>
      </c>
      <c r="W53" s="2267">
        <f>VLOOKUP(C53,'Chấm công công nhân'!L52:AS121,34,0)</f>
        <v>4</v>
      </c>
      <c r="X53" s="2267">
        <f>VLOOKUP(C53,'Chấm công công nhân'!L52:AT87,35,0)</f>
        <v>0</v>
      </c>
      <c r="Y53" s="2267">
        <f>VLOOKUP(C53,'Chấm công công nhân'!L52:AU121,36,0)</f>
        <v>0</v>
      </c>
      <c r="Z53" s="2267"/>
      <c r="AA53" s="2267" t="str">
        <f>VLOOKUP(C53,'Kỷ thuật'!C50:M50,11,0)</f>
        <v>B</v>
      </c>
      <c r="AB53" s="2268"/>
    </row>
    <row r="54" spans="1:53" s="824" customFormat="1" ht="18" customHeight="1">
      <c r="A54" s="2287">
        <v>41</v>
      </c>
      <c r="B54" s="2252">
        <v>4</v>
      </c>
      <c r="C54" s="2277" t="str">
        <f>'Chấm công công nhân'!L53</f>
        <v>Thào Tòng</v>
      </c>
      <c r="D54" s="2259"/>
      <c r="E54" s="2260"/>
      <c r="F54" s="2260"/>
      <c r="G54" s="2260"/>
      <c r="H54" s="2260"/>
      <c r="I54" s="2261">
        <f>'kt2'!H17</f>
        <v>0</v>
      </c>
      <c r="J54" s="2262"/>
      <c r="K54" s="2305">
        <f>'mcm t2'!H17</f>
        <v>0</v>
      </c>
      <c r="L54" s="2262"/>
      <c r="M54" s="2305">
        <f>'mpc t2'!H17</f>
        <v>0</v>
      </c>
      <c r="N54" s="2262"/>
      <c r="O54" s="2262"/>
      <c r="P54" s="2262"/>
      <c r="Q54" s="2262"/>
      <c r="R54" s="2263">
        <f t="shared" si="3"/>
        <v>0</v>
      </c>
      <c r="S54" s="2264">
        <f>VLOOKUP(C54,Mủ!C53:AI67,33,0)</f>
        <v>2394</v>
      </c>
      <c r="T54" s="2265"/>
      <c r="U54" s="2264">
        <f>VLOOKUP(C54,Mủ!C53:AJ67,34,0)</f>
        <v>1028.3761632653063</v>
      </c>
      <c r="V54" s="2267">
        <f>VLOOKUP(C54,'Chấm công công nhân'!L53:AR53,33,0)</f>
        <v>27</v>
      </c>
      <c r="W54" s="2267">
        <f>VLOOKUP(C54,'Chấm công công nhân'!L53:AS122,34,0)</f>
        <v>4</v>
      </c>
      <c r="X54" s="2267">
        <f>VLOOKUP(C54,'Chấm công công nhân'!L53:AT88,35,0)</f>
        <v>0</v>
      </c>
      <c r="Y54" s="2267">
        <f>VLOOKUP(C54,'Chấm công công nhân'!L53:AU122,36,0)</f>
        <v>0</v>
      </c>
      <c r="Z54" s="2267"/>
      <c r="AA54" s="2267" t="str">
        <f>VLOOKUP(C54,'Kỷ thuật'!C51:M51,11,0)</f>
        <v>B</v>
      </c>
      <c r="AB54" s="2268"/>
    </row>
    <row r="55" spans="1:53" s="824" customFormat="1" ht="18" customHeight="1">
      <c r="A55" s="2287">
        <v>42</v>
      </c>
      <c r="B55" s="2252">
        <v>5</v>
      </c>
      <c r="C55" s="2277" t="str">
        <f>'Chấm công công nhân'!L54</f>
        <v>Nàng Nơm</v>
      </c>
      <c r="D55" s="2259"/>
      <c r="E55" s="2260"/>
      <c r="F55" s="2260"/>
      <c r="G55" s="2260"/>
      <c r="H55" s="2260"/>
      <c r="I55" s="2261">
        <f>'kt2'!H18</f>
        <v>0</v>
      </c>
      <c r="J55" s="2262"/>
      <c r="K55" s="2305">
        <f>'mcm t2'!H18</f>
        <v>0</v>
      </c>
      <c r="L55" s="2262"/>
      <c r="M55" s="2305">
        <f>'mpc t2'!H18</f>
        <v>0</v>
      </c>
      <c r="N55" s="2262"/>
      <c r="O55" s="2262"/>
      <c r="P55" s="2262"/>
      <c r="Q55" s="2262"/>
      <c r="R55" s="2263">
        <f t="shared" si="3"/>
        <v>0</v>
      </c>
      <c r="S55" s="2264">
        <f>VLOOKUP(C55,Mủ!C54:AI68,33,0)</f>
        <v>2389</v>
      </c>
      <c r="T55" s="2265"/>
      <c r="U55" s="2264">
        <f>VLOOKUP(C55,Mủ!C54:AJ68,34,0)</f>
        <v>1026.2283433754455</v>
      </c>
      <c r="V55" s="2267">
        <f>VLOOKUP(C55,'Chấm công công nhân'!L54:AR54,33,0)</f>
        <v>27</v>
      </c>
      <c r="W55" s="2267">
        <f>VLOOKUP(C55,'Chấm công công nhân'!L54:AS123,34,0)</f>
        <v>4</v>
      </c>
      <c r="X55" s="2267">
        <f>VLOOKUP(C55,'Chấm công công nhân'!L54:AT89,35,0)</f>
        <v>0</v>
      </c>
      <c r="Y55" s="2267">
        <f>VLOOKUP(C55,'Chấm công công nhân'!L54:AU123,36,0)</f>
        <v>0</v>
      </c>
      <c r="Z55" s="2267"/>
      <c r="AA55" s="2267" t="str">
        <f>VLOOKUP(C55,'Kỷ thuật'!C52:M52,11,0)</f>
        <v>A</v>
      </c>
      <c r="AB55" s="2268"/>
    </row>
    <row r="56" spans="1:53" s="824" customFormat="1" ht="18" customHeight="1">
      <c r="A56" s="2287">
        <v>43</v>
      </c>
      <c r="B56" s="2252">
        <v>6</v>
      </c>
      <c r="C56" s="2277" t="str">
        <f>'Chấm công công nhân'!L55</f>
        <v>Thảo Ây</v>
      </c>
      <c r="D56" s="2259"/>
      <c r="E56" s="2260"/>
      <c r="F56" s="2260"/>
      <c r="G56" s="2260"/>
      <c r="H56" s="2260"/>
      <c r="I56" s="2261">
        <f>'kt2'!H19</f>
        <v>0</v>
      </c>
      <c r="J56" s="2262"/>
      <c r="K56" s="2305">
        <f>'mcm t2'!H19</f>
        <v>0</v>
      </c>
      <c r="L56" s="2262"/>
      <c r="M56" s="2305">
        <f>'mpc t2'!H19</f>
        <v>0</v>
      </c>
      <c r="N56" s="2262"/>
      <c r="O56" s="2262"/>
      <c r="P56" s="2262"/>
      <c r="Q56" s="2262"/>
      <c r="R56" s="2263">
        <f t="shared" si="3"/>
        <v>0</v>
      </c>
      <c r="S56" s="2264">
        <f>VLOOKUP(C56,Mủ!C55:AI69,33,0)</f>
        <v>2378</v>
      </c>
      <c r="T56" s="2265"/>
      <c r="U56" s="2264">
        <f>VLOOKUP(C56,Mủ!C55:AJ69,34,0)</f>
        <v>1021.503139617752</v>
      </c>
      <c r="V56" s="2267">
        <f>VLOOKUP(C56,'Chấm công công nhân'!L55:AR55,33,0)</f>
        <v>27</v>
      </c>
      <c r="W56" s="2267">
        <f>VLOOKUP(C56,'Chấm công công nhân'!L55:AS124,34,0)</f>
        <v>4</v>
      </c>
      <c r="X56" s="2267">
        <f>VLOOKUP(C56,'Chấm công công nhân'!L55:AT90,35,0)</f>
        <v>0</v>
      </c>
      <c r="Y56" s="2267">
        <f>VLOOKUP(C56,'Chấm công công nhân'!L55:AU124,36,0)</f>
        <v>0</v>
      </c>
      <c r="Z56" s="2267"/>
      <c r="AA56" s="2267" t="str">
        <f>VLOOKUP(C56,'Kỷ thuật'!C53:M53,11,0)</f>
        <v>A</v>
      </c>
      <c r="AB56" s="2268"/>
    </row>
    <row r="57" spans="1:53" s="824" customFormat="1" ht="18" customHeight="1">
      <c r="A57" s="2287">
        <v>44</v>
      </c>
      <c r="B57" s="2252">
        <v>7</v>
      </c>
      <c r="C57" s="2277" t="str">
        <f>'Chấm công công nhân'!L56</f>
        <v>Thảo Âm Thong</v>
      </c>
      <c r="D57" s="2259"/>
      <c r="E57" s="2260"/>
      <c r="F57" s="2260"/>
      <c r="G57" s="2260"/>
      <c r="H57" s="2260"/>
      <c r="I57" s="2261">
        <f>'kt2'!H20</f>
        <v>0</v>
      </c>
      <c r="J57" s="2262"/>
      <c r="K57" s="2305">
        <f>'mcm t2'!H20</f>
        <v>0</v>
      </c>
      <c r="L57" s="2262"/>
      <c r="M57" s="2305">
        <f>'mpc t2'!H20</f>
        <v>0</v>
      </c>
      <c r="N57" s="2262"/>
      <c r="O57" s="2262"/>
      <c r="P57" s="2262"/>
      <c r="Q57" s="2262"/>
      <c r="R57" s="2263">
        <f t="shared" si="3"/>
        <v>0</v>
      </c>
      <c r="S57" s="2264">
        <f>VLOOKUP(C57,Mủ!C56:AI70,33,0)</f>
        <v>2010</v>
      </c>
      <c r="T57" s="2265"/>
      <c r="U57" s="2264">
        <f>VLOOKUP(C57,Mủ!C56:AJ70,34,0)</f>
        <v>863.42359572400392</v>
      </c>
      <c r="V57" s="2267">
        <f>VLOOKUP(C57,'Chấm công công nhân'!L56:AR56,33,0)</f>
        <v>24</v>
      </c>
      <c r="W57" s="2267">
        <f>VLOOKUP(C57,'Chấm công công nhân'!L56:AS125,34,0)</f>
        <v>3</v>
      </c>
      <c r="X57" s="2267">
        <f>VLOOKUP(C57,'Chấm công công nhân'!L56:AT91,35,0)</f>
        <v>0</v>
      </c>
      <c r="Y57" s="2267">
        <f>VLOOKUP(C57,'Chấm công công nhân'!L56:AU125,36,0)</f>
        <v>0</v>
      </c>
      <c r="Z57" s="2267"/>
      <c r="AA57" s="2267" t="str">
        <f>VLOOKUP(C57,'Kỷ thuật'!C54:M54,11,0)</f>
        <v>C</v>
      </c>
      <c r="AB57" s="2268"/>
    </row>
    <row r="58" spans="1:53" s="824" customFormat="1" ht="18" customHeight="1">
      <c r="A58" s="2287">
        <v>45</v>
      </c>
      <c r="B58" s="2252">
        <v>8</v>
      </c>
      <c r="C58" s="2277" t="str">
        <f>'Chấm công công nhân'!L57</f>
        <v>Nàng phon</v>
      </c>
      <c r="D58" s="2259"/>
      <c r="E58" s="2260"/>
      <c r="F58" s="2260"/>
      <c r="G58" s="2260"/>
      <c r="H58" s="2260"/>
      <c r="I58" s="2261">
        <f>'kt2'!H21</f>
        <v>0</v>
      </c>
      <c r="J58" s="2262"/>
      <c r="K58" s="2305">
        <f>'mcm t2'!H21</f>
        <v>0</v>
      </c>
      <c r="L58" s="2262"/>
      <c r="M58" s="2305">
        <f>'mpc t2'!H21</f>
        <v>0</v>
      </c>
      <c r="N58" s="2262"/>
      <c r="O58" s="2262"/>
      <c r="P58" s="2262"/>
      <c r="Q58" s="2262"/>
      <c r="R58" s="2263">
        <f t="shared" si="3"/>
        <v>0</v>
      </c>
      <c r="S58" s="2264">
        <f>VLOOKUP(C58,Mủ!C57:AI71,33,0)</f>
        <v>2214</v>
      </c>
      <c r="T58" s="2265"/>
      <c r="U58" s="2264">
        <f>VLOOKUP(C58,Mủ!C57:AJ71,34,0)</f>
        <v>951.05464723032082</v>
      </c>
      <c r="V58" s="2267">
        <f>VLOOKUP(C58,'Chấm công công nhân'!L57:AR57,33,0)</f>
        <v>24</v>
      </c>
      <c r="W58" s="2267">
        <f>VLOOKUP(C58,'Chấm công công nhân'!L57:AS126,34,0)</f>
        <v>4</v>
      </c>
      <c r="X58" s="2267">
        <f>VLOOKUP(C58,'Chấm công công nhân'!L57:AT92,35,0)</f>
        <v>0</v>
      </c>
      <c r="Y58" s="2267">
        <f>VLOOKUP(C58,'Chấm công công nhân'!L57:AU126,36,0)</f>
        <v>0</v>
      </c>
      <c r="Z58" s="2267"/>
      <c r="AA58" s="2267" t="str">
        <f>VLOOKUP(C58,'Kỷ thuật'!C55:M55,11,0)</f>
        <v>B</v>
      </c>
      <c r="AB58" s="2268"/>
    </row>
    <row r="59" spans="1:53" s="824" customFormat="1" ht="18" customHeight="1">
      <c r="A59" s="2287">
        <v>46</v>
      </c>
      <c r="B59" s="2252">
        <v>9</v>
      </c>
      <c r="C59" s="2277" t="str">
        <f>'Chấm công công nhân'!L58</f>
        <v>Thảo phắt</v>
      </c>
      <c r="D59" s="2259"/>
      <c r="E59" s="2260"/>
      <c r="F59" s="2260"/>
      <c r="G59" s="2260"/>
      <c r="H59" s="2260"/>
      <c r="I59" s="2261">
        <f>'kt2'!H22</f>
        <v>0</v>
      </c>
      <c r="J59" s="2262"/>
      <c r="K59" s="2305">
        <f>'mcm t2'!H22</f>
        <v>0</v>
      </c>
      <c r="L59" s="2262"/>
      <c r="M59" s="2305">
        <f>'mpc t2'!H22</f>
        <v>0</v>
      </c>
      <c r="N59" s="2262"/>
      <c r="O59" s="2262"/>
      <c r="P59" s="2262"/>
      <c r="Q59" s="2262"/>
      <c r="R59" s="2263">
        <f t="shared" si="3"/>
        <v>0</v>
      </c>
      <c r="S59" s="2264">
        <f>VLOOKUP(C59,Mủ!C58:AI72,33,0)</f>
        <v>2568</v>
      </c>
      <c r="T59" s="2265"/>
      <c r="U59" s="2264">
        <f>VLOOKUP(C59,Mủ!C58:AJ72,34,0)</f>
        <v>1103.1202954324588</v>
      </c>
      <c r="V59" s="2267">
        <f>VLOOKUP(C59,'Chấm công công nhân'!L58:AR58,33,0)</f>
        <v>27</v>
      </c>
      <c r="W59" s="2267">
        <f>VLOOKUP(C59,'Chấm công công nhân'!L58:AS127,34,0)</f>
        <v>4</v>
      </c>
      <c r="X59" s="2267">
        <f>VLOOKUP(C59,'Chấm công công nhân'!L58:AT93,35,0)</f>
        <v>0</v>
      </c>
      <c r="Y59" s="2267">
        <f>VLOOKUP(C59,'Chấm công công nhân'!L58:AU127,36,0)</f>
        <v>0</v>
      </c>
      <c r="Z59" s="2267"/>
      <c r="AA59" s="2267" t="str">
        <f>VLOOKUP(C59,'Kỷ thuật'!C56:M56,11,0)</f>
        <v>B</v>
      </c>
      <c r="AB59" s="2268"/>
    </row>
    <row r="60" spans="1:53" s="824" customFormat="1" ht="18" customHeight="1">
      <c r="A60" s="2287">
        <v>47</v>
      </c>
      <c r="B60" s="2252">
        <v>10</v>
      </c>
      <c r="C60" s="2277" t="str">
        <f>'Chấm công công nhân'!L59</f>
        <v>Thảo Phon Say</v>
      </c>
      <c r="D60" s="2259"/>
      <c r="E60" s="2260"/>
      <c r="F60" s="2260"/>
      <c r="G60" s="2260"/>
      <c r="H60" s="2260"/>
      <c r="I60" s="2261">
        <f>'kt2'!H23</f>
        <v>0</v>
      </c>
      <c r="J60" s="2262"/>
      <c r="K60" s="2305">
        <f>'mcm t2'!H23</f>
        <v>0</v>
      </c>
      <c r="L60" s="2262"/>
      <c r="M60" s="2305">
        <f>'mpc t2'!H23</f>
        <v>0</v>
      </c>
      <c r="N60" s="2262"/>
      <c r="O60" s="2262"/>
      <c r="P60" s="2262"/>
      <c r="Q60" s="2262"/>
      <c r="R60" s="2263">
        <f t="shared" si="3"/>
        <v>0</v>
      </c>
      <c r="S60" s="2264">
        <f>VLOOKUP(C60,Mủ!C59:AI73,33,0)</f>
        <v>2663</v>
      </c>
      <c r="T60" s="2265"/>
      <c r="U60" s="2264">
        <f>VLOOKUP(C60,Mủ!C59:AJ73,34,0)</f>
        <v>1143.9288733398123</v>
      </c>
      <c r="V60" s="2267">
        <f>VLOOKUP(C60,'Chấm công công nhân'!L59:AR59,33,0)</f>
        <v>27</v>
      </c>
      <c r="W60" s="2267">
        <f>VLOOKUP(C60,'Chấm công công nhân'!L59:AS128,34,0)</f>
        <v>4</v>
      </c>
      <c r="X60" s="2267">
        <f>VLOOKUP(C60,'Chấm công công nhân'!L59:AT94,35,0)</f>
        <v>0</v>
      </c>
      <c r="Y60" s="2267">
        <f>VLOOKUP(C60,'Chấm công công nhân'!L59:AU128,36,0)</f>
        <v>0</v>
      </c>
      <c r="Z60" s="2267"/>
      <c r="AA60" s="2267" t="str">
        <f>VLOOKUP(C60,'Kỷ thuật'!C57:M57,11,0)</f>
        <v>B</v>
      </c>
      <c r="AB60" s="2268"/>
    </row>
    <row r="61" spans="1:53" s="824" customFormat="1" ht="18" customHeight="1">
      <c r="A61" s="2287">
        <v>48</v>
      </c>
      <c r="B61" s="2252">
        <v>11</v>
      </c>
      <c r="C61" s="2277" t="str">
        <f>'Chấm công công nhân'!L60</f>
        <v>Nàng Pít</v>
      </c>
      <c r="D61" s="2259"/>
      <c r="E61" s="2260"/>
      <c r="F61" s="2260"/>
      <c r="G61" s="2260"/>
      <c r="H61" s="2260"/>
      <c r="I61" s="2261">
        <f>'kt2'!H24</f>
        <v>0</v>
      </c>
      <c r="J61" s="2262"/>
      <c r="K61" s="2305">
        <f>'mcm t2'!H24</f>
        <v>0</v>
      </c>
      <c r="L61" s="2262"/>
      <c r="M61" s="2305">
        <f>'mpc t2'!H24</f>
        <v>0</v>
      </c>
      <c r="N61" s="2262"/>
      <c r="O61" s="2262"/>
      <c r="P61" s="2262"/>
      <c r="Q61" s="2262"/>
      <c r="R61" s="2263">
        <f t="shared" si="3"/>
        <v>0</v>
      </c>
      <c r="S61" s="2264">
        <f>VLOOKUP(C61,Mủ!C60:AI74,33,0)</f>
        <v>2289</v>
      </c>
      <c r="T61" s="2265"/>
      <c r="U61" s="2264">
        <f>VLOOKUP(C61,Mủ!C60:AJ74,34,0)</f>
        <v>983.27194557823134</v>
      </c>
      <c r="V61" s="2267">
        <f>VLOOKUP(C61,'Chấm công công nhân'!L60:AR60,33,0)</f>
        <v>26</v>
      </c>
      <c r="W61" s="2267">
        <f>VLOOKUP(C61,'Chấm công công nhân'!L60:AS129,34,0)</f>
        <v>4</v>
      </c>
      <c r="X61" s="2267">
        <f>VLOOKUP(C61,'Chấm công công nhân'!L60:AT95,35,0)</f>
        <v>0</v>
      </c>
      <c r="Y61" s="2267">
        <f>VLOOKUP(C61,'Chấm công công nhân'!L60:AU129,36,0)</f>
        <v>0</v>
      </c>
      <c r="Z61" s="2267"/>
      <c r="AA61" s="2267" t="str">
        <f>VLOOKUP(C61,'Kỷ thuật'!C58:M58,11,0)</f>
        <v>C</v>
      </c>
      <c r="AB61" s="2268"/>
    </row>
    <row r="62" spans="1:53" s="824" customFormat="1" ht="18" customHeight="1">
      <c r="A62" s="2287">
        <v>49</v>
      </c>
      <c r="B62" s="2252">
        <v>12</v>
      </c>
      <c r="C62" s="2277" t="str">
        <f>'Chấm công công nhân'!L61</f>
        <v>Thảo út</v>
      </c>
      <c r="D62" s="2259"/>
      <c r="E62" s="2260"/>
      <c r="F62" s="2260"/>
      <c r="G62" s="2260"/>
      <c r="H62" s="2260"/>
      <c r="I62" s="2261">
        <f>'kt2'!H25</f>
        <v>0</v>
      </c>
      <c r="J62" s="2262"/>
      <c r="K62" s="2305">
        <f>'mcm t2'!H25</f>
        <v>0</v>
      </c>
      <c r="L62" s="2262"/>
      <c r="M62" s="2305">
        <f>'mpc t2'!H25</f>
        <v>0</v>
      </c>
      <c r="N62" s="2262"/>
      <c r="O62" s="2262"/>
      <c r="P62" s="2262"/>
      <c r="Q62" s="2262"/>
      <c r="R62" s="2263">
        <f t="shared" si="3"/>
        <v>0</v>
      </c>
      <c r="S62" s="2264">
        <f>VLOOKUP(C62,Mủ!C61:AI75,33,0)</f>
        <v>2619</v>
      </c>
      <c r="T62" s="2265"/>
      <c r="U62" s="2264">
        <f>VLOOKUP(C62,Mủ!C61:AJ75,34,0)</f>
        <v>1125.028058309038</v>
      </c>
      <c r="V62" s="2267">
        <f>VLOOKUP(C62,'Chấm công công nhân'!L61:AR61,33,0)</f>
        <v>27</v>
      </c>
      <c r="W62" s="2267">
        <f>VLOOKUP(C62,'Chấm công công nhân'!L61:AS130,34,0)</f>
        <v>4</v>
      </c>
      <c r="X62" s="2267">
        <f>VLOOKUP(C62,'Chấm công công nhân'!L61:AT96,35,0)</f>
        <v>0</v>
      </c>
      <c r="Y62" s="2267">
        <f>VLOOKUP(C62,'Chấm công công nhân'!L61:AU130,36,0)</f>
        <v>0</v>
      </c>
      <c r="Z62" s="2267"/>
      <c r="AA62" s="2267" t="str">
        <f>VLOOKUP(C62,'Kỷ thuật'!C59:M59,11,0)</f>
        <v>A</v>
      </c>
      <c r="AB62" s="2268"/>
    </row>
    <row r="63" spans="1:53" s="824" customFormat="1" ht="18" customHeight="1">
      <c r="A63" s="2287">
        <v>50</v>
      </c>
      <c r="B63" s="2252">
        <v>13</v>
      </c>
      <c r="C63" s="2277" t="str">
        <f>'Chấm công công nhân'!L62</f>
        <v>Nàng ăm</v>
      </c>
      <c r="D63" s="2259"/>
      <c r="E63" s="2260"/>
      <c r="F63" s="2260"/>
      <c r="G63" s="2260"/>
      <c r="H63" s="2260"/>
      <c r="I63" s="2261">
        <f>'kt2'!H26</f>
        <v>0</v>
      </c>
      <c r="J63" s="2262"/>
      <c r="K63" s="2305">
        <f>'mcm t2'!H26</f>
        <v>0</v>
      </c>
      <c r="L63" s="2262"/>
      <c r="M63" s="2305">
        <f>'mpc t2'!H26</f>
        <v>0</v>
      </c>
      <c r="N63" s="2262"/>
      <c r="O63" s="2262"/>
      <c r="P63" s="2262"/>
      <c r="Q63" s="2262"/>
      <c r="R63" s="2263">
        <f t="shared" si="3"/>
        <v>0</v>
      </c>
      <c r="S63" s="2264">
        <f>VLOOKUP(C63,Mủ!C62:AI76,33,0)</f>
        <v>2763</v>
      </c>
      <c r="T63" s="2265"/>
      <c r="U63" s="2264">
        <f>VLOOKUP(C63,Mủ!C62:AJ76,34,0)</f>
        <v>1186.8852711370264</v>
      </c>
      <c r="V63" s="2267">
        <f>VLOOKUP(C63,'Chấm công công nhân'!L62:AR62,33,0)</f>
        <v>23</v>
      </c>
      <c r="W63" s="2267">
        <f>VLOOKUP(C63,'Chấm công công nhân'!L62:AS131,34,0)</f>
        <v>4</v>
      </c>
      <c r="X63" s="2267">
        <f>VLOOKUP(C63,'Chấm công công nhân'!L62:AT97,35,0)</f>
        <v>0</v>
      </c>
      <c r="Y63" s="2267">
        <f>VLOOKUP(C63,'Chấm công công nhân'!L62:AU131,36,0)</f>
        <v>0</v>
      </c>
      <c r="Z63" s="2267"/>
      <c r="AA63" s="2267" t="str">
        <f>VLOOKUP(C63,'Kỷ thuật'!C60:M60,11,0)</f>
        <v>B</v>
      </c>
      <c r="AB63" s="2268"/>
    </row>
    <row r="64" spans="1:53" s="838" customFormat="1" ht="18" customHeight="1">
      <c r="A64" s="2287">
        <v>51</v>
      </c>
      <c r="B64" s="2252">
        <v>14</v>
      </c>
      <c r="C64" s="2277" t="str">
        <f>'Chấm công công nhân'!L63</f>
        <v>Nàng Phìn</v>
      </c>
      <c r="D64" s="2259"/>
      <c r="E64" s="2260"/>
      <c r="F64" s="2260"/>
      <c r="G64" s="2260"/>
      <c r="H64" s="2260"/>
      <c r="I64" s="2261">
        <f>'kt2'!H27</f>
        <v>0</v>
      </c>
      <c r="J64" s="2262"/>
      <c r="K64" s="2305">
        <f>'mcm t2'!H27</f>
        <v>0</v>
      </c>
      <c r="L64" s="2262"/>
      <c r="M64" s="2305">
        <f>'mpc t2'!H27</f>
        <v>0</v>
      </c>
      <c r="N64" s="2262"/>
      <c r="O64" s="2262"/>
      <c r="P64" s="2262"/>
      <c r="Q64" s="2262"/>
      <c r="R64" s="2263">
        <f t="shared" si="3"/>
        <v>0</v>
      </c>
      <c r="S64" s="2264">
        <f>VLOOKUP(C64,Mủ!C63:AI77,33,0)</f>
        <v>2656</v>
      </c>
      <c r="T64" s="2265"/>
      <c r="U64" s="2264">
        <f>VLOOKUP(C64,Mủ!C63:AJ77,34,0)</f>
        <v>1140.9219254940074</v>
      </c>
      <c r="V64" s="2267">
        <f>VLOOKUP(C64,'Chấm công công nhân'!L63:AR63,33,0)</f>
        <v>27</v>
      </c>
      <c r="W64" s="2267">
        <f>VLOOKUP(C64,'Chấm công công nhân'!L63:AS132,34,0)</f>
        <v>4</v>
      </c>
      <c r="X64" s="2267">
        <f>VLOOKUP(C64,'Chấm công công nhân'!L63:AT98,35,0)</f>
        <v>0</v>
      </c>
      <c r="Y64" s="2267">
        <f>VLOOKUP(C64,'Chấm công công nhân'!L63:AU132,36,0)</f>
        <v>0</v>
      </c>
      <c r="Z64" s="2267"/>
      <c r="AA64" s="2267" t="str">
        <f>VLOOKUP(C64,'Kỷ thuật'!C61:M61,11,0)</f>
        <v>A</v>
      </c>
      <c r="AB64" s="2268"/>
      <c r="AC64" s="824"/>
      <c r="AD64" s="824"/>
      <c r="AE64" s="824"/>
      <c r="AF64" s="824"/>
      <c r="AG64" s="824"/>
      <c r="AH64" s="824"/>
      <c r="AI64" s="824"/>
      <c r="AJ64" s="824"/>
      <c r="AK64" s="824"/>
      <c r="AL64" s="824"/>
      <c r="AM64" s="824"/>
      <c r="AN64" s="824"/>
      <c r="AO64" s="824"/>
      <c r="AP64" s="824"/>
      <c r="AQ64" s="824"/>
      <c r="AR64" s="824"/>
      <c r="AS64" s="824"/>
      <c r="AT64" s="824"/>
      <c r="AU64" s="824"/>
      <c r="AV64" s="824"/>
      <c r="AW64" s="824"/>
      <c r="AX64" s="824"/>
      <c r="AY64" s="824"/>
      <c r="AZ64" s="824"/>
      <c r="BA64" s="824"/>
    </row>
    <row r="65" spans="1:53" s="838" customFormat="1" ht="18" customHeight="1">
      <c r="A65" s="2287">
        <v>52</v>
      </c>
      <c r="B65" s="2276">
        <v>15</v>
      </c>
      <c r="C65" s="2277" t="str">
        <f>'Chấm công công nhân'!L64</f>
        <v>May</v>
      </c>
      <c r="D65" s="2262"/>
      <c r="E65" s="2261"/>
      <c r="F65" s="2261"/>
      <c r="G65" s="2261"/>
      <c r="H65" s="2260"/>
      <c r="I65" s="2261">
        <f>'kt2'!H28</f>
        <v>0</v>
      </c>
      <c r="J65" s="2262"/>
      <c r="K65" s="2305">
        <f>'mcm t2'!H28</f>
        <v>0</v>
      </c>
      <c r="L65" s="2262"/>
      <c r="M65" s="2305">
        <f>'mpc t2'!H28</f>
        <v>0</v>
      </c>
      <c r="N65" s="2262"/>
      <c r="O65" s="2262"/>
      <c r="P65" s="2262"/>
      <c r="Q65" s="2262"/>
      <c r="R65" s="2263">
        <f t="shared" si="3"/>
        <v>0</v>
      </c>
      <c r="S65" s="2264">
        <f>VLOOKUP(C65,Mủ!C64:AI78,33,0)</f>
        <v>2811</v>
      </c>
      <c r="T65" s="2265"/>
      <c r="U65" s="2264">
        <f>VLOOKUP(C65,Mủ!C64:AJ78,34,0)</f>
        <v>1207.5043420796892</v>
      </c>
      <c r="V65" s="2267">
        <f>VLOOKUP(C65,'Chấm công công nhân'!L64:AR64,33,0)</f>
        <v>24</v>
      </c>
      <c r="W65" s="2267">
        <f>VLOOKUP(C65,'Chấm công công nhân'!L64:AS133,34,0)</f>
        <v>4</v>
      </c>
      <c r="X65" s="2267">
        <f>VLOOKUP(C65,'Chấm công công nhân'!L64:AT99,35,0)</f>
        <v>0</v>
      </c>
      <c r="Y65" s="2267">
        <f>VLOOKUP(C65,'Chấm công công nhân'!L64:AU133,36,0)</f>
        <v>0</v>
      </c>
      <c r="Z65" s="2267"/>
      <c r="AA65" s="2267" t="str">
        <f>VLOOKUP(C65,'Kỷ thuật'!C62:M62,11,0)</f>
        <v>A</v>
      </c>
      <c r="AB65" s="2278"/>
    </row>
    <row r="66" spans="1:53" s="1651" customFormat="1" ht="18" customHeight="1">
      <c r="A66" s="2287">
        <v>53</v>
      </c>
      <c r="B66" s="2252">
        <v>16</v>
      </c>
      <c r="C66" s="1965" t="s">
        <v>1143</v>
      </c>
      <c r="D66" s="2271"/>
      <c r="E66" s="2271"/>
      <c r="F66" s="2271"/>
      <c r="G66" s="2271"/>
      <c r="H66" s="2270"/>
      <c r="I66" s="2271">
        <f>AE87+AG87</f>
        <v>0</v>
      </c>
      <c r="J66" s="2271"/>
      <c r="K66" s="2709"/>
      <c r="M66" s="2709"/>
      <c r="N66" s="2271"/>
      <c r="O66" s="2271"/>
      <c r="P66" s="2271"/>
      <c r="Q66" s="2271"/>
      <c r="R66" s="3431">
        <f t="shared" si="3"/>
        <v>0</v>
      </c>
      <c r="S66" s="2272"/>
      <c r="T66" s="2273"/>
      <c r="U66" s="2274"/>
      <c r="V66" s="2273"/>
      <c r="W66" s="2273"/>
      <c r="X66" s="2273"/>
      <c r="Y66" s="2273"/>
      <c r="Z66" s="2273"/>
      <c r="AA66" s="2273"/>
      <c r="AB66" s="2279"/>
      <c r="AC66" s="1265"/>
      <c r="AD66" s="1265"/>
      <c r="AE66" s="1265"/>
      <c r="AF66" s="1265"/>
      <c r="AG66" s="1265"/>
      <c r="AH66" s="1265"/>
      <c r="AI66" s="1265"/>
      <c r="AJ66" s="1265"/>
      <c r="AK66" s="1265"/>
      <c r="AL66" s="1265"/>
      <c r="AM66" s="1265"/>
      <c r="AN66" s="1265"/>
      <c r="AO66" s="1265"/>
      <c r="AP66" s="1265"/>
      <c r="AQ66" s="1265"/>
      <c r="AR66" s="1265"/>
      <c r="AS66" s="1265"/>
      <c r="AT66" s="1265"/>
      <c r="AU66" s="1265"/>
      <c r="AV66" s="1265"/>
      <c r="AW66" s="1265"/>
      <c r="AX66" s="1265"/>
      <c r="AY66" s="1265"/>
      <c r="AZ66" s="1265"/>
      <c r="BA66" s="1265"/>
    </row>
    <row r="67" spans="1:53" s="824" customFormat="1" ht="18" customHeight="1">
      <c r="A67" s="2288" t="s">
        <v>53</v>
      </c>
      <c r="B67" s="3903" t="s">
        <v>371</v>
      </c>
      <c r="C67" s="3903"/>
      <c r="D67" s="1646"/>
      <c r="E67" s="1647">
        <f t="shared" ref="E67:Y67" si="4">SUM(E68:E84)</f>
        <v>0</v>
      </c>
      <c r="F67" s="1647">
        <f t="shared" si="4"/>
        <v>0</v>
      </c>
      <c r="G67" s="1647"/>
      <c r="H67" s="1647">
        <f t="shared" si="4"/>
        <v>0</v>
      </c>
      <c r="I67" s="2764">
        <f t="shared" si="4"/>
        <v>0</v>
      </c>
      <c r="J67" s="1647">
        <f t="shared" si="4"/>
        <v>0</v>
      </c>
      <c r="K67" s="1647">
        <f t="shared" si="4"/>
        <v>0</v>
      </c>
      <c r="L67" s="1647">
        <f t="shared" si="4"/>
        <v>0</v>
      </c>
      <c r="M67" s="1647">
        <f t="shared" si="4"/>
        <v>0</v>
      </c>
      <c r="N67" s="1647">
        <f t="shared" si="4"/>
        <v>0</v>
      </c>
      <c r="O67" s="1647">
        <f t="shared" si="4"/>
        <v>0</v>
      </c>
      <c r="P67" s="1647">
        <f t="shared" si="4"/>
        <v>0</v>
      </c>
      <c r="Q67" s="1647"/>
      <c r="R67" s="1647">
        <f t="shared" si="4"/>
        <v>0</v>
      </c>
      <c r="S67" s="1647">
        <f t="shared" si="4"/>
        <v>24342</v>
      </c>
      <c r="T67" s="1647">
        <f t="shared" si="4"/>
        <v>140.1898809465122</v>
      </c>
      <c r="U67" s="1647">
        <f t="shared" si="4"/>
        <v>11489.905999999999</v>
      </c>
      <c r="V67" s="1647">
        <f t="shared" si="4"/>
        <v>305</v>
      </c>
      <c r="W67" s="1647">
        <f t="shared" si="4"/>
        <v>41</v>
      </c>
      <c r="X67" s="1647">
        <f t="shared" si="4"/>
        <v>0</v>
      </c>
      <c r="Y67" s="1647">
        <f t="shared" si="4"/>
        <v>0</v>
      </c>
      <c r="Z67" s="1648"/>
      <c r="AA67" s="1648"/>
      <c r="AB67" s="1653"/>
      <c r="AC67" s="1651"/>
      <c r="AD67" s="1651"/>
      <c r="AE67" s="1651"/>
      <c r="AF67" s="1651"/>
      <c r="AG67" s="1651"/>
      <c r="AH67" s="1651"/>
      <c r="AI67" s="1651"/>
      <c r="AJ67" s="1651"/>
      <c r="AK67" s="1651"/>
      <c r="AL67" s="1651"/>
      <c r="AM67" s="1651"/>
      <c r="AN67" s="1651"/>
      <c r="AO67" s="1651"/>
      <c r="AP67" s="1651"/>
      <c r="AQ67" s="1651"/>
      <c r="AR67" s="1651"/>
      <c r="AS67" s="1651"/>
      <c r="AT67" s="1651"/>
      <c r="AU67" s="1651"/>
      <c r="AV67" s="1651"/>
      <c r="AW67" s="1651"/>
      <c r="AX67" s="1651"/>
      <c r="AY67" s="1651"/>
      <c r="AZ67" s="1651"/>
      <c r="BA67" s="1651"/>
    </row>
    <row r="68" spans="1:53" s="824" customFormat="1" ht="18" customHeight="1">
      <c r="A68" s="2287">
        <v>54</v>
      </c>
      <c r="B68" s="2252">
        <v>1</v>
      </c>
      <c r="C68" s="2062" t="str">
        <f>'Chấm công công nhân'!L66</f>
        <v>Phò Đăm</v>
      </c>
      <c r="D68" s="2259"/>
      <c r="E68" s="2260"/>
      <c r="F68" s="2260"/>
      <c r="G68" s="2260"/>
      <c r="H68" s="2260"/>
      <c r="I68" s="2261">
        <f>'kt3'!H14</f>
        <v>0</v>
      </c>
      <c r="J68" s="2261">
        <f>'xã cạo t3'!H14</f>
        <v>0</v>
      </c>
      <c r="K68" s="2262"/>
      <c r="L68" s="2262"/>
      <c r="M68" s="2261">
        <f>'mpc t3'!H14</f>
        <v>0</v>
      </c>
      <c r="N68" s="2262"/>
      <c r="O68" s="2262"/>
      <c r="P68" s="2262"/>
      <c r="Q68" s="2262"/>
      <c r="R68" s="2583">
        <f>SUM(D68:Q68)</f>
        <v>0</v>
      </c>
      <c r="S68" s="2264">
        <f>VLOOKUP(C68,Mủ!C66:AI81,33,0)</f>
        <v>2580</v>
      </c>
      <c r="T68" s="2265"/>
      <c r="U68" s="2266">
        <f>VLOOKUP(C68,Mủ!C66:AJ72,34,0)</f>
        <v>1217.8110870101059</v>
      </c>
      <c r="V68" s="2267">
        <f>VLOOKUP(C68,'Chấm công công nhân'!L66:AR82,33,0)</f>
        <v>17</v>
      </c>
      <c r="W68" s="2267">
        <f>VLOOKUP(C68,'Chấm công công nhân'!L66:AS135,34,0)</f>
        <v>3</v>
      </c>
      <c r="X68" s="2267">
        <f>VLOOKUP(C68,'Chấm công công nhân'!L66:AT101,35,0)</f>
        <v>0</v>
      </c>
      <c r="Y68" s="2267">
        <f>VLOOKUP(C68,'Chấm công công nhân'!L66:AU135,36,0)</f>
        <v>0</v>
      </c>
      <c r="Z68" s="2267"/>
      <c r="AA68" s="2267" t="str">
        <f>VLOOKUP(C68,'Kỷ thuật'!C64:M64,11,0)</f>
        <v>A</v>
      </c>
      <c r="AB68" s="2268"/>
    </row>
    <row r="69" spans="1:53" s="824" customFormat="1" ht="18" customHeight="1">
      <c r="A69" s="2287">
        <v>55</v>
      </c>
      <c r="B69" s="2252">
        <v>2</v>
      </c>
      <c r="C69" s="2062" t="str">
        <f>'Chấm công công nhân'!L67</f>
        <v>Thảo Mai</v>
      </c>
      <c r="D69" s="2259"/>
      <c r="E69" s="2260"/>
      <c r="F69" s="2260"/>
      <c r="G69" s="2260"/>
      <c r="H69" s="2260"/>
      <c r="I69" s="2261">
        <f>'kt3'!H15</f>
        <v>0</v>
      </c>
      <c r="J69" s="2261">
        <f>'xã cạo t3'!H15</f>
        <v>0</v>
      </c>
      <c r="K69" s="2262"/>
      <c r="L69" s="2262"/>
      <c r="M69" s="2261">
        <f>'mpc t3'!H15</f>
        <v>0</v>
      </c>
      <c r="N69" s="2262"/>
      <c r="O69" s="2262"/>
      <c r="P69" s="2262"/>
      <c r="Q69" s="2262"/>
      <c r="R69" s="2583">
        <f t="shared" ref="R69:R84" si="5">SUM(D69:Q69)</f>
        <v>0</v>
      </c>
      <c r="S69" s="2264">
        <f>VLOOKUP(C69,Mủ!C67:AI82,33,0)</f>
        <v>487</v>
      </c>
      <c r="T69" s="2265"/>
      <c r="U69" s="2266">
        <f>VLOOKUP(C69,Mủ!C67:AJ73,34,0)</f>
        <v>229.87364316818667</v>
      </c>
      <c r="V69" s="2267">
        <f>VLOOKUP(C69,'Chấm công công nhân'!L67:AR83,33,0)</f>
        <v>6</v>
      </c>
      <c r="W69" s="2267">
        <f>VLOOKUP(C69,'Chấm công công nhân'!L67:AS136,34,0)</f>
        <v>1</v>
      </c>
      <c r="X69" s="2267">
        <f>VLOOKUP(C69,'Chấm công công nhân'!L67:AT102,35,0)</f>
        <v>0</v>
      </c>
      <c r="Y69" s="2267">
        <f>VLOOKUP(C69,'Chấm công công nhân'!L67:AU136,36,0)</f>
        <v>0</v>
      </c>
      <c r="Z69" s="2267"/>
      <c r="AA69" s="2267" t="str">
        <f>VLOOKUP(C69,'Kỷ thuật'!C65:M65,11,0)</f>
        <v>B</v>
      </c>
      <c r="AB69" s="2268"/>
    </row>
    <row r="70" spans="1:53" s="824" customFormat="1" ht="18" customHeight="1">
      <c r="A70" s="2287">
        <v>56</v>
      </c>
      <c r="B70" s="2252">
        <v>3</v>
      </c>
      <c r="C70" s="2062" t="str">
        <f>'Chấm công công nhân'!L68</f>
        <v>Thảo Tưng</v>
      </c>
      <c r="D70" s="2259"/>
      <c r="E70" s="2260"/>
      <c r="F70" s="2260"/>
      <c r="G70" s="2260"/>
      <c r="H70" s="2260"/>
      <c r="I70" s="2261">
        <f>'kt3'!H16</f>
        <v>0</v>
      </c>
      <c r="J70" s="2261">
        <f>'xã cạo t3'!H16</f>
        <v>0</v>
      </c>
      <c r="K70" s="2262"/>
      <c r="L70" s="2262"/>
      <c r="M70" s="2261">
        <f>'mpc t3'!H16</f>
        <v>0</v>
      </c>
      <c r="N70" s="2262"/>
      <c r="O70" s="2262"/>
      <c r="P70" s="2262"/>
      <c r="Q70" s="2262"/>
      <c r="R70" s="2583">
        <f t="shared" si="5"/>
        <v>0</v>
      </c>
      <c r="S70" s="2264">
        <f>VLOOKUP(C70,Mủ!C68:AI83,33,0)</f>
        <v>1055</v>
      </c>
      <c r="T70" s="2265"/>
      <c r="U70" s="2266">
        <f>VLOOKUP(C70,Mủ!C68:AJ74,34,0)</f>
        <v>497.9808902308767</v>
      </c>
      <c r="V70" s="2267">
        <f>VLOOKUP(C70,'Chấm công công nhân'!L68:AR84,33,0)</f>
        <v>18</v>
      </c>
      <c r="W70" s="2267">
        <f>VLOOKUP(C70,'Chấm công công nhân'!L68:AS137,34,0)</f>
        <v>3</v>
      </c>
      <c r="X70" s="2267">
        <f>VLOOKUP(C70,'Chấm công công nhân'!L68:AT103,35,0)</f>
        <v>0</v>
      </c>
      <c r="Y70" s="2267">
        <f>VLOOKUP(C70,'Chấm công công nhân'!L68:AU137,36,0)</f>
        <v>0</v>
      </c>
      <c r="Z70" s="2267"/>
      <c r="AA70" s="2267" t="str">
        <f>VLOOKUP(C70,'Kỷ thuật'!C66:M66,11,0)</f>
        <v>B</v>
      </c>
      <c r="AB70" s="2268"/>
    </row>
    <row r="71" spans="1:53" s="824" customFormat="1" ht="18" customHeight="1">
      <c r="A71" s="2287">
        <v>57</v>
      </c>
      <c r="B71" s="2252">
        <v>4</v>
      </c>
      <c r="C71" s="2062" t="str">
        <f>'Chấm công công nhân'!L69</f>
        <v>Thảo Xay</v>
      </c>
      <c r="D71" s="2259"/>
      <c r="E71" s="2260"/>
      <c r="F71" s="2260"/>
      <c r="G71" s="2260"/>
      <c r="H71" s="2260"/>
      <c r="I71" s="2261">
        <f>'kt3'!H17</f>
        <v>0</v>
      </c>
      <c r="J71" s="2261">
        <f>'xã cạo t3'!H17</f>
        <v>0</v>
      </c>
      <c r="K71" s="2262"/>
      <c r="L71" s="2262"/>
      <c r="M71" s="2261">
        <f>'mpc t3'!H17</f>
        <v>0</v>
      </c>
      <c r="N71" s="2262"/>
      <c r="O71" s="2262"/>
      <c r="P71" s="2262"/>
      <c r="Q71" s="2262"/>
      <c r="R71" s="2583">
        <f t="shared" si="5"/>
        <v>0</v>
      </c>
      <c r="S71" s="2264">
        <f>VLOOKUP(C71,Mủ!C69:AI84,33,0)</f>
        <v>1720</v>
      </c>
      <c r="T71" s="2265"/>
      <c r="U71" s="2266">
        <f>VLOOKUP(C71,Mủ!C69:AJ75,34,0)</f>
        <v>811.8740580067373</v>
      </c>
      <c r="V71" s="2267">
        <f>VLOOKUP(C71,'Chấm công công nhân'!L69:AR85,33,0)</f>
        <v>23</v>
      </c>
      <c r="W71" s="2267">
        <f>VLOOKUP(C71,'Chấm công công nhân'!L69:AS138,34,0)</f>
        <v>2</v>
      </c>
      <c r="X71" s="2267">
        <f>VLOOKUP(C71,'Chấm công công nhân'!L69:AT104,35,0)</f>
        <v>0</v>
      </c>
      <c r="Y71" s="2267">
        <f>VLOOKUP(C71,'Chấm công công nhân'!L69:AU138,36,0)</f>
        <v>0</v>
      </c>
      <c r="Z71" s="2267"/>
      <c r="AA71" s="2267" t="str">
        <f>VLOOKUP(C71,'Kỷ thuật'!C67:M67,11,0)</f>
        <v>A</v>
      </c>
      <c r="AB71" s="2268"/>
    </row>
    <row r="72" spans="1:53" ht="18" customHeight="1">
      <c r="A72" s="2287">
        <v>58</v>
      </c>
      <c r="B72" s="2252">
        <v>5</v>
      </c>
      <c r="C72" s="2062" t="str">
        <f>'Chấm công công nhân'!L70</f>
        <v>Nàng Nọi</v>
      </c>
      <c r="D72" s="2259"/>
      <c r="E72" s="2260"/>
      <c r="F72" s="2260"/>
      <c r="G72" s="2260"/>
      <c r="H72" s="2260"/>
      <c r="I72" s="2261">
        <f>'kt3'!H18</f>
        <v>0</v>
      </c>
      <c r="J72" s="2261">
        <f>'xã cạo t3'!H18</f>
        <v>0</v>
      </c>
      <c r="K72" s="2262"/>
      <c r="L72" s="2262"/>
      <c r="M72" s="2261">
        <f>'mpc t3'!H18</f>
        <v>0</v>
      </c>
      <c r="N72" s="2262"/>
      <c r="O72" s="2262"/>
      <c r="P72" s="2262"/>
      <c r="Q72" s="2262"/>
      <c r="R72" s="2583">
        <f t="shared" si="5"/>
        <v>0</v>
      </c>
      <c r="S72" s="2264">
        <f>VLOOKUP(C72,Mủ!C70:AI85,33,0)</f>
        <v>1459</v>
      </c>
      <c r="T72" s="2265"/>
      <c r="U72" s="2266">
        <f>VLOOKUP(C72,Mủ!C70:AJ76,34,0)</f>
        <v>688.67688990222655</v>
      </c>
      <c r="V72" s="2267">
        <f>VLOOKUP(C72,'Chấm công công nhân'!L70:AR86,33,0)</f>
        <v>19</v>
      </c>
      <c r="W72" s="2267">
        <f>VLOOKUP(C72,'Chấm công công nhân'!L70:AS139,34,0)</f>
        <v>2</v>
      </c>
      <c r="X72" s="2267">
        <f>VLOOKUP(C72,'Chấm công công nhân'!L70:AT105,35,0)</f>
        <v>0</v>
      </c>
      <c r="Y72" s="2267">
        <f>VLOOKUP(C72,'Chấm công công nhân'!L70:AU139,36,0)</f>
        <v>0</v>
      </c>
      <c r="Z72" s="2267"/>
      <c r="AA72" s="2267" t="str">
        <f>VLOOKUP(C72,'Kỷ thuật'!C68:M68,11,0)</f>
        <v>B</v>
      </c>
      <c r="AB72" s="2268"/>
      <c r="AC72" s="824"/>
      <c r="AD72" s="824"/>
      <c r="AE72" s="824"/>
      <c r="AF72" s="824"/>
      <c r="AG72" s="824"/>
      <c r="AH72" s="824"/>
      <c r="AI72" s="824"/>
      <c r="AJ72" s="824"/>
      <c r="AK72" s="824"/>
      <c r="AL72" s="824"/>
      <c r="AM72" s="824"/>
      <c r="AN72" s="824"/>
      <c r="AO72" s="824"/>
      <c r="AP72" s="824"/>
      <c r="AQ72" s="824"/>
      <c r="AR72" s="824"/>
      <c r="AS72" s="824"/>
      <c r="AT72" s="824"/>
      <c r="AU72" s="824"/>
      <c r="AV72" s="824"/>
      <c r="AW72" s="824"/>
      <c r="AX72" s="824"/>
      <c r="AY72" s="824"/>
      <c r="AZ72" s="824"/>
      <c r="BA72" s="824"/>
    </row>
    <row r="73" spans="1:53" ht="18" customHeight="1">
      <c r="A73" s="2287">
        <v>59</v>
      </c>
      <c r="B73" s="2252">
        <v>6</v>
      </c>
      <c r="C73" s="2062" t="str">
        <f>'Chấm công công nhân'!L71</f>
        <v>Thảo Đăm</v>
      </c>
      <c r="D73" s="2259"/>
      <c r="E73" s="2260"/>
      <c r="F73" s="2260"/>
      <c r="G73" s="2260"/>
      <c r="H73" s="2260"/>
      <c r="I73" s="2261">
        <f>'kt3'!H19</f>
        <v>0</v>
      </c>
      <c r="J73" s="2261">
        <f>'xã cạo t3'!H19</f>
        <v>0</v>
      </c>
      <c r="K73" s="2262"/>
      <c r="L73" s="2262"/>
      <c r="M73" s="2261">
        <f>'mpc t3'!H19</f>
        <v>0</v>
      </c>
      <c r="N73" s="2262"/>
      <c r="O73" s="2262"/>
      <c r="P73" s="2262"/>
      <c r="Q73" s="2262"/>
      <c r="R73" s="2583">
        <f t="shared" si="5"/>
        <v>0</v>
      </c>
      <c r="S73" s="2264">
        <f>VLOOKUP(C73,Mủ!C71:AI86,33,0)</f>
        <v>1424</v>
      </c>
      <c r="T73" s="2265"/>
      <c r="U73" s="2266">
        <f>VLOOKUP(C73,Mủ!C71:AJ77,34,0)</f>
        <v>672.15619686139178</v>
      </c>
      <c r="V73" s="2267">
        <f>VLOOKUP(C73,'Chấm công công nhân'!L71:AR87,33,0)</f>
        <v>19</v>
      </c>
      <c r="W73" s="2267">
        <f>VLOOKUP(C73,'Chấm công công nhân'!L71:AS140,34,0)</f>
        <v>3</v>
      </c>
      <c r="X73" s="2267">
        <f>VLOOKUP(C73,'Chấm công công nhân'!L71:AT106,35,0)</f>
        <v>0</v>
      </c>
      <c r="Y73" s="2267">
        <f>VLOOKUP(C73,'Chấm công công nhân'!L71:AU140,36,0)</f>
        <v>0</v>
      </c>
      <c r="Z73" s="2267"/>
      <c r="AA73" s="2267" t="str">
        <f>VLOOKUP(C73,'Kỷ thuật'!C69:M69,11,0)</f>
        <v>A</v>
      </c>
      <c r="AB73" s="2280"/>
    </row>
    <row r="74" spans="1:53" ht="18" customHeight="1">
      <c r="A74" s="2287">
        <v>60</v>
      </c>
      <c r="B74" s="2252">
        <v>7</v>
      </c>
      <c r="C74" s="2062" t="str">
        <f>'Chấm công công nhân'!L72</f>
        <v>Thảo chăn</v>
      </c>
      <c r="D74" s="2259"/>
      <c r="E74" s="2260"/>
      <c r="F74" s="2260"/>
      <c r="G74" s="2260"/>
      <c r="H74" s="2260"/>
      <c r="I74" s="2261">
        <f>'kt3'!H20</f>
        <v>0</v>
      </c>
      <c r="J74" s="2261">
        <f>'xã cạo t3'!H20</f>
        <v>0</v>
      </c>
      <c r="K74" s="2262"/>
      <c r="L74" s="2262"/>
      <c r="M74" s="2261">
        <f>'mpc t3'!H20</f>
        <v>0</v>
      </c>
      <c r="N74" s="2262"/>
      <c r="O74" s="2262"/>
      <c r="P74" s="2262"/>
      <c r="Q74" s="2262"/>
      <c r="R74" s="2583">
        <f t="shared" si="5"/>
        <v>0</v>
      </c>
      <c r="S74" s="2264">
        <f>VLOOKUP(C74,Mủ!C72:AI87,33,0)</f>
        <v>2228</v>
      </c>
      <c r="T74" s="2265"/>
      <c r="U74" s="2266">
        <f>VLOOKUP(C74,Mủ!C72:AJ78,34,0)</f>
        <v>1051.6601169994249</v>
      </c>
      <c r="V74" s="2267">
        <f>VLOOKUP(C74,'Chấm công công nhân'!L72:AR88,33,0)</f>
        <v>22</v>
      </c>
      <c r="W74" s="2267">
        <f>VLOOKUP(C74,'Chấm công công nhân'!L72:AS141,34,0)</f>
        <v>4</v>
      </c>
      <c r="X74" s="2267">
        <f>VLOOKUP(C74,'Chấm công công nhân'!L72:AT107,35,0)</f>
        <v>0</v>
      </c>
      <c r="Y74" s="2267">
        <f>VLOOKUP(C74,'Chấm công công nhân'!L72:AU141,36,0)</f>
        <v>0</v>
      </c>
      <c r="Z74" s="2267"/>
      <c r="AA74" s="2267" t="str">
        <f>VLOOKUP(C74,'Kỷ thuật'!C70:M70,11,0)</f>
        <v>A</v>
      </c>
      <c r="AB74" s="2280"/>
    </row>
    <row r="75" spans="1:53" ht="18" customHeight="1">
      <c r="A75" s="2287">
        <v>61</v>
      </c>
      <c r="B75" s="2252">
        <v>8</v>
      </c>
      <c r="C75" s="2062" t="str">
        <f>'Chấm công công nhân'!L73</f>
        <v>Hồ Văn Tăng</v>
      </c>
      <c r="D75" s="2259"/>
      <c r="E75" s="2260"/>
      <c r="F75" s="2260"/>
      <c r="G75" s="2260"/>
      <c r="H75" s="2260"/>
      <c r="I75" s="2261">
        <f>'kt3'!H21</f>
        <v>0</v>
      </c>
      <c r="J75" s="2261">
        <f>'xã cạo t3'!H21</f>
        <v>0</v>
      </c>
      <c r="K75" s="2262"/>
      <c r="L75" s="2262"/>
      <c r="M75" s="2261">
        <f>'mpc t3'!H21</f>
        <v>0</v>
      </c>
      <c r="N75" s="2262"/>
      <c r="O75" s="2262"/>
      <c r="P75" s="2262"/>
      <c r="Q75" s="2262"/>
      <c r="R75" s="2583">
        <f t="shared" si="5"/>
        <v>0</v>
      </c>
      <c r="S75" s="2264">
        <f>VLOOKUP(C75,Mủ!C73:AI88,33,0)</f>
        <v>1189</v>
      </c>
      <c r="T75" s="2265"/>
      <c r="U75" s="2266">
        <f>VLOOKUP(C75,Mủ!C73:AJ79,34,0)</f>
        <v>561.23154358721547</v>
      </c>
      <c r="V75" s="2267">
        <f>VLOOKUP(C75,'Chấm công công nhân'!L73:AR89,33,0)</f>
        <v>19</v>
      </c>
      <c r="W75" s="2267">
        <f>VLOOKUP(C75,'Chấm công công nhân'!L73:AS142,34,0)</f>
        <v>2</v>
      </c>
      <c r="X75" s="2267">
        <f>VLOOKUP(C75,'Chấm công công nhân'!L73:AT108,35,0)</f>
        <v>0</v>
      </c>
      <c r="Y75" s="2267">
        <f>VLOOKUP(C75,'Chấm công công nhân'!L73:AU142,36,0)</f>
        <v>0</v>
      </c>
      <c r="Z75" s="2267"/>
      <c r="AA75" s="2267" t="str">
        <f>VLOOKUP(C75,'Kỷ thuật'!C71:M71,11,0)</f>
        <v>B</v>
      </c>
      <c r="AB75" s="2280"/>
    </row>
    <row r="76" spans="1:53" ht="18" customHeight="1">
      <c r="A76" s="2287">
        <v>62</v>
      </c>
      <c r="B76" s="2252">
        <v>9</v>
      </c>
      <c r="C76" s="2062" t="str">
        <f>'Chấm công công nhân'!L74</f>
        <v>Hồ Văn Khoa</v>
      </c>
      <c r="D76" s="2259"/>
      <c r="E76" s="2260"/>
      <c r="F76" s="2260"/>
      <c r="G76" s="2260"/>
      <c r="H76" s="2260"/>
      <c r="I76" s="2261">
        <f>'kt3'!H22</f>
        <v>0</v>
      </c>
      <c r="J76" s="2261">
        <f>'xã cạo t3'!H22</f>
        <v>0</v>
      </c>
      <c r="K76" s="2262"/>
      <c r="L76" s="2262"/>
      <c r="M76" s="2261">
        <f>'mpc t3'!H22</f>
        <v>0</v>
      </c>
      <c r="N76" s="2262"/>
      <c r="O76" s="2262"/>
      <c r="P76" s="2262"/>
      <c r="Q76" s="2262"/>
      <c r="R76" s="2583">
        <f t="shared" si="5"/>
        <v>0</v>
      </c>
      <c r="S76" s="2264">
        <f>VLOOKUP(C76,Mủ!C74:AI89,33,0)</f>
        <v>1469</v>
      </c>
      <c r="T76" s="2265"/>
      <c r="U76" s="2266">
        <f>VLOOKUP(C76,Mủ!C74:AJ80,34,0)</f>
        <v>693.39708791389364</v>
      </c>
      <c r="V76" s="2267">
        <f>VLOOKUP(C76,'Chấm công công nhân'!L74:AR90,33,0)</f>
        <v>18</v>
      </c>
      <c r="W76" s="2267">
        <f>VLOOKUP(C76,'Chấm công công nhân'!L74:AS143,34,0)</f>
        <v>2</v>
      </c>
      <c r="X76" s="2267">
        <f>VLOOKUP(C76,'Chấm công công nhân'!L74:AT109,35,0)</f>
        <v>0</v>
      </c>
      <c r="Y76" s="2267">
        <f>VLOOKUP(C76,'Chấm công công nhân'!L74:AU143,36,0)</f>
        <v>0</v>
      </c>
      <c r="Z76" s="2267"/>
      <c r="AA76" s="2267" t="str">
        <f>VLOOKUP(C76,'Kỷ thuật'!C72:M72,11,0)</f>
        <v>A</v>
      </c>
      <c r="AB76" s="2280"/>
    </row>
    <row r="77" spans="1:53" s="871" customFormat="1" ht="15.75" customHeight="1">
      <c r="A77" s="2287">
        <v>63</v>
      </c>
      <c r="B77" s="2252">
        <v>10</v>
      </c>
      <c r="C77" s="2062" t="str">
        <f>'Chấm công công nhân'!L75</f>
        <v>Hồ Xa My</v>
      </c>
      <c r="D77" s="2485"/>
      <c r="E77" s="2485"/>
      <c r="F77" s="2485"/>
      <c r="G77" s="2485"/>
      <c r="H77" s="2485"/>
      <c r="I77" s="2261">
        <f>'kt3'!H23</f>
        <v>0</v>
      </c>
      <c r="J77" s="2261">
        <f>'xã cạo t3'!H23</f>
        <v>0</v>
      </c>
      <c r="K77" s="2271"/>
      <c r="L77" s="2485"/>
      <c r="M77" s="2261">
        <f>'mpc t3'!H23</f>
        <v>0</v>
      </c>
      <c r="N77" s="2485"/>
      <c r="O77" s="2485"/>
      <c r="P77" s="2485"/>
      <c r="Q77" s="2485"/>
      <c r="R77" s="2583">
        <f t="shared" si="5"/>
        <v>0</v>
      </c>
      <c r="S77" s="2264">
        <f>VLOOKUP(C77,Mủ!C75:AI90,33,0)</f>
        <v>1434</v>
      </c>
      <c r="T77" s="2273"/>
      <c r="U77" s="2266">
        <f>VLOOKUP(C77,Mủ!C75:AJ81,34,0)</f>
        <v>676.87639487305887</v>
      </c>
      <c r="V77" s="2267">
        <f>VLOOKUP(C77,'Chấm công công nhân'!L75:AR91,33,0)</f>
        <v>19</v>
      </c>
      <c r="W77" s="2267">
        <f>VLOOKUP(C77,'Chấm công công nhân'!L75:AS144,34,0)</f>
        <v>2</v>
      </c>
      <c r="X77" s="2267">
        <f>VLOOKUP(C77,'Chấm công công nhân'!L75:AT110,35,0)</f>
        <v>0</v>
      </c>
      <c r="Y77" s="2267">
        <f>VLOOKUP(C77,'Chấm công công nhân'!L75:AU144,36,0)</f>
        <v>0</v>
      </c>
      <c r="Z77" s="2273"/>
      <c r="AA77" s="2267" t="str">
        <f>VLOOKUP(C77,'Kỷ thuật'!C73:M73,11,0)</f>
        <v>A</v>
      </c>
      <c r="AB77" s="2486"/>
      <c r="AC77" s="1862"/>
      <c r="AD77" s="1862"/>
      <c r="AE77" s="1862"/>
      <c r="AF77" s="1862"/>
      <c r="AG77" s="1862"/>
      <c r="AH77" s="1862"/>
      <c r="AI77" s="1862"/>
      <c r="AJ77" s="1862"/>
      <c r="AK77" s="1862"/>
      <c r="AL77" s="1862"/>
      <c r="AM77" s="1862"/>
      <c r="AN77" s="1862"/>
      <c r="AO77" s="1862"/>
      <c r="AP77" s="1862"/>
      <c r="AQ77" s="1862"/>
      <c r="AR77" s="1862"/>
      <c r="AS77" s="1862"/>
      <c r="AT77" s="1862"/>
      <c r="AU77" s="1862"/>
      <c r="AV77" s="1862"/>
      <c r="AW77" s="1862"/>
      <c r="AX77" s="1862"/>
      <c r="AY77" s="1862"/>
      <c r="AZ77" s="1862"/>
      <c r="BA77" s="1862"/>
    </row>
    <row r="78" spans="1:53" s="871" customFormat="1" ht="15.75" customHeight="1">
      <c r="A78" s="2287">
        <v>64</v>
      </c>
      <c r="B78" s="2252">
        <v>11</v>
      </c>
      <c r="C78" s="2062" t="str">
        <f>'Chấm công công nhân'!L76</f>
        <v>Thảo lay</v>
      </c>
      <c r="D78" s="2485"/>
      <c r="E78" s="2485"/>
      <c r="F78" s="2485"/>
      <c r="G78" s="2485"/>
      <c r="H78" s="2485"/>
      <c r="I78" s="2261">
        <f>'kt3'!H24</f>
        <v>0</v>
      </c>
      <c r="J78" s="2261">
        <f>'xã cạo t3'!H24</f>
        <v>0</v>
      </c>
      <c r="K78" s="2271"/>
      <c r="L78" s="2485"/>
      <c r="M78" s="2261">
        <f>'mpc t3'!H24</f>
        <v>0</v>
      </c>
      <c r="N78" s="2485"/>
      <c r="O78" s="2485"/>
      <c r="P78" s="2485"/>
      <c r="Q78" s="2485"/>
      <c r="R78" s="2583">
        <f t="shared" si="5"/>
        <v>0</v>
      </c>
      <c r="S78" s="2264">
        <f>VLOOKUP(C78,Mủ!C76:AI91,33,0)</f>
        <v>1317</v>
      </c>
      <c r="T78" s="2273"/>
      <c r="U78" s="2266">
        <f>VLOOKUP(C78,Mủ!C76:AJ82,34,0)</f>
        <v>621.65007813655404</v>
      </c>
      <c r="V78" s="2267">
        <f>VLOOKUP(C78,'Chấm công công nhân'!L76:AR92,33,0)</f>
        <v>14</v>
      </c>
      <c r="W78" s="2267">
        <f>VLOOKUP(C78,'Chấm công công nhân'!L76:AS145,34,0)</f>
        <v>2</v>
      </c>
      <c r="X78" s="2267">
        <f>VLOOKUP(C78,'Chấm công công nhân'!L76:AT111,35,0)</f>
        <v>0</v>
      </c>
      <c r="Y78" s="2267">
        <f>VLOOKUP(C78,'Chấm công công nhân'!L76:AU145,36,0)</f>
        <v>0</v>
      </c>
      <c r="Z78" s="2273"/>
      <c r="AA78" s="2267" t="str">
        <f>VLOOKUP(C78,'Kỷ thuật'!C74:M74,11,0)</f>
        <v>B</v>
      </c>
      <c r="AB78" s="2486"/>
      <c r="AC78" s="1862"/>
      <c r="AD78" s="1862"/>
      <c r="AE78" s="1862"/>
      <c r="AF78" s="1862"/>
      <c r="AG78" s="1862"/>
      <c r="AH78" s="1862"/>
      <c r="AI78" s="1862"/>
      <c r="AJ78" s="1862"/>
      <c r="AK78" s="1862"/>
      <c r="AL78" s="1862"/>
      <c r="AM78" s="1862"/>
      <c r="AN78" s="1862"/>
      <c r="AO78" s="1862"/>
      <c r="AP78" s="1862"/>
      <c r="AQ78" s="1862"/>
      <c r="AR78" s="1862"/>
      <c r="AS78" s="1862"/>
      <c r="AT78" s="1862"/>
      <c r="AU78" s="1862"/>
      <c r="AV78" s="1862"/>
      <c r="AW78" s="1862"/>
      <c r="AX78" s="1862"/>
      <c r="AY78" s="1862"/>
      <c r="AZ78" s="1862"/>
      <c r="BA78" s="1862"/>
    </row>
    <row r="79" spans="1:53" s="871" customFormat="1" ht="15.75" customHeight="1">
      <c r="A79" s="2287">
        <v>65</v>
      </c>
      <c r="B79" s="2252">
        <v>12</v>
      </c>
      <c r="C79" s="2062" t="str">
        <f>'Chấm công công nhân'!L77</f>
        <v>Thảo khên</v>
      </c>
      <c r="D79" s="2485"/>
      <c r="E79" s="2485"/>
      <c r="F79" s="2485"/>
      <c r="G79" s="2485"/>
      <c r="H79" s="2485"/>
      <c r="I79" s="2261">
        <f>'kt3'!H25</f>
        <v>0</v>
      </c>
      <c r="J79" s="2261">
        <f>'xã cạo t3'!H25</f>
        <v>0</v>
      </c>
      <c r="K79" s="2271"/>
      <c r="L79" s="2485"/>
      <c r="M79" s="2261">
        <f>'mpc t3'!H25</f>
        <v>0</v>
      </c>
      <c r="N79" s="2485"/>
      <c r="O79" s="2485"/>
      <c r="P79" s="2485"/>
      <c r="Q79" s="2485"/>
      <c r="R79" s="2583">
        <f t="shared" si="5"/>
        <v>0</v>
      </c>
      <c r="S79" s="2264">
        <f>VLOOKUP(C79,Mủ!C77:AI92,33,0)</f>
        <v>2963</v>
      </c>
      <c r="T79" s="2273"/>
      <c r="U79" s="2266">
        <f>VLOOKUP(C79,Mủ!C77:AJ83,34,0)</f>
        <v>1398.594670856955</v>
      </c>
      <c r="V79" s="2267">
        <f>VLOOKUP(C79,'Chấm công công nhân'!L77:AR93,33,0)</f>
        <v>24</v>
      </c>
      <c r="W79" s="2267">
        <f>VLOOKUP(C79,'Chấm công công nhân'!L77:AS146,34,0)</f>
        <v>3</v>
      </c>
      <c r="X79" s="2267">
        <f>VLOOKUP(C79,'Chấm công công nhân'!L77:AT112,35,0)</f>
        <v>0</v>
      </c>
      <c r="Y79" s="2267">
        <f>VLOOKUP(C79,'Chấm công công nhân'!L77:AU146,36,0)</f>
        <v>0</v>
      </c>
      <c r="Z79" s="2273"/>
      <c r="AA79" s="2267" t="str">
        <f>VLOOKUP(C79,'Kỷ thuật'!C75:M75,11,0)</f>
        <v>A</v>
      </c>
      <c r="AB79" s="2486"/>
      <c r="AC79" s="1862"/>
      <c r="AD79" s="1862"/>
      <c r="AE79" s="1862"/>
      <c r="AF79" s="1862"/>
      <c r="AG79" s="1862"/>
      <c r="AH79" s="1862"/>
      <c r="AI79" s="1862"/>
      <c r="AJ79" s="1862"/>
      <c r="AK79" s="1862"/>
      <c r="AL79" s="1862"/>
      <c r="AM79" s="1862"/>
      <c r="AN79" s="1862"/>
      <c r="AO79" s="1862"/>
      <c r="AP79" s="1862"/>
      <c r="AQ79" s="1862"/>
      <c r="AR79" s="1862"/>
      <c r="AS79" s="1862"/>
      <c r="AT79" s="1862"/>
      <c r="AU79" s="1862"/>
      <c r="AV79" s="1862"/>
      <c r="AW79" s="1862"/>
      <c r="AX79" s="1862"/>
      <c r="AY79" s="1862"/>
      <c r="AZ79" s="1862"/>
      <c r="BA79" s="1862"/>
    </row>
    <row r="80" spans="1:53" s="871" customFormat="1" ht="15.75" customHeight="1">
      <c r="A80" s="2287">
        <v>66</v>
      </c>
      <c r="B80" s="2252">
        <v>13</v>
      </c>
      <c r="C80" s="2062" t="str">
        <f>'Chấm công công nhân'!L78</f>
        <v>Thảo khon</v>
      </c>
      <c r="D80" s="2485"/>
      <c r="E80" s="2485"/>
      <c r="F80" s="2485"/>
      <c r="G80" s="2485"/>
      <c r="H80" s="2485"/>
      <c r="I80" s="2261">
        <f>'kt3'!H26</f>
        <v>0</v>
      </c>
      <c r="J80" s="2261">
        <f>'xã cạo t3'!H26</f>
        <v>0</v>
      </c>
      <c r="K80" s="2271"/>
      <c r="L80" s="2485"/>
      <c r="M80" s="2261">
        <f>'mpc t3'!H26</f>
        <v>0</v>
      </c>
      <c r="N80" s="2485"/>
      <c r="O80" s="2485"/>
      <c r="P80" s="2485"/>
      <c r="Q80" s="2485"/>
      <c r="R80" s="2583">
        <f t="shared" si="5"/>
        <v>0</v>
      </c>
      <c r="S80" s="2264">
        <f>VLOOKUP(C80,Mủ!C78:AI93,33,0)</f>
        <v>1830</v>
      </c>
      <c r="T80" s="2273"/>
      <c r="U80" s="2266">
        <f>VLOOKUP(C80,Mủ!C78:AJ84,34,0)</f>
        <v>863.79623613507511</v>
      </c>
      <c r="V80" s="2267">
        <f>VLOOKUP(C80,'Chấm công công nhân'!L78:AR94,33,0)</f>
        <v>22</v>
      </c>
      <c r="W80" s="2267">
        <f>VLOOKUP(C80,'Chấm công công nhân'!L78:AS147,34,0)</f>
        <v>3</v>
      </c>
      <c r="X80" s="2267">
        <f>VLOOKUP(C80,'Chấm công công nhân'!L78:AT113,35,0)</f>
        <v>0</v>
      </c>
      <c r="Y80" s="2267">
        <f>VLOOKUP(C80,'Chấm công công nhân'!L78:AU147,36,0)</f>
        <v>0</v>
      </c>
      <c r="Z80" s="2273"/>
      <c r="AA80" s="2267" t="str">
        <f>VLOOKUP(C80,'Kỷ thuật'!C76:M76,11,0)</f>
        <v>B</v>
      </c>
      <c r="AB80" s="2486"/>
      <c r="AC80" s="1862"/>
      <c r="AD80" s="1862"/>
      <c r="AE80" s="3109"/>
      <c r="AF80" s="1862"/>
      <c r="AG80" s="1862"/>
      <c r="AH80" s="1862"/>
      <c r="AI80" s="1862"/>
      <c r="AJ80" s="1862"/>
      <c r="AK80" s="1862"/>
      <c r="AL80" s="1862"/>
      <c r="AM80" s="1862"/>
      <c r="AN80" s="1862"/>
      <c r="AO80" s="1862"/>
      <c r="AP80" s="1862"/>
      <c r="AQ80" s="1862"/>
      <c r="AR80" s="1862"/>
      <c r="AS80" s="1862"/>
      <c r="AT80" s="1862"/>
      <c r="AU80" s="1862"/>
      <c r="AV80" s="1862"/>
      <c r="AW80" s="1862"/>
      <c r="AX80" s="1862"/>
      <c r="AY80" s="1862"/>
      <c r="AZ80" s="1862"/>
      <c r="BA80" s="1862"/>
    </row>
    <row r="81" spans="1:53" s="871" customFormat="1" ht="15.75" customHeight="1">
      <c r="A81" s="2287">
        <v>67</v>
      </c>
      <c r="B81" s="2252">
        <v>14</v>
      </c>
      <c r="C81" s="2062" t="str">
        <f>'Chấm công công nhân'!L79</f>
        <v>Thảo nga</v>
      </c>
      <c r="D81" s="2485"/>
      <c r="E81" s="2485"/>
      <c r="F81" s="2485"/>
      <c r="G81" s="2485"/>
      <c r="H81" s="2485"/>
      <c r="I81" s="2261">
        <f>'kt3'!H27</f>
        <v>0</v>
      </c>
      <c r="J81" s="2261">
        <f>'xã cạo t3'!H27</f>
        <v>0</v>
      </c>
      <c r="K81" s="2271"/>
      <c r="L81" s="2485"/>
      <c r="M81" s="2261">
        <f>'mpc t3'!H27</f>
        <v>0</v>
      </c>
      <c r="N81" s="2485"/>
      <c r="O81" s="2485"/>
      <c r="P81" s="2485"/>
      <c r="Q81" s="2485"/>
      <c r="R81" s="2583">
        <f t="shared" si="5"/>
        <v>0</v>
      </c>
      <c r="S81" s="2264">
        <f>VLOOKUP(C81,Mủ!C79:AI94,33,0)</f>
        <v>1841</v>
      </c>
      <c r="T81" s="2273"/>
      <c r="U81" s="2266">
        <f>VLOOKUP(C81,Mủ!C79:AJ85,34,0)</f>
        <v>868.98845394790897</v>
      </c>
      <c r="V81" s="2267">
        <f>VLOOKUP(C81,'Chấm công công nhân'!L79:AR95,33,0)</f>
        <v>22</v>
      </c>
      <c r="W81" s="2267">
        <f>VLOOKUP(C81,'Chấm công công nhân'!L79:AS148,34,0)</f>
        <v>3</v>
      </c>
      <c r="X81" s="2267">
        <f>VLOOKUP(C81,'Chấm công công nhân'!L79:AT114,35,0)</f>
        <v>0</v>
      </c>
      <c r="Y81" s="2267">
        <f>VLOOKUP(C81,'Chấm công công nhân'!L79:AU148,36,0)</f>
        <v>0</v>
      </c>
      <c r="Z81" s="2273"/>
      <c r="AA81" s="2267" t="str">
        <f>VLOOKUP(C81,'Kỷ thuật'!C77:M77,11,0)</f>
        <v>A</v>
      </c>
      <c r="AB81" s="2486"/>
      <c r="AC81" s="1862"/>
      <c r="AD81" s="1862"/>
      <c r="AE81" s="1862"/>
      <c r="AF81" s="1862"/>
      <c r="AG81" s="1862"/>
      <c r="AH81" s="1862"/>
      <c r="AI81" s="1862"/>
      <c r="AJ81" s="1862"/>
      <c r="AK81" s="1862"/>
      <c r="AL81" s="1862"/>
      <c r="AM81" s="1862"/>
      <c r="AN81" s="1862"/>
      <c r="AO81" s="1862"/>
      <c r="AP81" s="1862"/>
      <c r="AQ81" s="1862"/>
      <c r="AR81" s="1862"/>
      <c r="AS81" s="1862"/>
      <c r="AT81" s="1862"/>
      <c r="AU81" s="1862"/>
      <c r="AV81" s="1862"/>
      <c r="AW81" s="1862"/>
      <c r="AX81" s="1862"/>
      <c r="AY81" s="1862"/>
      <c r="AZ81" s="1862"/>
      <c r="BA81" s="1862"/>
    </row>
    <row r="82" spans="1:53" s="871" customFormat="1" ht="15.75" customHeight="1">
      <c r="A82" s="2287">
        <v>68</v>
      </c>
      <c r="B82" s="2252">
        <v>15</v>
      </c>
      <c r="C82" s="2062" t="str">
        <f>'Chấm công công nhân'!L80</f>
        <v>Thảo lăm ma</v>
      </c>
      <c r="D82" s="2485"/>
      <c r="E82" s="2485"/>
      <c r="F82" s="2485"/>
      <c r="G82" s="2485"/>
      <c r="H82" s="2485"/>
      <c r="I82" s="2261">
        <f>'kt3'!H28</f>
        <v>0</v>
      </c>
      <c r="J82" s="2261"/>
      <c r="K82" s="2271"/>
      <c r="L82" s="2485"/>
      <c r="M82" s="2261">
        <f>'mpc t3'!H28</f>
        <v>0</v>
      </c>
      <c r="N82" s="2485"/>
      <c r="O82" s="2485"/>
      <c r="P82" s="2485"/>
      <c r="Q82" s="2485"/>
      <c r="R82" s="2583">
        <f t="shared" si="5"/>
        <v>0</v>
      </c>
      <c r="S82" s="2264">
        <f>VLOOKUP(C82,Mủ!C80:AI95,33,0)</f>
        <v>1049</v>
      </c>
      <c r="T82" s="2273"/>
      <c r="U82" s="2266">
        <f>VLOOKUP(C82,Mủ!C80:AJ86,34,0)</f>
        <v>495.14877142387644</v>
      </c>
      <c r="V82" s="2267">
        <f>VLOOKUP(C82,'Chấm công công nhân'!L80:AR96,33,0)</f>
        <v>25</v>
      </c>
      <c r="W82" s="2267">
        <f>VLOOKUP(C82,'Chấm công công nhân'!L80:AS149,34,0)</f>
        <v>3</v>
      </c>
      <c r="X82" s="2267"/>
      <c r="Y82" s="2267"/>
      <c r="Z82" s="2273"/>
      <c r="AA82" s="2267" t="str">
        <f>VLOOKUP(C82,'Kỷ thuật'!C78:M78,11,0)</f>
        <v>A</v>
      </c>
      <c r="AB82" s="2486"/>
      <c r="AC82" s="1862"/>
      <c r="AD82" s="1862"/>
      <c r="AE82" s="1862"/>
      <c r="AF82" s="3433"/>
      <c r="AG82" s="1862"/>
      <c r="AH82" s="1862"/>
      <c r="AI82" s="1862"/>
      <c r="AJ82" s="1862"/>
      <c r="AK82" s="1862"/>
      <c r="AL82" s="1862"/>
      <c r="AM82" s="1862"/>
      <c r="AN82" s="1862"/>
      <c r="AO82" s="1862"/>
      <c r="AP82" s="1862"/>
      <c r="AQ82" s="1862"/>
      <c r="AR82" s="1862"/>
      <c r="AS82" s="1862"/>
      <c r="AT82" s="1862"/>
      <c r="AU82" s="1862"/>
      <c r="AV82" s="1862"/>
      <c r="AW82" s="1862"/>
      <c r="AX82" s="1862"/>
      <c r="AY82" s="1862"/>
      <c r="AZ82" s="1862"/>
      <c r="BA82" s="1862"/>
    </row>
    <row r="83" spans="1:53" s="871" customFormat="1" ht="15.75" customHeight="1">
      <c r="A83" s="2287">
        <v>69</v>
      </c>
      <c r="B83" s="2252">
        <v>16</v>
      </c>
      <c r="C83" s="2062" t="str">
        <f>'Chấm công công nhân'!L81</f>
        <v>Thảo Hôm</v>
      </c>
      <c r="D83" s="2485"/>
      <c r="E83" s="2485"/>
      <c r="F83" s="2485"/>
      <c r="G83" s="2485"/>
      <c r="H83" s="2485"/>
      <c r="I83" s="2261">
        <f>'kt3'!H29</f>
        <v>0</v>
      </c>
      <c r="J83" s="2261">
        <f>'xã cạo t3'!H29</f>
        <v>0</v>
      </c>
      <c r="K83" s="2271"/>
      <c r="L83" s="2485"/>
      <c r="M83" s="2261">
        <f>'mpc t3'!H29</f>
        <v>0</v>
      </c>
      <c r="N83" s="2485"/>
      <c r="O83" s="2485"/>
      <c r="P83" s="2485"/>
      <c r="Q83" s="2485"/>
      <c r="R83" s="2583">
        <f t="shared" si="5"/>
        <v>0</v>
      </c>
      <c r="S83" s="2264">
        <f>VLOOKUP(C83,Mủ!C81:AI96,33,0)</f>
        <v>297</v>
      </c>
      <c r="T83" s="2264">
        <f>VLOOKUP(D83,Mủ!D81:AJ96,33,0)</f>
        <v>140.1898809465122</v>
      </c>
      <c r="U83" s="2266">
        <f>VLOOKUP(C83,Mủ!C81:AJ87,34,0)</f>
        <v>140.1898809465122</v>
      </c>
      <c r="V83" s="2267">
        <f>VLOOKUP(C83,'Chấm công công nhân'!L81:AR97,33,0)</f>
        <v>18</v>
      </c>
      <c r="W83" s="2267">
        <f>VLOOKUP(C83,'Chấm công công nhân'!L81:AS150,34,0)</f>
        <v>3</v>
      </c>
      <c r="X83" s="2267">
        <f>VLOOKUP(C83,'Chấm công công nhân'!L81:AT116,35,0)</f>
        <v>0</v>
      </c>
      <c r="Y83" s="2267">
        <f>VLOOKUP(C83,'Chấm công công nhân'!L81:AU150,36,0)</f>
        <v>0</v>
      </c>
      <c r="Z83" s="2273"/>
      <c r="AA83" s="2267" t="str">
        <f>VLOOKUP(C83,'Kỷ thuật'!C79:M79,11,0)</f>
        <v>B</v>
      </c>
      <c r="AB83" s="2486"/>
      <c r="AC83" s="1862"/>
      <c r="AD83" s="1862"/>
      <c r="AE83" s="1862"/>
      <c r="AF83" s="1862"/>
      <c r="AG83" s="1862"/>
      <c r="AH83" s="1862"/>
      <c r="AI83" s="1862"/>
      <c r="AJ83" s="1862"/>
      <c r="AK83" s="1862"/>
      <c r="AL83" s="1862"/>
      <c r="AM83" s="1862"/>
      <c r="AN83" s="1862"/>
      <c r="AO83" s="1862"/>
      <c r="AP83" s="1862"/>
      <c r="AQ83" s="1862"/>
      <c r="AR83" s="1862"/>
      <c r="AS83" s="1862"/>
      <c r="AT83" s="1862"/>
      <c r="AU83" s="1862"/>
      <c r="AV83" s="1862"/>
      <c r="AW83" s="1862"/>
      <c r="AX83" s="1862"/>
      <c r="AY83" s="1862"/>
      <c r="AZ83" s="1862"/>
      <c r="BA83" s="1862"/>
    </row>
    <row r="84" spans="1:53" s="871" customFormat="1" ht="15.75" customHeight="1">
      <c r="A84" s="2287">
        <v>70</v>
      </c>
      <c r="B84" s="2252">
        <v>17</v>
      </c>
      <c r="C84" s="2484" t="s">
        <v>1141</v>
      </c>
      <c r="D84" s="2485"/>
      <c r="E84" s="2485"/>
      <c r="F84" s="2485"/>
      <c r="G84" s="2485"/>
      <c r="H84" s="2485"/>
      <c r="I84" s="2485"/>
      <c r="J84" s="2261"/>
      <c r="K84" s="2710"/>
      <c r="L84" s="2485"/>
      <c r="M84" s="2261">
        <f>'mpc t3'!H30</f>
        <v>0</v>
      </c>
      <c r="N84" s="2485"/>
      <c r="O84" s="2485"/>
      <c r="P84" s="2485"/>
      <c r="Q84" s="2485"/>
      <c r="R84" s="2583">
        <f t="shared" si="5"/>
        <v>0</v>
      </c>
      <c r="S84" s="2272"/>
      <c r="T84" s="2273"/>
      <c r="U84" s="2266"/>
      <c r="V84" s="2267"/>
      <c r="W84" s="2273"/>
      <c r="X84" s="2273"/>
      <c r="Y84" s="2273"/>
      <c r="Z84" s="2273"/>
      <c r="AA84" s="2267"/>
      <c r="AB84" s="2486"/>
      <c r="AC84" s="1862"/>
      <c r="AD84" s="1862"/>
      <c r="AE84" s="1862"/>
      <c r="AF84" s="1862"/>
      <c r="AG84" s="1862"/>
      <c r="AH84" s="1862"/>
      <c r="AI84" s="1862"/>
      <c r="AJ84" s="1862"/>
      <c r="AK84" s="1862"/>
      <c r="AL84" s="1862"/>
      <c r="AM84" s="1862"/>
      <c r="AN84" s="1862"/>
      <c r="AO84" s="1862"/>
      <c r="AP84" s="1862"/>
      <c r="AQ84" s="1862"/>
      <c r="AR84" s="1862"/>
      <c r="AS84" s="1862"/>
      <c r="AT84" s="1862"/>
      <c r="AU84" s="1862"/>
      <c r="AV84" s="1862"/>
      <c r="AW84" s="1862"/>
      <c r="AX84" s="1862"/>
      <c r="AY84" s="1862"/>
      <c r="AZ84" s="1862"/>
      <c r="BA84" s="1862"/>
    </row>
    <row r="85" spans="1:53" s="815" customFormat="1" ht="25.5" customHeight="1">
      <c r="A85" s="765"/>
      <c r="B85" s="3802" t="s">
        <v>187</v>
      </c>
      <c r="C85" s="3802"/>
      <c r="D85" s="2281">
        <f>SUM(D13:D74)</f>
        <v>0</v>
      </c>
      <c r="E85" s="2308">
        <f t="shared" ref="E85:Z85" si="6">E12+E50+E67</f>
        <v>0</v>
      </c>
      <c r="F85" s="2308">
        <f t="shared" si="6"/>
        <v>0</v>
      </c>
      <c r="G85" s="2763">
        <f t="shared" si="6"/>
        <v>0</v>
      </c>
      <c r="H85" s="2763">
        <f t="shared" si="6"/>
        <v>0</v>
      </c>
      <c r="I85" s="2763">
        <f t="shared" si="6"/>
        <v>0</v>
      </c>
      <c r="J85" s="2763">
        <f t="shared" si="6"/>
        <v>0</v>
      </c>
      <c r="K85" s="2763">
        <f t="shared" si="6"/>
        <v>0</v>
      </c>
      <c r="L85" s="2763">
        <f t="shared" si="6"/>
        <v>0</v>
      </c>
      <c r="M85" s="2763">
        <f t="shared" si="6"/>
        <v>0</v>
      </c>
      <c r="N85" s="2763">
        <f t="shared" si="6"/>
        <v>0</v>
      </c>
      <c r="O85" s="2763">
        <f t="shared" si="6"/>
        <v>0</v>
      </c>
      <c r="P85" s="2763">
        <f t="shared" si="6"/>
        <v>0</v>
      </c>
      <c r="Q85" s="1991">
        <f t="shared" si="6"/>
        <v>0</v>
      </c>
      <c r="R85" s="2763">
        <f t="shared" si="6"/>
        <v>0</v>
      </c>
      <c r="S85" s="2308">
        <f t="shared" si="6"/>
        <v>145529</v>
      </c>
      <c r="T85" s="2308">
        <f t="shared" si="6"/>
        <v>140.1898809465122</v>
      </c>
      <c r="U85" s="2308">
        <f t="shared" si="6"/>
        <v>63154.457999999999</v>
      </c>
      <c r="V85" s="2308">
        <f t="shared" si="6"/>
        <v>1391</v>
      </c>
      <c r="W85" s="2308">
        <f t="shared" si="6"/>
        <v>211</v>
      </c>
      <c r="X85" s="2308">
        <f t="shared" si="6"/>
        <v>130</v>
      </c>
      <c r="Y85" s="2308">
        <f t="shared" si="6"/>
        <v>22</v>
      </c>
      <c r="Z85" s="2308">
        <f t="shared" si="6"/>
        <v>0</v>
      </c>
      <c r="AA85" s="2282"/>
      <c r="AB85" s="2283"/>
      <c r="AC85" s="714"/>
      <c r="AD85" s="721"/>
      <c r="AE85" s="3427"/>
      <c r="AF85" s="3427"/>
      <c r="AG85" s="3427"/>
      <c r="AH85" s="3591" t="s">
        <v>1788</v>
      </c>
      <c r="AI85" s="3427" t="str">
        <f>'[13]BCSX sau Chuyển đổi'!W23</f>
        <v>bv</v>
      </c>
      <c r="AJ85" s="3427" t="str">
        <f>'[13]BCSX sau Chuyển đổi'!X23</f>
        <v>dọn dẹp</v>
      </c>
      <c r="AK85" s="3427" t="str">
        <f>'[13]BCSX sau Chuyển đổi'!Y23</f>
        <v>TỔNG CÔNG</v>
      </c>
      <c r="AL85" s="871"/>
      <c r="AM85" s="714"/>
      <c r="AN85" s="714"/>
      <c r="AO85" s="714"/>
      <c r="AP85" s="714"/>
      <c r="AQ85" s="714"/>
      <c r="AR85" s="714"/>
      <c r="AS85" s="714"/>
      <c r="AT85" s="714"/>
      <c r="AU85" s="714"/>
      <c r="AV85" s="714"/>
      <c r="AW85" s="714"/>
      <c r="AX85" s="714"/>
      <c r="AY85" s="714"/>
      <c r="AZ85" s="714"/>
      <c r="BA85" s="714"/>
    </row>
    <row r="86" spans="1:53" s="815" customFormat="1" ht="15" customHeight="1">
      <c r="A86" s="2172"/>
      <c r="B86" s="157"/>
      <c r="D86" s="825"/>
      <c r="E86" s="826"/>
      <c r="F86" s="826"/>
      <c r="G86" s="3904"/>
      <c r="H86" s="3904"/>
      <c r="I86" s="825"/>
      <c r="J86" s="826"/>
      <c r="K86" s="826"/>
      <c r="L86" s="826"/>
      <c r="M86" s="826"/>
      <c r="N86" s="826"/>
      <c r="O86" s="825"/>
      <c r="P86" s="825"/>
      <c r="Q86" s="825"/>
      <c r="R86" s="1626"/>
      <c r="S86" s="1626"/>
      <c r="T86" s="827"/>
      <c r="V86" s="2254"/>
      <c r="W86" s="2254"/>
      <c r="X86" s="2254"/>
      <c r="Y86" s="2254" t="s">
        <v>1783</v>
      </c>
      <c r="Z86" s="2254"/>
      <c r="AA86" s="2254"/>
      <c r="AB86" s="2254"/>
      <c r="AD86" s="3425"/>
      <c r="AE86" s="3428"/>
      <c r="AF86" s="3428"/>
      <c r="AG86" s="3428"/>
      <c r="AH86" s="3432">
        <f>((2600000/31*29*8) + (2600000/31*13))/25000</f>
        <v>821.9354838709678</v>
      </c>
      <c r="AI86" s="3428">
        <f>'[13]BCSX sau Chuyển đổi'!W24</f>
        <v>416</v>
      </c>
      <c r="AJ86" s="3428">
        <v>20</v>
      </c>
      <c r="AK86" s="3593">
        <f>AH86+AI86+AJ86</f>
        <v>1257.9354838709678</v>
      </c>
    </row>
    <row r="87" spans="1:53">
      <c r="A87" s="2172"/>
      <c r="B87" s="157"/>
      <c r="C87" s="3898"/>
      <c r="D87" s="3899"/>
      <c r="E87" s="3899"/>
      <c r="F87" s="3899"/>
      <c r="G87" s="3899"/>
      <c r="H87" s="3899"/>
      <c r="I87" s="828"/>
      <c r="J87" s="828"/>
      <c r="K87" s="828"/>
      <c r="L87" s="828"/>
      <c r="M87" s="828"/>
      <c r="N87" s="828"/>
      <c r="O87" s="829"/>
      <c r="P87" s="829"/>
      <c r="Q87" s="829"/>
      <c r="R87" s="830"/>
      <c r="S87" s="1626"/>
      <c r="T87" s="827"/>
      <c r="U87" s="1877"/>
      <c r="V87" s="1877"/>
      <c r="W87" s="1877"/>
      <c r="X87" s="1877"/>
      <c r="Y87" s="3750" t="s">
        <v>1107</v>
      </c>
      <c r="Z87" s="3750"/>
      <c r="AA87" s="3750"/>
      <c r="AB87" s="3750"/>
      <c r="AC87" s="1333"/>
      <c r="AD87" s="3426"/>
      <c r="AE87" s="3429"/>
      <c r="AF87" s="3429"/>
      <c r="AG87" s="3429"/>
      <c r="AH87" s="3428"/>
      <c r="AI87" s="3428"/>
      <c r="AJ87" s="3428"/>
      <c r="AK87" s="3428"/>
      <c r="AL87" s="815"/>
      <c r="AM87" s="815"/>
      <c r="AN87" s="815"/>
      <c r="AO87" s="815"/>
      <c r="AP87" s="815"/>
      <c r="AQ87" s="815"/>
      <c r="AR87" s="815"/>
      <c r="AS87" s="815"/>
      <c r="AT87" s="815"/>
      <c r="AU87" s="815"/>
      <c r="AV87" s="815"/>
      <c r="AW87" s="815"/>
      <c r="AX87" s="815"/>
      <c r="AY87" s="815"/>
      <c r="AZ87" s="815"/>
      <c r="BA87" s="815"/>
    </row>
    <row r="88" spans="1:53">
      <c r="E88" s="832"/>
      <c r="F88" s="832"/>
      <c r="G88" s="791"/>
      <c r="H88" s="833"/>
      <c r="I88" s="834"/>
      <c r="J88" s="835"/>
      <c r="K88" s="835"/>
      <c r="L88" s="835"/>
      <c r="M88" s="835"/>
      <c r="N88" s="835"/>
      <c r="O88" s="986"/>
      <c r="R88" s="837"/>
      <c r="AD88" s="1034"/>
      <c r="AE88" s="1034"/>
      <c r="AF88" s="1034"/>
      <c r="AG88" s="1034"/>
      <c r="AH88" s="1034"/>
      <c r="AI88" s="1034"/>
      <c r="AJ88" s="1034"/>
      <c r="AK88" s="1034"/>
    </row>
    <row r="89" spans="1:53">
      <c r="A89" s="839"/>
      <c r="B89" s="1862"/>
      <c r="C89" s="3107"/>
      <c r="E89" s="839"/>
      <c r="F89" s="839"/>
      <c r="H89" s="833"/>
      <c r="I89" s="834"/>
      <c r="J89" s="834"/>
      <c r="K89" s="834"/>
      <c r="L89" s="834"/>
      <c r="M89" s="834"/>
      <c r="N89" s="834"/>
      <c r="R89" s="840"/>
      <c r="AD89" s="1034"/>
      <c r="AE89" s="3430"/>
      <c r="AF89" s="3430"/>
      <c r="AG89" s="3430"/>
      <c r="AH89" s="3430"/>
      <c r="AI89" s="3430"/>
      <c r="AJ89" s="3430"/>
      <c r="AK89" s="3592"/>
    </row>
    <row r="90" spans="1:53">
      <c r="B90" s="3108"/>
      <c r="C90" s="908"/>
      <c r="E90" s="842"/>
      <c r="F90" s="832"/>
      <c r="I90" s="834"/>
      <c r="J90" s="834"/>
      <c r="K90" s="834"/>
      <c r="L90" s="834"/>
      <c r="M90" s="834"/>
      <c r="N90" s="834"/>
      <c r="S90" s="840"/>
      <c r="T90" s="844"/>
    </row>
    <row r="91" spans="1:53" s="708" customFormat="1">
      <c r="A91" s="2173"/>
      <c r="B91" s="156"/>
      <c r="C91" s="841"/>
      <c r="D91" s="831"/>
      <c r="E91" s="831"/>
      <c r="F91" s="831"/>
      <c r="G91" s="156"/>
      <c r="H91" s="833"/>
      <c r="I91" s="836"/>
      <c r="J91" s="845"/>
      <c r="K91" s="845"/>
      <c r="L91" s="845"/>
      <c r="M91" s="845"/>
      <c r="N91" s="845"/>
      <c r="O91" s="836"/>
      <c r="P91" s="836"/>
      <c r="Q91" s="836"/>
      <c r="R91" s="843"/>
      <c r="S91" s="843"/>
      <c r="T91" s="838"/>
      <c r="U91" s="1577"/>
      <c r="V91" s="838"/>
      <c r="W91" s="838"/>
      <c r="X91" s="838"/>
      <c r="Y91" s="838"/>
      <c r="Z91" s="838"/>
      <c r="AA91" s="838"/>
      <c r="AB91" s="697"/>
      <c r="AC91" s="697"/>
      <c r="AD91" s="899"/>
      <c r="AE91" s="697"/>
      <c r="AF91" s="697"/>
      <c r="AG91" s="697"/>
      <c r="AH91" s="697"/>
      <c r="AI91" s="697"/>
      <c r="AJ91" s="697"/>
      <c r="AK91" s="697"/>
      <c r="AL91" s="697"/>
      <c r="AM91" s="697"/>
      <c r="AN91" s="697"/>
      <c r="AO91" s="697"/>
      <c r="AP91" s="697"/>
      <c r="AQ91" s="697"/>
      <c r="AR91" s="697"/>
      <c r="AS91" s="697"/>
      <c r="AT91" s="697"/>
      <c r="AU91" s="697"/>
      <c r="AV91" s="697"/>
      <c r="AW91" s="697"/>
      <c r="AX91" s="697"/>
      <c r="AY91" s="697"/>
      <c r="AZ91" s="697"/>
      <c r="BA91" s="697"/>
    </row>
    <row r="92" spans="1:53" ht="17.25">
      <c r="A92" s="2289"/>
      <c r="B92" s="1652"/>
      <c r="C92" s="3897"/>
      <c r="D92" s="3897"/>
      <c r="E92" s="3897"/>
      <c r="F92" s="3897"/>
      <c r="G92" s="3897"/>
      <c r="H92" s="3897"/>
      <c r="I92" s="846"/>
      <c r="J92" s="847"/>
      <c r="K92" s="847"/>
      <c r="L92" s="847"/>
      <c r="M92" s="847"/>
      <c r="N92" s="847"/>
      <c r="O92" s="948"/>
      <c r="P92" s="846"/>
      <c r="Q92" s="846"/>
      <c r="R92" s="848"/>
      <c r="S92" s="1654"/>
      <c r="T92" s="849"/>
      <c r="U92" s="3897"/>
      <c r="V92" s="3897"/>
      <c r="W92" s="3897"/>
      <c r="X92" s="3897"/>
      <c r="Y92" s="3897"/>
      <c r="Z92" s="3897"/>
      <c r="AA92" s="3897"/>
      <c r="AB92" s="3897"/>
      <c r="AC92" s="708"/>
      <c r="AD92" s="708"/>
      <c r="AE92" s="708"/>
      <c r="AG92" s="708"/>
      <c r="AH92" s="708"/>
      <c r="AI92" s="708"/>
      <c r="AJ92" s="708"/>
      <c r="AK92" s="708"/>
      <c r="AL92" s="708"/>
      <c r="AM92" s="708"/>
      <c r="AN92" s="708"/>
      <c r="AO92" s="708"/>
      <c r="AP92" s="708"/>
      <c r="AQ92" s="708"/>
      <c r="AR92" s="708"/>
      <c r="AS92" s="708"/>
      <c r="AT92" s="708"/>
      <c r="AU92" s="708"/>
      <c r="AV92" s="708"/>
      <c r="AW92" s="708"/>
      <c r="AX92" s="708"/>
      <c r="AY92" s="708"/>
      <c r="AZ92" s="708"/>
      <c r="BA92" s="708"/>
    </row>
    <row r="93" spans="1:53">
      <c r="J93" s="834"/>
      <c r="K93" s="834"/>
      <c r="L93" s="834"/>
      <c r="M93" s="834"/>
      <c r="N93" s="834"/>
    </row>
    <row r="94" spans="1:53">
      <c r="P94" s="845"/>
      <c r="Q94" s="845"/>
    </row>
    <row r="95" spans="1:53">
      <c r="D95" s="3895"/>
      <c r="E95" s="3895"/>
      <c r="F95" s="2506"/>
      <c r="V95" s="850"/>
    </row>
  </sheetData>
  <mergeCells count="18">
    <mergeCell ref="D95:E95"/>
    <mergeCell ref="D10:AA10"/>
    <mergeCell ref="U92:AB92"/>
    <mergeCell ref="C92:H92"/>
    <mergeCell ref="C87:H87"/>
    <mergeCell ref="B12:C12"/>
    <mergeCell ref="B50:C50"/>
    <mergeCell ref="B67:C67"/>
    <mergeCell ref="Y87:AB87"/>
    <mergeCell ref="G86:H86"/>
    <mergeCell ref="B85:C85"/>
    <mergeCell ref="B10:B11"/>
    <mergeCell ref="C10:C11"/>
    <mergeCell ref="A2:AB2"/>
    <mergeCell ref="A3:AB3"/>
    <mergeCell ref="A10:A11"/>
    <mergeCell ref="B8:AB8"/>
    <mergeCell ref="L4:M4"/>
  </mergeCells>
  <pageMargins left="0.82677165354330717" right="0.51181102362204722" top="0.74803149606299213" bottom="0.74803149606299213" header="0.31496062992125984" footer="0.31496062992125984"/>
  <pageSetup paperSize="9" scale="76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B104"/>
  <sheetViews>
    <sheetView zoomScale="70" zoomScaleNormal="70" workbookViewId="0">
      <pane ySplit="14" topLeftCell="A84" activePane="bottomLeft" state="frozen"/>
      <selection pane="bottomLeft" activeCell="S87" sqref="S87"/>
    </sheetView>
  </sheetViews>
  <sheetFormatPr defaultColWidth="9.25" defaultRowHeight="16.5"/>
  <cols>
    <col min="1" max="1" width="7.25" style="914" customWidth="1"/>
    <col min="2" max="2" width="9.375" style="909" customWidth="1"/>
    <col min="3" max="3" width="24.875" style="915" customWidth="1"/>
    <col min="4" max="4" width="6.375" style="915" hidden="1" customWidth="1"/>
    <col min="5" max="5" width="8" style="909" hidden="1" customWidth="1"/>
    <col min="6" max="6" width="23" style="909" hidden="1" customWidth="1"/>
    <col min="7" max="7" width="14.75" style="911" customWidth="1"/>
    <col min="8" max="8" width="21.375" style="909" customWidth="1"/>
    <col min="9" max="9" width="15.125" style="909" customWidth="1"/>
    <col min="10" max="10" width="13.375" style="911" customWidth="1"/>
    <col min="11" max="11" width="7.875" style="924" customWidth="1"/>
    <col min="12" max="12" width="15.625" style="912" customWidth="1"/>
    <col min="13" max="13" width="11.75" style="909" customWidth="1"/>
    <col min="14" max="14" width="9.75" style="909" customWidth="1"/>
    <col min="15" max="15" width="11.75" style="909" customWidth="1"/>
    <col min="16" max="16" width="14" style="909" customWidth="1"/>
    <col min="17" max="18" width="15.375" style="909" customWidth="1"/>
    <col min="19" max="19" width="17.625" style="909" customWidth="1"/>
    <col min="20" max="20" width="17.625" style="909" hidden="1" customWidth="1"/>
    <col min="21" max="21" width="19.75" style="909" customWidth="1"/>
    <col min="22" max="23" width="17.125" style="909" customWidth="1"/>
    <col min="24" max="24" width="15.875" style="909" customWidth="1"/>
    <col min="25" max="25" width="20.25" style="909" customWidth="1"/>
    <col min="26" max="27" width="9.375" style="909"/>
    <col min="28" max="28" width="14.25" style="909" bestFit="1" customWidth="1"/>
    <col min="29" max="16384" width="9.25" style="909"/>
  </cols>
  <sheetData>
    <row r="1" spans="1:25">
      <c r="A1" s="2050">
        <v>1</v>
      </c>
      <c r="B1" s="909">
        <v>2</v>
      </c>
      <c r="C1" s="2504">
        <v>3</v>
      </c>
      <c r="D1" s="909">
        <v>4</v>
      </c>
      <c r="E1" s="2504">
        <v>5</v>
      </c>
      <c r="F1" s="909">
        <v>6</v>
      </c>
      <c r="G1" s="2504">
        <v>7</v>
      </c>
      <c r="H1" s="909">
        <v>8</v>
      </c>
      <c r="I1" s="2504">
        <v>9</v>
      </c>
      <c r="J1" s="909">
        <v>10</v>
      </c>
      <c r="K1" s="2504">
        <v>11</v>
      </c>
      <c r="L1" s="909">
        <v>12</v>
      </c>
      <c r="M1" s="2504">
        <v>13</v>
      </c>
      <c r="N1" s="909">
        <v>14</v>
      </c>
      <c r="O1" s="2504">
        <v>15</v>
      </c>
      <c r="P1" s="909">
        <v>16</v>
      </c>
      <c r="S1" s="2504">
        <v>17</v>
      </c>
      <c r="T1" s="2971"/>
    </row>
    <row r="2" spans="1:25">
      <c r="A2" s="2050"/>
    </row>
    <row r="3" spans="1:25" ht="18" customHeight="1">
      <c r="A3" s="3799" t="s">
        <v>165</v>
      </c>
      <c r="B3" s="3799"/>
      <c r="C3" s="3799"/>
      <c r="D3" s="3799"/>
      <c r="E3" s="3799"/>
      <c r="F3" s="3799"/>
      <c r="G3" s="3799"/>
      <c r="H3" s="3799"/>
      <c r="I3" s="3799"/>
      <c r="J3" s="3799"/>
      <c r="K3" s="3799"/>
      <c r="L3" s="3799"/>
      <c r="M3" s="3799"/>
      <c r="N3" s="3799"/>
      <c r="O3" s="3799"/>
      <c r="P3" s="3799"/>
      <c r="Q3" s="3799"/>
      <c r="R3" s="3799"/>
      <c r="S3" s="3799"/>
      <c r="T3" s="3799"/>
      <c r="U3" s="3799"/>
      <c r="V3" s="3799"/>
      <c r="W3" s="2443"/>
    </row>
    <row r="4" spans="1:25" ht="16.5" customHeight="1">
      <c r="A4" s="3799" t="s">
        <v>171</v>
      </c>
      <c r="B4" s="3799"/>
      <c r="C4" s="3799"/>
      <c r="D4" s="3799"/>
      <c r="E4" s="3799"/>
      <c r="F4" s="3799"/>
      <c r="G4" s="3799"/>
      <c r="H4" s="3799"/>
      <c r="I4" s="3799"/>
      <c r="J4" s="3799"/>
      <c r="K4" s="3799"/>
      <c r="L4" s="3799"/>
      <c r="M4" s="3799"/>
      <c r="N4" s="3799"/>
      <c r="O4" s="3799"/>
      <c r="P4" s="3799"/>
      <c r="Q4" s="3799"/>
      <c r="R4" s="3799"/>
      <c r="S4" s="3799"/>
      <c r="T4" s="3799"/>
      <c r="U4" s="3799"/>
      <c r="V4" s="3799"/>
      <c r="W4" s="2443"/>
    </row>
    <row r="5" spans="1:25" ht="16.5" customHeight="1">
      <c r="A5" s="3799" t="s">
        <v>726</v>
      </c>
      <c r="B5" s="3799"/>
      <c r="C5" s="3799"/>
      <c r="D5" s="3799"/>
      <c r="E5" s="3799"/>
      <c r="F5" s="3799"/>
      <c r="G5" s="3799"/>
      <c r="H5" s="3799"/>
      <c r="I5" s="3799"/>
      <c r="J5" s="3799"/>
      <c r="K5" s="3799"/>
      <c r="L5" s="3799"/>
      <c r="M5" s="3799"/>
      <c r="N5" s="3799"/>
      <c r="O5" s="3799"/>
      <c r="P5" s="3799"/>
      <c r="Q5" s="3799"/>
      <c r="R5" s="3799"/>
      <c r="S5" s="3799"/>
      <c r="T5" s="3799"/>
      <c r="U5" s="3799"/>
      <c r="V5" s="3799"/>
      <c r="W5" s="2443"/>
    </row>
    <row r="6" spans="1:25" ht="25.5" customHeight="1">
      <c r="A6" s="3800" t="s">
        <v>602</v>
      </c>
      <c r="B6" s="3800"/>
      <c r="C6" s="3800"/>
      <c r="D6" s="3800"/>
      <c r="E6" s="3800"/>
      <c r="F6" s="3800"/>
      <c r="G6" s="3800"/>
      <c r="H6" s="3800"/>
      <c r="I6" s="1980"/>
      <c r="J6" s="1980"/>
      <c r="K6" s="1980"/>
      <c r="L6" s="1980"/>
      <c r="M6" s="1980"/>
      <c r="N6" s="1980"/>
      <c r="O6" s="1980"/>
      <c r="P6" s="1980"/>
      <c r="Q6" s="2985"/>
      <c r="R6" s="3576"/>
      <c r="S6" s="1980"/>
      <c r="T6" s="2970"/>
      <c r="U6" s="1980"/>
      <c r="V6" s="1980"/>
      <c r="W6" s="2443"/>
    </row>
    <row r="7" spans="1:25" s="2011" customFormat="1" ht="27.75" customHeight="1">
      <c r="A7" s="3934" t="s">
        <v>541</v>
      </c>
      <c r="B7" s="3934"/>
      <c r="C7" s="3934"/>
      <c r="D7" s="3934"/>
      <c r="E7" s="3934"/>
      <c r="F7" s="3934"/>
      <c r="G7" s="3934"/>
      <c r="H7" s="3934"/>
      <c r="I7" s="1999"/>
      <c r="J7" s="1999"/>
      <c r="K7" s="1999"/>
      <c r="L7" s="1999"/>
      <c r="M7" s="1999"/>
      <c r="N7" s="1999"/>
      <c r="O7" s="1999"/>
      <c r="P7" s="1999"/>
      <c r="Q7" s="2986"/>
      <c r="R7" s="3578"/>
      <c r="S7" s="1999"/>
      <c r="T7" s="2972"/>
      <c r="U7" s="1999"/>
      <c r="V7" s="1999"/>
      <c r="W7" s="2444"/>
    </row>
    <row r="8" spans="1:25" s="910" customFormat="1" ht="34.5" customHeight="1">
      <c r="A8" s="3943" t="s">
        <v>1828</v>
      </c>
      <c r="B8" s="3943"/>
      <c r="C8" s="3943"/>
      <c r="D8" s="3943"/>
      <c r="E8" s="3943"/>
      <c r="F8" s="3943"/>
      <c r="G8" s="3943"/>
      <c r="H8" s="3943"/>
      <c r="I8" s="3943"/>
      <c r="J8" s="3943"/>
      <c r="K8" s="3943"/>
      <c r="L8" s="3943"/>
      <c r="M8" s="3943"/>
      <c r="N8" s="3943"/>
      <c r="O8" s="3943"/>
      <c r="P8" s="3943"/>
      <c r="Q8" s="3943"/>
      <c r="R8" s="3943"/>
      <c r="S8" s="3943"/>
      <c r="T8" s="3943"/>
      <c r="U8" s="3943"/>
      <c r="V8" s="3943"/>
      <c r="W8" s="2446"/>
    </row>
    <row r="9" spans="1:25" s="910" customFormat="1" ht="15" customHeight="1">
      <c r="A9" s="1382"/>
      <c r="B9" s="1382"/>
      <c r="C9" s="1385"/>
      <c r="D9" s="1385"/>
      <c r="E9" s="3937"/>
      <c r="F9" s="3937"/>
      <c r="G9" s="3937"/>
      <c r="H9" s="1382"/>
      <c r="I9" s="1976"/>
      <c r="J9" s="1382"/>
      <c r="K9" s="1382"/>
      <c r="L9" s="1382"/>
      <c r="M9" s="1382"/>
      <c r="N9" s="1382"/>
      <c r="O9" s="1573"/>
      <c r="P9" s="1573"/>
      <c r="Q9" s="1976"/>
      <c r="R9" s="1976"/>
      <c r="S9" s="1382"/>
      <c r="T9" s="1976"/>
      <c r="U9" s="1382"/>
      <c r="V9" s="1382"/>
      <c r="W9" s="1976"/>
    </row>
    <row r="10" spans="1:25" ht="21" customHeight="1">
      <c r="C10" s="1386" t="s">
        <v>894</v>
      </c>
      <c r="D10" s="1387" t="s">
        <v>894</v>
      </c>
      <c r="E10" s="3913">
        <f>'BẢNG PHÂN TOÁN'!L14</f>
        <v>656</v>
      </c>
      <c r="F10" s="3913"/>
      <c r="G10" s="3913"/>
      <c r="H10" s="917"/>
      <c r="I10" s="917"/>
      <c r="J10" s="916"/>
      <c r="K10" s="918"/>
      <c r="L10" s="919"/>
      <c r="M10" s="920"/>
      <c r="N10" s="920"/>
      <c r="O10" s="920"/>
      <c r="P10" s="920"/>
      <c r="Q10" s="920"/>
      <c r="R10" s="920"/>
      <c r="S10" s="920"/>
      <c r="T10" s="920"/>
      <c r="U10" s="3439" t="s">
        <v>1157</v>
      </c>
      <c r="V10" s="3439"/>
      <c r="W10" s="920"/>
    </row>
    <row r="11" spans="1:25" s="921" customFormat="1" ht="24" customHeight="1">
      <c r="A11" s="3907" t="s">
        <v>1</v>
      </c>
      <c r="B11" s="3908"/>
      <c r="C11" s="3928" t="s">
        <v>20</v>
      </c>
      <c r="D11" s="3938" t="s">
        <v>239</v>
      </c>
      <c r="E11" s="3923" t="s">
        <v>26</v>
      </c>
      <c r="F11" s="3915" t="s">
        <v>9</v>
      </c>
      <c r="G11" s="3916" t="s">
        <v>27</v>
      </c>
      <c r="H11" s="3917"/>
      <c r="I11" s="3917"/>
      <c r="J11" s="3917"/>
      <c r="K11" s="3917"/>
      <c r="L11" s="3917"/>
      <c r="M11" s="3917"/>
      <c r="N11" s="3917"/>
      <c r="O11" s="3917"/>
      <c r="P11" s="3917"/>
      <c r="Q11" s="3917"/>
      <c r="R11" s="3917"/>
      <c r="S11" s="3917"/>
      <c r="T11" s="3918"/>
      <c r="U11" s="3927" t="s">
        <v>1165</v>
      </c>
      <c r="V11" s="3926" t="s">
        <v>1155</v>
      </c>
      <c r="W11" s="2450"/>
    </row>
    <row r="12" spans="1:25" s="921" customFormat="1" ht="41.25" customHeight="1">
      <c r="A12" s="3909"/>
      <c r="B12" s="3910"/>
      <c r="C12" s="3929"/>
      <c r="D12" s="3938"/>
      <c r="E12" s="3924"/>
      <c r="F12" s="3915"/>
      <c r="G12" s="3914" t="s">
        <v>1146</v>
      </c>
      <c r="H12" s="3914"/>
      <c r="I12" s="3926" t="s">
        <v>31</v>
      </c>
      <c r="J12" s="3926"/>
      <c r="K12" s="3926"/>
      <c r="L12" s="3926"/>
      <c r="M12" s="3921" t="s">
        <v>1366</v>
      </c>
      <c r="N12" s="3922"/>
      <c r="O12" s="3922"/>
      <c r="P12" s="3922"/>
      <c r="Q12" s="3922"/>
      <c r="R12" s="3922"/>
      <c r="S12" s="3922"/>
      <c r="T12" s="3919" t="s">
        <v>1365</v>
      </c>
      <c r="U12" s="3927"/>
      <c r="V12" s="3926"/>
      <c r="W12" s="2450"/>
    </row>
    <row r="13" spans="1:25" s="921" customFormat="1" ht="75.75" customHeight="1">
      <c r="A13" s="3911"/>
      <c r="B13" s="3912"/>
      <c r="C13" s="3930"/>
      <c r="D13" s="3938"/>
      <c r="E13" s="3925"/>
      <c r="F13" s="3915"/>
      <c r="G13" s="2064" t="s">
        <v>362</v>
      </c>
      <c r="H13" s="2458" t="s">
        <v>1255</v>
      </c>
      <c r="I13" s="2065" t="s">
        <v>1151</v>
      </c>
      <c r="J13" s="2064" t="s">
        <v>1152</v>
      </c>
      <c r="K13" s="2066" t="s">
        <v>37</v>
      </c>
      <c r="L13" s="2066" t="s">
        <v>38</v>
      </c>
      <c r="M13" s="2067" t="s">
        <v>956</v>
      </c>
      <c r="N13" s="2067" t="s">
        <v>957</v>
      </c>
      <c r="O13" s="2067" t="s">
        <v>1252</v>
      </c>
      <c r="P13" s="2067" t="s">
        <v>1253</v>
      </c>
      <c r="Q13" s="2993" t="s">
        <v>1365</v>
      </c>
      <c r="R13" s="3577" t="s">
        <v>1829</v>
      </c>
      <c r="S13" s="2066" t="s">
        <v>24</v>
      </c>
      <c r="T13" s="3920"/>
      <c r="U13" s="3927"/>
      <c r="V13" s="3926"/>
      <c r="W13" s="2450"/>
    </row>
    <row r="14" spans="1:25" s="921" customFormat="1" ht="26.25" hidden="1" customHeight="1">
      <c r="A14" s="2068" t="s">
        <v>66</v>
      </c>
      <c r="B14" s="2068" t="s">
        <v>67</v>
      </c>
      <c r="C14" s="2068" t="s">
        <v>81</v>
      </c>
      <c r="D14" s="2068"/>
      <c r="E14" s="2068" t="s">
        <v>69</v>
      </c>
      <c r="F14" s="2068"/>
      <c r="G14" s="2068" t="s">
        <v>70</v>
      </c>
      <c r="H14" s="2068" t="s">
        <v>73</v>
      </c>
      <c r="I14" s="2068"/>
      <c r="J14" s="2069" t="s">
        <v>86</v>
      </c>
      <c r="K14" s="2068" t="s">
        <v>87</v>
      </c>
      <c r="L14" s="2068" t="s">
        <v>73</v>
      </c>
      <c r="M14" s="2068" t="s">
        <v>88</v>
      </c>
      <c r="N14" s="2068" t="s">
        <v>89</v>
      </c>
      <c r="O14" s="2068" t="s">
        <v>88</v>
      </c>
      <c r="P14" s="2068" t="s">
        <v>89</v>
      </c>
      <c r="Q14" s="2068"/>
      <c r="R14" s="2068"/>
      <c r="S14" s="2068" t="s">
        <v>73</v>
      </c>
      <c r="T14" s="2068"/>
      <c r="U14" s="2068" t="s">
        <v>90</v>
      </c>
      <c r="V14" s="2070" t="s">
        <v>76</v>
      </c>
      <c r="W14" s="2451"/>
      <c r="Y14" s="1620" t="s">
        <v>982</v>
      </c>
    </row>
    <row r="15" spans="1:25" s="2432" customFormat="1" ht="36.75" customHeight="1">
      <c r="A15" s="3935" t="s">
        <v>606</v>
      </c>
      <c r="B15" s="3936"/>
      <c r="C15" s="2459" t="s">
        <v>607</v>
      </c>
      <c r="D15" s="2459" t="s">
        <v>606</v>
      </c>
      <c r="E15" s="2459" t="s">
        <v>606</v>
      </c>
      <c r="F15" s="2459" t="s">
        <v>606</v>
      </c>
      <c r="G15" s="2459" t="s">
        <v>608</v>
      </c>
      <c r="H15" s="2459" t="s">
        <v>609</v>
      </c>
      <c r="I15" s="2459" t="s">
        <v>610</v>
      </c>
      <c r="J15" s="2459" t="s">
        <v>611</v>
      </c>
      <c r="K15" s="2459" t="s">
        <v>635</v>
      </c>
      <c r="L15" s="2459" t="s">
        <v>692</v>
      </c>
      <c r="M15" s="2459" t="s">
        <v>636</v>
      </c>
      <c r="N15" s="2459" t="s">
        <v>637</v>
      </c>
      <c r="O15" s="2459" t="s">
        <v>1256</v>
      </c>
      <c r="P15" s="2459" t="s">
        <v>693</v>
      </c>
      <c r="Q15" s="2459" t="s">
        <v>694</v>
      </c>
      <c r="R15" s="2459" t="s">
        <v>1262</v>
      </c>
      <c r="S15" s="2459" t="s">
        <v>1257</v>
      </c>
      <c r="T15" s="2459" t="s">
        <v>1257</v>
      </c>
      <c r="U15" s="2459" t="s">
        <v>1830</v>
      </c>
      <c r="V15" s="2459" t="s">
        <v>697</v>
      </c>
      <c r="W15" s="2452"/>
      <c r="Y15" s="2433">
        <v>20000</v>
      </c>
    </row>
    <row r="16" spans="1:25" s="1542" customFormat="1" ht="26.25" customHeight="1">
      <c r="A16" s="2071" t="s">
        <v>52</v>
      </c>
      <c r="B16" s="3939" t="s">
        <v>321</v>
      </c>
      <c r="C16" s="3939"/>
      <c r="D16" s="2071"/>
      <c r="E16" s="2071"/>
      <c r="F16" s="2071"/>
      <c r="G16" s="3102">
        <f>SUM(G17:G53)</f>
        <v>0</v>
      </c>
      <c r="H16" s="3102">
        <f t="shared" ref="H16:V16" si="0">SUM(H17:H53)</f>
        <v>0</v>
      </c>
      <c r="I16" s="3102">
        <f t="shared" si="0"/>
        <v>84143</v>
      </c>
      <c r="J16" s="3102">
        <f t="shared" si="0"/>
        <v>35751.783999999992</v>
      </c>
      <c r="K16" s="3102">
        <f t="shared" si="0"/>
        <v>0</v>
      </c>
      <c r="L16" s="3102">
        <f t="shared" si="0"/>
        <v>139328159.60353053</v>
      </c>
      <c r="M16" s="3102">
        <f t="shared" si="0"/>
        <v>696</v>
      </c>
      <c r="N16" s="3102">
        <f t="shared" si="0"/>
        <v>111</v>
      </c>
      <c r="O16" s="3102">
        <f t="shared" si="0"/>
        <v>130</v>
      </c>
      <c r="P16" s="3102">
        <f t="shared" si="0"/>
        <v>22</v>
      </c>
      <c r="Q16" s="3102">
        <f t="shared" si="0"/>
        <v>959</v>
      </c>
      <c r="R16" s="3579">
        <f t="shared" si="0"/>
        <v>959</v>
      </c>
      <c r="S16" s="3102">
        <f>SUM(S17:S53)</f>
        <v>73110091.200000018</v>
      </c>
      <c r="T16" s="3102">
        <f t="shared" si="0"/>
        <v>0</v>
      </c>
      <c r="U16" s="3102">
        <f t="shared" si="0"/>
        <v>212438250.80353057</v>
      </c>
      <c r="V16" s="3102">
        <f t="shared" si="0"/>
        <v>212438250.80353057</v>
      </c>
      <c r="W16" s="2453"/>
      <c r="Y16" s="2994"/>
    </row>
    <row r="17" spans="1:23" s="1543" customFormat="1" ht="34.5" customHeight="1">
      <c r="A17" s="2073">
        <v>1</v>
      </c>
      <c r="B17" s="2073">
        <v>1</v>
      </c>
      <c r="C17" s="2098" t="str">
        <f>'Chấm công công nhân'!L13</f>
        <v>Vắt Đi</v>
      </c>
      <c r="D17" s="2074" t="e">
        <f>VLOOKUP(C17,'Mã số NV'!$B$6:$D$53,3,0)</f>
        <v>#N/A</v>
      </c>
      <c r="E17" s="2075" t="s">
        <v>40</v>
      </c>
      <c r="F17" s="2075"/>
      <c r="G17" s="2076">
        <f>VLOOKUP(C17,'Tong hop cong'!C13:R13,16,0)</f>
        <v>0</v>
      </c>
      <c r="H17" s="2077">
        <f t="shared" ref="H17:H53" si="1">G17*25000</f>
        <v>0</v>
      </c>
      <c r="I17" s="2077">
        <f>+VLOOKUP(C17,'Tong hop cong'!C13:S13,17,0)</f>
        <v>3038</v>
      </c>
      <c r="J17" s="2078">
        <f>+VLOOKUP(C17,'Tong hop cong'!C13:U13,19,0)</f>
        <v>1290.825378130088</v>
      </c>
      <c r="K17" s="2079" t="str">
        <f>VLOOKUP(C17,'Tong hop cong'!C13:AA13,25,0)</f>
        <v>A</v>
      </c>
      <c r="L17" s="2080">
        <f>IF(K17="A",(J17*(6.1*$E$10)),IF(K17="B",(J17*(5.8*$E$10)),IF(K17="C",(J17*(5.5*$E$10)),IF(K17="D",(J17*(5.2*$E$10)),0))))</f>
        <v>5165366.8331253603</v>
      </c>
      <c r="M17" s="2078">
        <f>+VLOOKUP(C17,'Tong hop cong'!C13:V13,20,0)</f>
        <v>19</v>
      </c>
      <c r="N17" s="2078">
        <f>+VLOOKUP(C17,'Tong hop cong'!C13:W13,21,0)</f>
        <v>3</v>
      </c>
      <c r="O17" s="2078">
        <f>+VLOOKUP(C17,'Tong hop cong'!C13:X13,22,0)</f>
        <v>7</v>
      </c>
      <c r="P17" s="2078">
        <f>+VLOOKUP(C17,'Tong hop cong'!C13:Y13,23,0)</f>
        <v>1</v>
      </c>
      <c r="Q17" s="2078">
        <f>M17+N17+O17+P17</f>
        <v>30</v>
      </c>
      <c r="R17" s="2078">
        <f>M17+N17+O17+P17</f>
        <v>30</v>
      </c>
      <c r="S17" s="2080">
        <f>((M17*(46.1*$E$10))+(N17*(76.9*$E$10))+(O17*(76.8*$E$10))+(P17*(107.6*$E$10)))+Q17*$Y$15+R17*$Y$15</f>
        <v>2349180.8000000003</v>
      </c>
      <c r="T17" s="2080"/>
      <c r="U17" s="2080">
        <f t="shared" ref="U17:U53" si="2">H17+L17+S17</f>
        <v>7514547.6331253611</v>
      </c>
      <c r="V17" s="2081">
        <f t="shared" ref="V17:V53" si="3">U17</f>
        <v>7514547.6331253611</v>
      </c>
      <c r="W17" s="2454" t="s">
        <v>1572</v>
      </c>
    </row>
    <row r="18" spans="1:23" s="1543" customFormat="1" ht="27.75" customHeight="1">
      <c r="A18" s="2073">
        <v>2</v>
      </c>
      <c r="B18" s="2073">
        <v>2</v>
      </c>
      <c r="C18" s="2098" t="str">
        <f>'Chấm công công nhân'!L14</f>
        <v>T Ô Vên</v>
      </c>
      <c r="D18" s="2074" t="e">
        <f>VLOOKUP(C18,'Mã số NV'!$B$6:$D$53,3,0)</f>
        <v>#N/A</v>
      </c>
      <c r="E18" s="2075" t="s">
        <v>40</v>
      </c>
      <c r="F18" s="2075"/>
      <c r="G18" s="2076">
        <f>VLOOKUP(C18,'Tong hop cong'!C14:R14,16,0)</f>
        <v>0</v>
      </c>
      <c r="H18" s="2077">
        <f t="shared" si="1"/>
        <v>0</v>
      </c>
      <c r="I18" s="2077">
        <f>+VLOOKUP(C18,'Tong hop cong'!C14:S14,17,0)</f>
        <v>2658</v>
      </c>
      <c r="J18" s="2078">
        <f>+VLOOKUP(C18,'Tong hop cong'!C14:U14,19,0)</f>
        <v>1129.3659825772793</v>
      </c>
      <c r="K18" s="2079" t="str">
        <f>VLOOKUP(C18,'Tong hop cong'!C14:AA14,25,0)</f>
        <v>B</v>
      </c>
      <c r="L18" s="2080">
        <f>IF(K18="A",(J18*(6.1*$E$10)),IF(K18="B",(J18*(5.8*$E$10)),IF(K18="C",(J18*(5.5*$E$10)),IF(K18="D",(J18*(5.2*$E$10)),0))))</f>
        <v>4297011.6905100318</v>
      </c>
      <c r="M18" s="2078">
        <f>+VLOOKUP(C18,'Tong hop cong'!C14:V14,20,0)</f>
        <v>20</v>
      </c>
      <c r="N18" s="2078">
        <f>+VLOOKUP(C18,'Tong hop cong'!C14:W14,21,0)</f>
        <v>2</v>
      </c>
      <c r="O18" s="2078">
        <f>+VLOOKUP(C18,'Tong hop cong'!C14:X14,22,0)</f>
        <v>7</v>
      </c>
      <c r="P18" s="2078">
        <f>+VLOOKUP(C18,'Tong hop cong'!C14:Y14,23,0)</f>
        <v>2</v>
      </c>
      <c r="Q18" s="2078">
        <f>M18+N18+O18+P18</f>
        <v>31</v>
      </c>
      <c r="R18" s="2078">
        <f t="shared" ref="R18:R53" si="4">M18+N18+O18+P18</f>
        <v>31</v>
      </c>
      <c r="S18" s="2080">
        <f>((M18*(46.1*$E$10))+(N18*(76.9*$E$10))+(O18*(76.8*$E$10))+(P18*(107.6*$E$10)))+Q18*$Y$15+R18*$Y$15</f>
        <v>2439561.5999999996</v>
      </c>
      <c r="T18" s="2080"/>
      <c r="U18" s="2080">
        <f t="shared" si="2"/>
        <v>6736573.2905100314</v>
      </c>
      <c r="V18" s="2081">
        <f t="shared" si="3"/>
        <v>6736573.2905100314</v>
      </c>
      <c r="W18" s="2454" t="s">
        <v>1572</v>
      </c>
    </row>
    <row r="19" spans="1:23" s="1543" customFormat="1" ht="27.75" customHeight="1">
      <c r="A19" s="2073">
        <v>3</v>
      </c>
      <c r="B19" s="2073">
        <v>3</v>
      </c>
      <c r="C19" s="2098" t="str">
        <f>'Chấm công công nhân'!L15</f>
        <v>Nàng Túc</v>
      </c>
      <c r="D19" s="2074" t="e">
        <f>VLOOKUP(C19,'Mã số NV'!$B$6:$D$53,3,0)</f>
        <v>#N/A</v>
      </c>
      <c r="E19" s="2075" t="s">
        <v>40</v>
      </c>
      <c r="F19" s="2075"/>
      <c r="G19" s="2076">
        <f>VLOOKUP(C19,'Tong hop cong'!C15:R15,16,0)</f>
        <v>0</v>
      </c>
      <c r="H19" s="2077">
        <f t="shared" si="1"/>
        <v>0</v>
      </c>
      <c r="I19" s="2077">
        <f>+VLOOKUP(C19,'Tong hop cong'!C15:S15,17,0)</f>
        <v>2464</v>
      </c>
      <c r="J19" s="2078">
        <f>+VLOOKUP(C19,'Tong hop cong'!C15:U15,19,0)</f>
        <v>1046.9367122161084</v>
      </c>
      <c r="K19" s="2079" t="str">
        <f>VLOOKUP(C19,'Tong hop cong'!C15:AA15,25,0)</f>
        <v>A</v>
      </c>
      <c r="L19" s="2080">
        <f t="shared" ref="L19:L52" si="5">IF(K19="A",(J19*(6.1*$E$10)),IF(K19="B",(J19*(5.8*$E$10)),IF(K19="C",(J19*(5.5*$E$10)),IF(K19="D",(J19*(5.2*$E$10)),0))))</f>
        <v>4189421.9476039791</v>
      </c>
      <c r="M19" s="2078">
        <f>+VLOOKUP(C19,'Tong hop cong'!C15:V15,20,0)</f>
        <v>20</v>
      </c>
      <c r="N19" s="2078">
        <f>+VLOOKUP(C19,'Tong hop cong'!C15:W15,21,0)</f>
        <v>2</v>
      </c>
      <c r="O19" s="2078">
        <f>+VLOOKUP(C19,'Tong hop cong'!C15:X15,22,0)</f>
        <v>7</v>
      </c>
      <c r="P19" s="2078">
        <f>+VLOOKUP(C19,'Tong hop cong'!C15:Y15,23,0)</f>
        <v>2</v>
      </c>
      <c r="Q19" s="2078">
        <f t="shared" ref="Q19:Q52" si="6">M19+N19+O19+P19</f>
        <v>31</v>
      </c>
      <c r="R19" s="2078">
        <f t="shared" si="4"/>
        <v>31</v>
      </c>
      <c r="S19" s="2080">
        <f t="shared" ref="S19:S52" si="7">((M19*(46.1*$E$10))+(N19*(76.9*$E$10))+(O19*(76.8*$E$10))+(P19*(107.6*$E$10)))+Q19*$Y$15+R19*$Y$15</f>
        <v>2439561.5999999996</v>
      </c>
      <c r="T19" s="2080"/>
      <c r="U19" s="2080">
        <f t="shared" si="2"/>
        <v>6628983.5476039788</v>
      </c>
      <c r="V19" s="2081">
        <f t="shared" si="3"/>
        <v>6628983.5476039788</v>
      </c>
      <c r="W19" s="2454" t="s">
        <v>1572</v>
      </c>
    </row>
    <row r="20" spans="1:23" s="1543" customFormat="1" ht="27.75" customHeight="1">
      <c r="A20" s="2073">
        <v>4</v>
      </c>
      <c r="B20" s="2073">
        <v>4</v>
      </c>
      <c r="C20" s="2098" t="str">
        <f>'Chấm công công nhân'!L16</f>
        <v>Thảo Say</v>
      </c>
      <c r="D20" s="2074" t="e">
        <f>VLOOKUP(C20,'Mã số NV'!$B$6:$D$53,3,0)</f>
        <v>#N/A</v>
      </c>
      <c r="E20" s="2075" t="s">
        <v>40</v>
      </c>
      <c r="F20" s="2075"/>
      <c r="G20" s="2076">
        <f>VLOOKUP(C20,'Tong hop cong'!C16:R16,16,0)</f>
        <v>0</v>
      </c>
      <c r="H20" s="2077">
        <f t="shared" si="1"/>
        <v>0</v>
      </c>
      <c r="I20" s="2077">
        <f>+VLOOKUP(C20,'Tong hop cong'!C16:S16,17,0)</f>
        <v>1481</v>
      </c>
      <c r="J20" s="2078">
        <f>+VLOOKUP(C20,'Tong hop cong'!C16:U16,19,0)</f>
        <v>629.26674950976314</v>
      </c>
      <c r="K20" s="2079" t="str">
        <f>VLOOKUP(C20,'Tong hop cong'!C16:AA16,25,0)</f>
        <v>B</v>
      </c>
      <c r="L20" s="2080">
        <f t="shared" si="5"/>
        <v>2394234.1285347468</v>
      </c>
      <c r="M20" s="2078">
        <f>+VLOOKUP(C20,'Tong hop cong'!C16:V16,20,0)</f>
        <v>12</v>
      </c>
      <c r="N20" s="2078">
        <f>+VLOOKUP(C20,'Tong hop cong'!C16:W16,21,0)</f>
        <v>2</v>
      </c>
      <c r="O20" s="2078">
        <f>+VLOOKUP(C20,'Tong hop cong'!C16:X16,22,0)</f>
        <v>2</v>
      </c>
      <c r="P20" s="2078">
        <f>+VLOOKUP(C20,'Tong hop cong'!C16:Y16,23,0)</f>
        <v>2</v>
      </c>
      <c r="Q20" s="2078">
        <f t="shared" si="6"/>
        <v>18</v>
      </c>
      <c r="R20" s="2078">
        <f t="shared" si="4"/>
        <v>18</v>
      </c>
      <c r="S20" s="2080">
        <f t="shared" si="7"/>
        <v>1425724.7999999998</v>
      </c>
      <c r="T20" s="2080"/>
      <c r="U20" s="2080">
        <f t="shared" si="2"/>
        <v>3819958.9285347466</v>
      </c>
      <c r="V20" s="2081">
        <f t="shared" si="3"/>
        <v>3819958.9285347466</v>
      </c>
      <c r="W20" s="2454" t="s">
        <v>1572</v>
      </c>
    </row>
    <row r="21" spans="1:23" s="1543" customFormat="1" ht="27.75" customHeight="1">
      <c r="A21" s="2073">
        <v>5</v>
      </c>
      <c r="B21" s="2073">
        <v>5</v>
      </c>
      <c r="C21" s="2098" t="str">
        <f>'Chấm công công nhân'!L17</f>
        <v>Thảo Pheng</v>
      </c>
      <c r="D21" s="2074"/>
      <c r="E21" s="2075" t="s">
        <v>40</v>
      </c>
      <c r="F21" s="2075"/>
      <c r="G21" s="2076">
        <f>VLOOKUP(C21,'Tong hop cong'!C17:R17,16,0)</f>
        <v>0</v>
      </c>
      <c r="H21" s="2077">
        <f t="shared" si="1"/>
        <v>0</v>
      </c>
      <c r="I21" s="2077">
        <f>+VLOOKUP(C21,'Tong hop cong'!C17:S17,17,0)</f>
        <v>2232</v>
      </c>
      <c r="J21" s="2078">
        <f>+VLOOKUP(C21,'Tong hop cong'!C17:U17,19,0)</f>
        <v>948.36150229965654</v>
      </c>
      <c r="K21" s="2079" t="str">
        <f>VLOOKUP(C21,'Tong hop cong'!C17:AA17,25,0)</f>
        <v>C</v>
      </c>
      <c r="L21" s="2080">
        <f t="shared" si="5"/>
        <v>3421688.3002971606</v>
      </c>
      <c r="M21" s="2078">
        <f>+VLOOKUP(C21,'Tong hop cong'!C17:V17,20,0)</f>
        <v>12</v>
      </c>
      <c r="N21" s="2078">
        <f>+VLOOKUP(C21,'Tong hop cong'!C17:W17,21,0)</f>
        <v>2</v>
      </c>
      <c r="O21" s="2078">
        <f>+VLOOKUP(C21,'Tong hop cong'!C17:X17,22,0)</f>
        <v>12</v>
      </c>
      <c r="P21" s="2078">
        <f>+VLOOKUP(C21,'Tong hop cong'!C17:Y17,23,0)</f>
        <v>2</v>
      </c>
      <c r="Q21" s="2078">
        <f t="shared" si="6"/>
        <v>28</v>
      </c>
      <c r="R21" s="2078">
        <f t="shared" si="4"/>
        <v>28</v>
      </c>
      <c r="S21" s="2080">
        <f t="shared" si="7"/>
        <v>2329532.7999999998</v>
      </c>
      <c r="T21" s="2080"/>
      <c r="U21" s="2080">
        <f t="shared" si="2"/>
        <v>5751221.1002971604</v>
      </c>
      <c r="V21" s="2081">
        <f t="shared" si="3"/>
        <v>5751221.1002971604</v>
      </c>
      <c r="W21" s="2454" t="s">
        <v>1572</v>
      </c>
    </row>
    <row r="22" spans="1:23" s="1543" customFormat="1" ht="27.75" customHeight="1">
      <c r="A22" s="2073">
        <v>6</v>
      </c>
      <c r="B22" s="2073">
        <v>6</v>
      </c>
      <c r="C22" s="2098" t="str">
        <f>'Chấm công công nhân'!L18</f>
        <v>Nàng Chay</v>
      </c>
      <c r="D22" s="2074"/>
      <c r="E22" s="2075" t="s">
        <v>40</v>
      </c>
      <c r="F22" s="2075"/>
      <c r="G22" s="2076">
        <f>VLOOKUP(C22,'Tong hop cong'!C18:R18,16,0)</f>
        <v>0</v>
      </c>
      <c r="H22" s="2077">
        <f t="shared" si="1"/>
        <v>0</v>
      </c>
      <c r="I22" s="2077">
        <f>+VLOOKUP(C22,'Tong hop cong'!C18:S18,17,0)</f>
        <v>2469</v>
      </c>
      <c r="J22" s="2078">
        <f>+VLOOKUP(C22,'Tong hop cong'!C18:U18,19,0)</f>
        <v>1049.0611779470664</v>
      </c>
      <c r="K22" s="2079" t="str">
        <f>VLOOKUP(C22,'Tong hop cong'!C18:AA18,25,0)</f>
        <v>B</v>
      </c>
      <c r="L22" s="2080">
        <f t="shared" si="5"/>
        <v>3991467.9698529979</v>
      </c>
      <c r="M22" s="2078">
        <f>+VLOOKUP(C22,'Tong hop cong'!C18:V18,20,0)</f>
        <v>13</v>
      </c>
      <c r="N22" s="2078">
        <f>+VLOOKUP(C22,'Tong hop cong'!C18:W18,21,0)</f>
        <v>2</v>
      </c>
      <c r="O22" s="2078">
        <f>+VLOOKUP(C22,'Tong hop cong'!C18:X18,22,0)</f>
        <v>14</v>
      </c>
      <c r="P22" s="2078">
        <f>+VLOOKUP(C22,'Tong hop cong'!C18:Y18,23,0)</f>
        <v>2</v>
      </c>
      <c r="Q22" s="2078">
        <f t="shared" si="6"/>
        <v>31</v>
      </c>
      <c r="R22" s="2078">
        <f t="shared" si="4"/>
        <v>31</v>
      </c>
      <c r="S22" s="2080">
        <f t="shared" si="7"/>
        <v>2580536</v>
      </c>
      <c r="T22" s="2080"/>
      <c r="U22" s="2080">
        <f t="shared" si="2"/>
        <v>6572003.9698529979</v>
      </c>
      <c r="V22" s="2081">
        <f t="shared" si="3"/>
        <v>6572003.9698529979</v>
      </c>
      <c r="W22" s="2454" t="s">
        <v>1572</v>
      </c>
    </row>
    <row r="23" spans="1:23" s="1543" customFormat="1" ht="27.75" customHeight="1">
      <c r="A23" s="2073">
        <v>7</v>
      </c>
      <c r="B23" s="2073">
        <v>7</v>
      </c>
      <c r="C23" s="2098" t="str">
        <f>'Chấm công công nhân'!L19</f>
        <v>Nàng Hđao</v>
      </c>
      <c r="D23" s="2074"/>
      <c r="E23" s="2075" t="s">
        <v>40</v>
      </c>
      <c r="F23" s="2075"/>
      <c r="G23" s="2076">
        <f>VLOOKUP(C23,'Tong hop cong'!C19:R19,16,0)</f>
        <v>0</v>
      </c>
      <c r="H23" s="2077">
        <f t="shared" si="1"/>
        <v>0</v>
      </c>
      <c r="I23" s="2077">
        <f>+VLOOKUP(C23,'Tong hop cong'!C19:S19,17,0)</f>
        <v>2109</v>
      </c>
      <c r="J23" s="2078">
        <f>+VLOOKUP(C23,'Tong hop cong'!C19:U19,19,0)</f>
        <v>896.09964531808942</v>
      </c>
      <c r="K23" s="2079" t="str">
        <f>VLOOKUP(C23,'Tong hop cong'!C19:AA19,25,0)</f>
        <v>B</v>
      </c>
      <c r="L23" s="2080">
        <f t="shared" si="5"/>
        <v>3409479.9305062662</v>
      </c>
      <c r="M23" s="2078">
        <f>+VLOOKUP(C23,'Tong hop cong'!C19:V19,20,0)</f>
        <v>10</v>
      </c>
      <c r="N23" s="2078">
        <f>+VLOOKUP(C23,'Tong hop cong'!C19:W19,21,0)</f>
        <v>3</v>
      </c>
      <c r="O23" s="2078">
        <f>+VLOOKUP(C23,'Tong hop cong'!C19:X19,22,0)</f>
        <v>11</v>
      </c>
      <c r="P23" s="2078">
        <f>+VLOOKUP(C23,'Tong hop cong'!C19:Y19,23,0)</f>
        <v>1</v>
      </c>
      <c r="Q23" s="2078">
        <f t="shared" si="6"/>
        <v>25</v>
      </c>
      <c r="R23" s="2078">
        <f t="shared" si="4"/>
        <v>25</v>
      </c>
      <c r="S23" s="2080">
        <f t="shared" si="7"/>
        <v>2078529.6</v>
      </c>
      <c r="T23" s="2080"/>
      <c r="U23" s="2080">
        <f t="shared" si="2"/>
        <v>5488009.5305062663</v>
      </c>
      <c r="V23" s="2081">
        <f t="shared" si="3"/>
        <v>5488009.5305062663</v>
      </c>
      <c r="W23" s="2454" t="s">
        <v>1572</v>
      </c>
    </row>
    <row r="24" spans="1:23" s="1543" customFormat="1" ht="27.75" customHeight="1">
      <c r="A24" s="2073">
        <v>8</v>
      </c>
      <c r="B24" s="2073">
        <v>8</v>
      </c>
      <c r="C24" s="2098" t="str">
        <f>'Chấm công công nhân'!L20</f>
        <v xml:space="preserve">Thảo Ken </v>
      </c>
      <c r="D24" s="2074"/>
      <c r="E24" s="2075" t="s">
        <v>40</v>
      </c>
      <c r="F24" s="2075"/>
      <c r="G24" s="2076">
        <f>VLOOKUP(C24,'Tong hop cong'!C20:R20,16,0)</f>
        <v>0</v>
      </c>
      <c r="H24" s="2077">
        <f t="shared" si="1"/>
        <v>0</v>
      </c>
      <c r="I24" s="2077">
        <f>+VLOOKUP(C24,'Tong hop cong'!C20:S20,17,0)</f>
        <v>2481</v>
      </c>
      <c r="J24" s="2078">
        <f>+VLOOKUP(C24,'Tong hop cong'!C20:U20,19,0)</f>
        <v>1054.1598957013657</v>
      </c>
      <c r="K24" s="2079" t="str">
        <f>VLOOKUP(C24,'Tong hop cong'!C20:AA20,25,0)</f>
        <v>A</v>
      </c>
      <c r="L24" s="2080">
        <f t="shared" si="5"/>
        <v>4218326.2386385845</v>
      </c>
      <c r="M24" s="2078">
        <f>+VLOOKUP(C24,'Tong hop cong'!C20:V20,20,0)</f>
        <v>13</v>
      </c>
      <c r="N24" s="2078">
        <f>+VLOOKUP(C24,'Tong hop cong'!C20:W20,21,0)</f>
        <v>3</v>
      </c>
      <c r="O24" s="2078">
        <f>+VLOOKUP(C24,'Tong hop cong'!C20:X20,22,0)</f>
        <v>14</v>
      </c>
      <c r="P24" s="2078">
        <f>+VLOOKUP(C24,'Tong hop cong'!C20:Y20,23,0)</f>
        <v>1</v>
      </c>
      <c r="Q24" s="2078">
        <f t="shared" si="6"/>
        <v>31</v>
      </c>
      <c r="R24" s="2078">
        <f t="shared" si="4"/>
        <v>31</v>
      </c>
      <c r="S24" s="2080">
        <f t="shared" si="7"/>
        <v>2560396.7999999998</v>
      </c>
      <c r="T24" s="2080"/>
      <c r="U24" s="2080">
        <f t="shared" si="2"/>
        <v>6778723.0386385843</v>
      </c>
      <c r="V24" s="2081">
        <f t="shared" si="3"/>
        <v>6778723.0386385843</v>
      </c>
      <c r="W24" s="2454" t="s">
        <v>1572</v>
      </c>
    </row>
    <row r="25" spans="1:23" s="1543" customFormat="1" ht="27.75" customHeight="1">
      <c r="A25" s="2073">
        <v>9</v>
      </c>
      <c r="B25" s="2073">
        <v>9</v>
      </c>
      <c r="C25" s="2098" t="str">
        <f>'Chấm công công nhân'!L21</f>
        <v>Thảo Cợt</v>
      </c>
      <c r="D25" s="2074"/>
      <c r="E25" s="2075" t="s">
        <v>40</v>
      </c>
      <c r="F25" s="2075"/>
      <c r="G25" s="2076">
        <f>VLOOKUP(C25,'Tong hop cong'!C21:R21,16,0)</f>
        <v>0</v>
      </c>
      <c r="H25" s="2077">
        <f t="shared" si="1"/>
        <v>0</v>
      </c>
      <c r="I25" s="2077">
        <f>+VLOOKUP(C25,'Tong hop cong'!C21:S21,17,0)</f>
        <v>2188</v>
      </c>
      <c r="J25" s="2078">
        <f>+VLOOKUP(C25,'Tong hop cong'!C21:U21,19,0)</f>
        <v>929.66620386722605</v>
      </c>
      <c r="K25" s="2079" t="str">
        <f>VLOOKUP(C25,'Tong hop cong'!C21:AA21,25,0)</f>
        <v>B</v>
      </c>
      <c r="L25" s="2080">
        <f t="shared" si="5"/>
        <v>3537193.9724740214</v>
      </c>
      <c r="M25" s="2078">
        <f>+VLOOKUP(C25,'Tong hop cong'!C21:V21,20,0)</f>
        <v>8</v>
      </c>
      <c r="N25" s="2078">
        <f>+VLOOKUP(C25,'Tong hop cong'!C21:W21,21,0)</f>
        <v>2</v>
      </c>
      <c r="O25" s="2078">
        <f>+VLOOKUP(C25,'Tong hop cong'!C21:X21,22,0)</f>
        <v>12</v>
      </c>
      <c r="P25" s="2078">
        <f>+VLOOKUP(C25,'Tong hop cong'!C21:Y21,23,0)</f>
        <v>1</v>
      </c>
      <c r="Q25" s="2078">
        <f t="shared" si="6"/>
        <v>23</v>
      </c>
      <c r="R25" s="2078">
        <f t="shared" si="4"/>
        <v>23</v>
      </c>
      <c r="S25" s="2080">
        <f t="shared" si="7"/>
        <v>1937980.7999999998</v>
      </c>
      <c r="T25" s="2080"/>
      <c r="U25" s="2080">
        <f t="shared" si="2"/>
        <v>5475174.7724740207</v>
      </c>
      <c r="V25" s="2081">
        <f t="shared" si="3"/>
        <v>5475174.7724740207</v>
      </c>
      <c r="W25" s="2454" t="s">
        <v>1572</v>
      </c>
    </row>
    <row r="26" spans="1:23" s="1543" customFormat="1" ht="27.75" customHeight="1">
      <c r="A26" s="2073">
        <v>10</v>
      </c>
      <c r="B26" s="2073">
        <v>10</v>
      </c>
      <c r="C26" s="2098" t="str">
        <f>'Chấm công công nhân'!L22</f>
        <v>Thảo Mi</v>
      </c>
      <c r="D26" s="2074"/>
      <c r="E26" s="2075" t="s">
        <v>40</v>
      </c>
      <c r="F26" s="2075"/>
      <c r="G26" s="2076">
        <f>VLOOKUP(C26,'Tong hop cong'!C22:R22,16,0)</f>
        <v>0</v>
      </c>
      <c r="H26" s="2077">
        <f t="shared" si="1"/>
        <v>0</v>
      </c>
      <c r="I26" s="2077">
        <f>+VLOOKUP(C26,'Tong hop cong'!C22:S22,17,0)</f>
        <v>1470</v>
      </c>
      <c r="J26" s="2078">
        <f>+VLOOKUP(C26,'Tong hop cong'!C22:U22,19,0)</f>
        <v>624.59292490165546</v>
      </c>
      <c r="K26" s="2079" t="str">
        <f>VLOOKUP(C26,'Tong hop cong'!C22:AA22,25,0)</f>
        <v>B</v>
      </c>
      <c r="L26" s="2080">
        <f t="shared" si="5"/>
        <v>2376451.1606658185</v>
      </c>
      <c r="M26" s="2078">
        <f>+VLOOKUP(C26,'Tong hop cong'!C22:V22,20,0)</f>
        <v>8</v>
      </c>
      <c r="N26" s="2078">
        <f>+VLOOKUP(C26,'Tong hop cong'!C22:W22,21,0)</f>
        <v>2</v>
      </c>
      <c r="O26" s="2078">
        <f>+VLOOKUP(C26,'Tong hop cong'!C22:X22,22,0)</f>
        <v>8</v>
      </c>
      <c r="P26" s="2078">
        <f>+VLOOKUP(C26,'Tong hop cong'!C22:Y22,23,0)</f>
        <v>1</v>
      </c>
      <c r="Q26" s="2078">
        <f t="shared" si="6"/>
        <v>19</v>
      </c>
      <c r="R26" s="2078">
        <f t="shared" si="4"/>
        <v>19</v>
      </c>
      <c r="S26" s="2080">
        <f t="shared" si="7"/>
        <v>1576457.6</v>
      </c>
      <c r="T26" s="2080"/>
      <c r="U26" s="2080">
        <f t="shared" si="2"/>
        <v>3952908.7606658186</v>
      </c>
      <c r="V26" s="2081">
        <f t="shared" si="3"/>
        <v>3952908.7606658186</v>
      </c>
      <c r="W26" s="2454" t="s">
        <v>1572</v>
      </c>
    </row>
    <row r="27" spans="1:23" s="1543" customFormat="1" ht="27.75" customHeight="1">
      <c r="A27" s="2073">
        <v>11</v>
      </c>
      <c r="B27" s="2073">
        <v>11</v>
      </c>
      <c r="C27" s="2098" t="str">
        <f>'Chấm công công nhân'!L23</f>
        <v>Thảo Phét</v>
      </c>
      <c r="D27" s="2074"/>
      <c r="E27" s="2075" t="s">
        <v>40</v>
      </c>
      <c r="F27" s="2075"/>
      <c r="G27" s="2076">
        <f>VLOOKUP(C27,'Tong hop cong'!C23:R23,16,0)</f>
        <v>0</v>
      </c>
      <c r="H27" s="2077">
        <f t="shared" si="1"/>
        <v>0</v>
      </c>
      <c r="I27" s="2077">
        <f>+VLOOKUP(C27,'Tong hop cong'!C23:S23,17,0)</f>
        <v>2210</v>
      </c>
      <c r="J27" s="2078">
        <f>+VLOOKUP(C27,'Tong hop cong'!C23:U23,19,0)</f>
        <v>939.0138530834414</v>
      </c>
      <c r="K27" s="2079" t="str">
        <f>VLOOKUP(C27,'Tong hop cong'!C23:AA23,25,0)</f>
        <v>A</v>
      </c>
      <c r="L27" s="2080">
        <f t="shared" si="5"/>
        <v>3757557.8344986988</v>
      </c>
      <c r="M27" s="2078">
        <f>+VLOOKUP(C27,'Tong hop cong'!C23:V23,20,0)</f>
        <v>25</v>
      </c>
      <c r="N27" s="2078">
        <f>+VLOOKUP(C27,'Tong hop cong'!C23:W23,21,0)</f>
        <v>3</v>
      </c>
      <c r="O27" s="2078">
        <f>+VLOOKUP(C27,'Tong hop cong'!C23:X23,22,0)</f>
        <v>0</v>
      </c>
      <c r="P27" s="2078">
        <f>+VLOOKUP(C27,'Tong hop cong'!C23:Y23,23,0)</f>
        <v>0</v>
      </c>
      <c r="Q27" s="2078">
        <f t="shared" si="6"/>
        <v>28</v>
      </c>
      <c r="R27" s="2078">
        <f t="shared" si="4"/>
        <v>28</v>
      </c>
      <c r="S27" s="2080">
        <f t="shared" si="7"/>
        <v>2027379.2</v>
      </c>
      <c r="T27" s="2080"/>
      <c r="U27" s="2080">
        <f t="shared" si="2"/>
        <v>5784937.034498699</v>
      </c>
      <c r="V27" s="2081">
        <f t="shared" si="3"/>
        <v>5784937.034498699</v>
      </c>
      <c r="W27" s="2454" t="s">
        <v>1572</v>
      </c>
    </row>
    <row r="28" spans="1:23" s="1543" customFormat="1" ht="27.75" customHeight="1">
      <c r="A28" s="2073">
        <v>12</v>
      </c>
      <c r="B28" s="2073">
        <v>12</v>
      </c>
      <c r="C28" s="2098" t="str">
        <f>'Chấm công công nhân'!L24</f>
        <v>Thảo Hăm</v>
      </c>
      <c r="D28" s="2074"/>
      <c r="E28" s="2075" t="s">
        <v>40</v>
      </c>
      <c r="F28" s="2075"/>
      <c r="G28" s="2076">
        <f>VLOOKUP(C28,'Tong hop cong'!C24:R24,16,0)</f>
        <v>0</v>
      </c>
      <c r="H28" s="2077">
        <f t="shared" si="1"/>
        <v>0</v>
      </c>
      <c r="I28" s="2077">
        <f>+VLOOKUP(C28,'Tong hop cong'!C24:S24,17,0)</f>
        <v>2555</v>
      </c>
      <c r="J28" s="2078">
        <f>+VLOOKUP(C28,'Tong hop cong'!C24:U24,19,0)</f>
        <v>1085.6019885195442</v>
      </c>
      <c r="K28" s="2079" t="str">
        <f>VLOOKUP(C28,'Tong hop cong'!C24:AA24,25,0)</f>
        <v>A</v>
      </c>
      <c r="L28" s="2080">
        <f t="shared" si="5"/>
        <v>4344144.9172598077</v>
      </c>
      <c r="M28" s="2078">
        <f>+VLOOKUP(C28,'Tong hop cong'!C24:V24,20,0)</f>
        <v>24</v>
      </c>
      <c r="N28" s="2078">
        <f>+VLOOKUP(C28,'Tong hop cong'!C24:W24,21,0)</f>
        <v>4</v>
      </c>
      <c r="O28" s="2078">
        <f>+VLOOKUP(C28,'Tong hop cong'!C24:X24,22,0)</f>
        <v>0</v>
      </c>
      <c r="P28" s="2078">
        <f>+VLOOKUP(C28,'Tong hop cong'!C24:Y24,23,0)</f>
        <v>0</v>
      </c>
      <c r="Q28" s="2078">
        <f t="shared" si="6"/>
        <v>28</v>
      </c>
      <c r="R28" s="2078">
        <f t="shared" si="4"/>
        <v>28</v>
      </c>
      <c r="S28" s="2080">
        <f t="shared" si="7"/>
        <v>2047584</v>
      </c>
      <c r="T28" s="2080"/>
      <c r="U28" s="2080">
        <f t="shared" si="2"/>
        <v>6391728.9172598077</v>
      </c>
      <c r="V28" s="2081">
        <f t="shared" si="3"/>
        <v>6391728.9172598077</v>
      </c>
      <c r="W28" s="2454" t="s">
        <v>1572</v>
      </c>
    </row>
    <row r="29" spans="1:23" s="1543" customFormat="1" ht="27.75" customHeight="1">
      <c r="A29" s="2073">
        <v>13</v>
      </c>
      <c r="B29" s="2073">
        <v>13</v>
      </c>
      <c r="C29" s="2098" t="str">
        <f>'Chấm công công nhân'!L25</f>
        <v>Nang Lon</v>
      </c>
      <c r="D29" s="2074"/>
      <c r="E29" s="2075" t="s">
        <v>40</v>
      </c>
      <c r="F29" s="2075"/>
      <c r="G29" s="2076">
        <f>VLOOKUP(C29,'Tong hop cong'!C25:R25,16,0)</f>
        <v>0</v>
      </c>
      <c r="H29" s="2077">
        <f t="shared" si="1"/>
        <v>0</v>
      </c>
      <c r="I29" s="2077">
        <f>+VLOOKUP(C29,'Tong hop cong'!C25:S25,17,0)</f>
        <v>2558</v>
      </c>
      <c r="J29" s="2078">
        <f>+VLOOKUP(C29,'Tong hop cong'!C25:U25,19,0)</f>
        <v>1086.876667958119</v>
      </c>
      <c r="K29" s="2079" t="str">
        <f>VLOOKUP(C29,'Tong hop cong'!C25:AA25,25,0)</f>
        <v>A</v>
      </c>
      <c r="L29" s="2080">
        <f t="shared" si="5"/>
        <v>4349245.6745012086</v>
      </c>
      <c r="M29" s="2078">
        <f>+VLOOKUP(C29,'Tong hop cong'!C25:V25,20,0)</f>
        <v>25</v>
      </c>
      <c r="N29" s="2078">
        <f>+VLOOKUP(C29,'Tong hop cong'!C25:W25,21,0)</f>
        <v>4</v>
      </c>
      <c r="O29" s="2078">
        <f>+VLOOKUP(C29,'Tong hop cong'!C25:X25,22,0)</f>
        <v>0</v>
      </c>
      <c r="P29" s="2078">
        <f>+VLOOKUP(C29,'Tong hop cong'!C25:Y25,23,0)</f>
        <v>0</v>
      </c>
      <c r="Q29" s="2078">
        <f>M29+N29+O29+P29</f>
        <v>29</v>
      </c>
      <c r="R29" s="2078">
        <f t="shared" si="4"/>
        <v>29</v>
      </c>
      <c r="S29" s="2080">
        <f t="shared" si="7"/>
        <v>2117825.6</v>
      </c>
      <c r="T29" s="2080"/>
      <c r="U29" s="2080">
        <f t="shared" si="2"/>
        <v>6467071.2745012082</v>
      </c>
      <c r="V29" s="2081">
        <f t="shared" si="3"/>
        <v>6467071.2745012082</v>
      </c>
      <c r="W29" s="2454" t="s">
        <v>1572</v>
      </c>
    </row>
    <row r="30" spans="1:23" s="1543" customFormat="1" ht="27.75" customHeight="1">
      <c r="A30" s="2073">
        <v>14</v>
      </c>
      <c r="B30" s="2073">
        <v>14</v>
      </c>
      <c r="C30" s="2098" t="str">
        <f>'Chấm công công nhân'!L26</f>
        <v>Thảo Phết</v>
      </c>
      <c r="D30" s="2074"/>
      <c r="E30" s="2075" t="s">
        <v>40</v>
      </c>
      <c r="F30" s="2075"/>
      <c r="G30" s="2076">
        <f>VLOOKUP(C30,'Tong hop cong'!C26:R26,16,0)</f>
        <v>0</v>
      </c>
      <c r="H30" s="2077">
        <f t="shared" si="1"/>
        <v>0</v>
      </c>
      <c r="I30" s="2077">
        <f>+VLOOKUP(C30,'Tong hop cong'!C26:S26,17,0)</f>
        <v>2451</v>
      </c>
      <c r="J30" s="2078">
        <f>+VLOOKUP(C30,'Tong hop cong'!C26:U26,19,0)</f>
        <v>1041.4131013156175</v>
      </c>
      <c r="K30" s="2079" t="str">
        <f>VLOOKUP(C30,'Tong hop cong'!C26:AA26,25,0)</f>
        <v>B</v>
      </c>
      <c r="L30" s="2080">
        <f t="shared" si="5"/>
        <v>3962368.567885661</v>
      </c>
      <c r="M30" s="2078">
        <f>+VLOOKUP(C30,'Tong hop cong'!C26:V26,20,0)</f>
        <v>20</v>
      </c>
      <c r="N30" s="2078">
        <f>+VLOOKUP(C30,'Tong hop cong'!C26:W26,21,0)</f>
        <v>3</v>
      </c>
      <c r="O30" s="2078">
        <f>+VLOOKUP(C30,'Tong hop cong'!C26:X26,22,0)</f>
        <v>0</v>
      </c>
      <c r="P30" s="2078">
        <f>+VLOOKUP(C30,'Tong hop cong'!C26:Y26,23,0)</f>
        <v>0</v>
      </c>
      <c r="Q30" s="2078">
        <f t="shared" si="6"/>
        <v>23</v>
      </c>
      <c r="R30" s="2078">
        <f t="shared" si="4"/>
        <v>23</v>
      </c>
      <c r="S30" s="2080">
        <f t="shared" si="7"/>
        <v>1676171.2</v>
      </c>
      <c r="T30" s="2080"/>
      <c r="U30" s="2080">
        <f t="shared" si="2"/>
        <v>5638539.7678856608</v>
      </c>
      <c r="V30" s="2081">
        <f t="shared" si="3"/>
        <v>5638539.7678856608</v>
      </c>
      <c r="W30" s="2454" t="s">
        <v>1572</v>
      </c>
    </row>
    <row r="31" spans="1:23" s="1543" customFormat="1" ht="27.75" customHeight="1">
      <c r="A31" s="2073">
        <v>15</v>
      </c>
      <c r="B31" s="2073">
        <v>15</v>
      </c>
      <c r="C31" s="2098" t="str">
        <f>'Chấm công công nhân'!L27</f>
        <v>Vĩ Lay</v>
      </c>
      <c r="D31" s="2074" t="e">
        <f>VLOOKUP(C31,'Mã số NV'!$B$6:$D$53,3,0)</f>
        <v>#N/A</v>
      </c>
      <c r="E31" s="2075" t="s">
        <v>40</v>
      </c>
      <c r="F31" s="2075"/>
      <c r="G31" s="2076">
        <f>VLOOKUP(C31,'Tong hop cong'!C27:R27,16,0)</f>
        <v>0</v>
      </c>
      <c r="H31" s="2077">
        <f t="shared" si="1"/>
        <v>0</v>
      </c>
      <c r="I31" s="2077">
        <f>+VLOOKUP(C31,'Tong hop cong'!C27:S27,17,0)</f>
        <v>3176</v>
      </c>
      <c r="J31" s="2078">
        <f>+VLOOKUP(C31,'Tong hop cong'!C27:U27,19,0)</f>
        <v>1349.4606323045291</v>
      </c>
      <c r="K31" s="2079" t="str">
        <f>VLOOKUP(C31,'Tong hop cong'!C27:AA27,25,0)</f>
        <v>A</v>
      </c>
      <c r="L31" s="2080">
        <f t="shared" si="5"/>
        <v>5400001.6662298031</v>
      </c>
      <c r="M31" s="2078">
        <f>+VLOOKUP(C31,'Tong hop cong'!C27:V27,20,0)</f>
        <v>27</v>
      </c>
      <c r="N31" s="2078">
        <f>+VLOOKUP(C31,'Tong hop cong'!C27:W27,21,0)</f>
        <v>4</v>
      </c>
      <c r="O31" s="2078">
        <f>+VLOOKUP(C31,'Tong hop cong'!C27:X27,22,0)</f>
        <v>0</v>
      </c>
      <c r="P31" s="2078">
        <f>+VLOOKUP(C31,'Tong hop cong'!C27:Y27,23,0)</f>
        <v>0</v>
      </c>
      <c r="Q31" s="2078">
        <f t="shared" si="6"/>
        <v>31</v>
      </c>
      <c r="R31" s="2078">
        <f t="shared" si="4"/>
        <v>31</v>
      </c>
      <c r="S31" s="2080">
        <f t="shared" si="7"/>
        <v>2258308.7999999998</v>
      </c>
      <c r="T31" s="2080"/>
      <c r="U31" s="2080">
        <f t="shared" si="2"/>
        <v>7658310.4662298029</v>
      </c>
      <c r="V31" s="2081">
        <f t="shared" si="3"/>
        <v>7658310.4662298029</v>
      </c>
      <c r="W31" s="2454" t="s">
        <v>1572</v>
      </c>
    </row>
    <row r="32" spans="1:23" s="1543" customFormat="1" ht="27.75" customHeight="1">
      <c r="A32" s="2073">
        <v>16</v>
      </c>
      <c r="B32" s="2073">
        <v>16</v>
      </c>
      <c r="C32" s="2098" t="str">
        <f>'Chấm công công nhân'!L28</f>
        <v>Pha Xúc</v>
      </c>
      <c r="D32" s="2074" t="e">
        <f>VLOOKUP(C32,'Mã số NV'!$B$6:$D$53,3,0)</f>
        <v>#N/A</v>
      </c>
      <c r="E32" s="2075" t="s">
        <v>40</v>
      </c>
      <c r="F32" s="2075"/>
      <c r="G32" s="2076">
        <f>VLOOKUP(C32,'Tong hop cong'!C28:R28,16,0)</f>
        <v>0</v>
      </c>
      <c r="H32" s="2077">
        <f t="shared" si="1"/>
        <v>0</v>
      </c>
      <c r="I32" s="2077">
        <f>+VLOOKUP(C32,'Tong hop cong'!C28:S28,17,0)</f>
        <v>2308</v>
      </c>
      <c r="J32" s="2078">
        <f>+VLOOKUP(C32,'Tong hop cong'!C28:U28,19,0)</f>
        <v>980.65338141021823</v>
      </c>
      <c r="K32" s="2079" t="str">
        <f>VLOOKUP(C32,'Tong hop cong'!C28:AA28,25,0)</f>
        <v>A</v>
      </c>
      <c r="L32" s="2080">
        <f t="shared" si="5"/>
        <v>3924182.5710511291</v>
      </c>
      <c r="M32" s="2078">
        <f>+VLOOKUP(C32,'Tong hop cong'!C28:V28,20,0)</f>
        <v>26</v>
      </c>
      <c r="N32" s="2078">
        <f>+VLOOKUP(C32,'Tong hop cong'!C28:W28,21,0)</f>
        <v>3</v>
      </c>
      <c r="O32" s="2078">
        <f>+VLOOKUP(C32,'Tong hop cong'!C28:X28,22,0)</f>
        <v>0</v>
      </c>
      <c r="P32" s="2078">
        <f>+VLOOKUP(C32,'Tong hop cong'!C28:Y28,23,0)</f>
        <v>0</v>
      </c>
      <c r="Q32" s="2078">
        <f t="shared" si="6"/>
        <v>29</v>
      </c>
      <c r="R32" s="2078">
        <f t="shared" si="4"/>
        <v>29</v>
      </c>
      <c r="S32" s="2080">
        <f t="shared" si="7"/>
        <v>2097620.7999999998</v>
      </c>
      <c r="T32" s="2080"/>
      <c r="U32" s="2080">
        <f t="shared" si="2"/>
        <v>6021803.371051129</v>
      </c>
      <c r="V32" s="2081">
        <f t="shared" si="3"/>
        <v>6021803.371051129</v>
      </c>
      <c r="W32" s="2454" t="s">
        <v>1572</v>
      </c>
    </row>
    <row r="33" spans="1:23" s="1543" customFormat="1" ht="27.75" customHeight="1">
      <c r="A33" s="2073">
        <v>17</v>
      </c>
      <c r="B33" s="2073">
        <v>17</v>
      </c>
      <c r="C33" s="2098" t="str">
        <f>'Chấm công công nhân'!L29</f>
        <v>Nàng Đao</v>
      </c>
      <c r="D33" s="2074" t="e">
        <f>VLOOKUP(C33,'Mã số NV'!$B$6:$D$53,3,0)</f>
        <v>#N/A</v>
      </c>
      <c r="E33" s="2075" t="s">
        <v>40</v>
      </c>
      <c r="F33" s="2075"/>
      <c r="G33" s="2076">
        <f>VLOOKUP(C33,'Tong hop cong'!C29:R29,16,0)</f>
        <v>0</v>
      </c>
      <c r="H33" s="2077">
        <f t="shared" si="1"/>
        <v>0</v>
      </c>
      <c r="I33" s="2077">
        <f>+VLOOKUP(C33,'Tong hop cong'!C29:S29,17,0)</f>
        <v>2310</v>
      </c>
      <c r="J33" s="2078">
        <f>+VLOOKUP(C33,'Tong hop cong'!C29:U29,19,0)</f>
        <v>981.50316770260144</v>
      </c>
      <c r="K33" s="2079" t="str">
        <f>VLOOKUP(C33,'Tong hop cong'!C29:AA29,25,0)</f>
        <v>B</v>
      </c>
      <c r="L33" s="2080">
        <f t="shared" si="5"/>
        <v>3734423.2524748575</v>
      </c>
      <c r="M33" s="2078">
        <f>+VLOOKUP(C33,'Tong hop cong'!C29:V29,20,0)</f>
        <v>26</v>
      </c>
      <c r="N33" s="2078">
        <f>+VLOOKUP(C33,'Tong hop cong'!C29:W29,21,0)</f>
        <v>4</v>
      </c>
      <c r="O33" s="2078">
        <f>+VLOOKUP(C33,'Tong hop cong'!C29:X29,22,0)</f>
        <v>0</v>
      </c>
      <c r="P33" s="2078">
        <f>+VLOOKUP(C33,'Tong hop cong'!C29:Y29,23,0)</f>
        <v>0</v>
      </c>
      <c r="Q33" s="2078">
        <f t="shared" si="6"/>
        <v>30</v>
      </c>
      <c r="R33" s="2078">
        <f t="shared" si="4"/>
        <v>30</v>
      </c>
      <c r="S33" s="2080">
        <f t="shared" si="7"/>
        <v>2188067.2000000002</v>
      </c>
      <c r="T33" s="2080"/>
      <c r="U33" s="2080">
        <f t="shared" si="2"/>
        <v>5922490.4524748577</v>
      </c>
      <c r="V33" s="2081">
        <f t="shared" si="3"/>
        <v>5922490.4524748577</v>
      </c>
      <c r="W33" s="2454" t="s">
        <v>1572</v>
      </c>
    </row>
    <row r="34" spans="1:23" s="1543" customFormat="1" ht="27.75" customHeight="1">
      <c r="A34" s="2073">
        <v>18</v>
      </c>
      <c r="B34" s="2073">
        <v>18</v>
      </c>
      <c r="C34" s="2098" t="str">
        <f>'Chấm công công nhân'!L30</f>
        <v>Nàng Kiên</v>
      </c>
      <c r="D34" s="2074" t="e">
        <f>VLOOKUP(C34,'Mã số NV'!$B$6:$D$53,3,0)</f>
        <v>#N/A</v>
      </c>
      <c r="E34" s="2075" t="s">
        <v>40</v>
      </c>
      <c r="F34" s="2075"/>
      <c r="G34" s="2076">
        <f>VLOOKUP(C34,'Tong hop cong'!C30:R30,16,0)</f>
        <v>0</v>
      </c>
      <c r="H34" s="2077">
        <f t="shared" si="1"/>
        <v>0</v>
      </c>
      <c r="I34" s="2077">
        <f>+VLOOKUP(C34,'Tong hop cong'!C30:S30,17,0)</f>
        <v>2129</v>
      </c>
      <c r="J34" s="2078">
        <f>+VLOOKUP(C34,'Tong hop cong'!C30:U30,19,0)</f>
        <v>904.59750824192145</v>
      </c>
      <c r="K34" s="2079" t="str">
        <f>VLOOKUP(C34,'Tong hop cong'!C30:AA30,25,0)</f>
        <v>A</v>
      </c>
      <c r="L34" s="2080">
        <f t="shared" si="5"/>
        <v>3619837.3889808729</v>
      </c>
      <c r="M34" s="2078">
        <f>+VLOOKUP(C34,'Tong hop cong'!C30:V30,20,0)</f>
        <v>25</v>
      </c>
      <c r="N34" s="2078">
        <f>+VLOOKUP(C34,'Tong hop cong'!C30:W30,21,0)</f>
        <v>4</v>
      </c>
      <c r="O34" s="2078">
        <f>+VLOOKUP(C34,'Tong hop cong'!C30:X30,22,0)</f>
        <v>0</v>
      </c>
      <c r="P34" s="2078">
        <f>+VLOOKUP(C34,'Tong hop cong'!C30:Y30,23,0)</f>
        <v>0</v>
      </c>
      <c r="Q34" s="2078">
        <f t="shared" si="6"/>
        <v>29</v>
      </c>
      <c r="R34" s="2078">
        <f t="shared" si="4"/>
        <v>29</v>
      </c>
      <c r="S34" s="2080">
        <f t="shared" si="7"/>
        <v>2117825.6</v>
      </c>
      <c r="T34" s="2080"/>
      <c r="U34" s="2080">
        <f t="shared" si="2"/>
        <v>5737662.9889808726</v>
      </c>
      <c r="V34" s="2081">
        <f t="shared" si="3"/>
        <v>5737662.9889808726</v>
      </c>
      <c r="W34" s="2454" t="s">
        <v>1572</v>
      </c>
    </row>
    <row r="35" spans="1:23" s="1543" customFormat="1" ht="27.75" customHeight="1">
      <c r="A35" s="2073">
        <v>19</v>
      </c>
      <c r="B35" s="2073">
        <v>19</v>
      </c>
      <c r="C35" s="2098" t="str">
        <f>'Chấm công công nhân'!L31</f>
        <v>Nàng Túc 2</v>
      </c>
      <c r="D35" s="2074" t="e">
        <f>VLOOKUP(C35,'Mã số NV'!$B$6:$D$53,3,0)</f>
        <v>#N/A</v>
      </c>
      <c r="E35" s="2075" t="s">
        <v>40</v>
      </c>
      <c r="F35" s="2075"/>
      <c r="G35" s="2076">
        <f>VLOOKUP(C35,'Tong hop cong'!C31:R31,16,0)</f>
        <v>0</v>
      </c>
      <c r="H35" s="2077">
        <f t="shared" si="1"/>
        <v>0</v>
      </c>
      <c r="I35" s="2077">
        <f>+VLOOKUP(C35,'Tong hop cong'!C31:S31,17,0)</f>
        <v>2312</v>
      </c>
      <c r="J35" s="2078">
        <f>+VLOOKUP(C35,'Tong hop cong'!C31:U31,19,0)</f>
        <v>982.35295399498466</v>
      </c>
      <c r="K35" s="2079" t="str">
        <f>VLOOKUP(C35,'Tong hop cong'!C31:AA31,25,0)</f>
        <v>B</v>
      </c>
      <c r="L35" s="2080">
        <f t="shared" si="5"/>
        <v>3737656.5193601171</v>
      </c>
      <c r="M35" s="2078">
        <f>+VLOOKUP(C35,'Tong hop cong'!C31:V31,20,0)</f>
        <v>26</v>
      </c>
      <c r="N35" s="2078">
        <f>+VLOOKUP(C35,'Tong hop cong'!C31:W31,21,0)</f>
        <v>3</v>
      </c>
      <c r="O35" s="2078">
        <f>+VLOOKUP(C35,'Tong hop cong'!C31:X31,22,0)</f>
        <v>0</v>
      </c>
      <c r="P35" s="2078">
        <f>+VLOOKUP(C35,'Tong hop cong'!C31:Y31,23,0)</f>
        <v>0</v>
      </c>
      <c r="Q35" s="2078">
        <f t="shared" si="6"/>
        <v>29</v>
      </c>
      <c r="R35" s="2078">
        <f t="shared" si="4"/>
        <v>29</v>
      </c>
      <c r="S35" s="2080">
        <f t="shared" si="7"/>
        <v>2097620.7999999998</v>
      </c>
      <c r="T35" s="2080"/>
      <c r="U35" s="2080">
        <f t="shared" si="2"/>
        <v>5835277.3193601165</v>
      </c>
      <c r="V35" s="2081">
        <f t="shared" si="3"/>
        <v>5835277.3193601165</v>
      </c>
      <c r="W35" s="2454" t="s">
        <v>1572</v>
      </c>
    </row>
    <row r="36" spans="1:23" s="1543" customFormat="1" ht="27.75" customHeight="1">
      <c r="A36" s="2073">
        <v>20</v>
      </c>
      <c r="B36" s="2073">
        <v>20</v>
      </c>
      <c r="C36" s="2098" t="str">
        <f>'Chấm công công nhân'!L32</f>
        <v>Nàng Phon</v>
      </c>
      <c r="D36" s="2074" t="e">
        <f>VLOOKUP(C36,'Mã số NV'!$B$6:$D$53,3,0)</f>
        <v>#N/A</v>
      </c>
      <c r="E36" s="2075" t="s">
        <v>40</v>
      </c>
      <c r="F36" s="2075"/>
      <c r="G36" s="2076">
        <f>VLOOKUP(C36,'Tong hop cong'!C32:R32,16,0)</f>
        <v>0</v>
      </c>
      <c r="H36" s="2077">
        <f t="shared" si="1"/>
        <v>0</v>
      </c>
      <c r="I36" s="2077">
        <f>+VLOOKUP(C36,'Tong hop cong'!C32:S32,17,0)</f>
        <v>2186</v>
      </c>
      <c r="J36" s="2078">
        <f>+VLOOKUP(C36,'Tong hop cong'!C32:U32,19,0)</f>
        <v>928.81641757484283</v>
      </c>
      <c r="K36" s="2079" t="str">
        <f>VLOOKUP(C36,'Tong hop cong'!C32:AA32,25,0)</f>
        <v>C</v>
      </c>
      <c r="L36" s="2080">
        <f t="shared" si="5"/>
        <v>3351169.6346100331</v>
      </c>
      <c r="M36" s="2078">
        <f>+VLOOKUP(C36,'Tong hop cong'!C32:V32,20,0)</f>
        <v>18</v>
      </c>
      <c r="N36" s="2078">
        <f>+VLOOKUP(C36,'Tong hop cong'!C32:W32,21,0)</f>
        <v>3</v>
      </c>
      <c r="O36" s="2078">
        <f>+VLOOKUP(C36,'Tong hop cong'!C32:X32,22,0)</f>
        <v>7</v>
      </c>
      <c r="P36" s="2078">
        <f>+VLOOKUP(C36,'Tong hop cong'!C32:Y32,23,0)</f>
        <v>1</v>
      </c>
      <c r="Q36" s="2078">
        <f>M36+N36+O36+P36</f>
        <v>29</v>
      </c>
      <c r="R36" s="2078">
        <f t="shared" si="4"/>
        <v>29</v>
      </c>
      <c r="S36" s="2080">
        <f t="shared" si="7"/>
        <v>2278939.2000000002</v>
      </c>
      <c r="T36" s="2080"/>
      <c r="U36" s="2080">
        <f t="shared" si="2"/>
        <v>5630108.8346100338</v>
      </c>
      <c r="V36" s="2081">
        <f t="shared" si="3"/>
        <v>5630108.8346100338</v>
      </c>
      <c r="W36" s="2454" t="s">
        <v>1572</v>
      </c>
    </row>
    <row r="37" spans="1:23" s="1543" customFormat="1" ht="27.75" customHeight="1">
      <c r="A37" s="2073">
        <v>21</v>
      </c>
      <c r="B37" s="2073">
        <v>21</v>
      </c>
      <c r="C37" s="2098" t="str">
        <f>'Chấm công công nhân'!L33</f>
        <v>Thảo Chòi</v>
      </c>
      <c r="D37" s="2074" t="e">
        <f>VLOOKUP(C37,'Mã số NV'!$B$6:$D$53,3,0)</f>
        <v>#N/A</v>
      </c>
      <c r="E37" s="2075" t="s">
        <v>40</v>
      </c>
      <c r="F37" s="2075"/>
      <c r="G37" s="2076">
        <f>VLOOKUP(C37,'Tong hop cong'!C33:R33,16,0)</f>
        <v>0</v>
      </c>
      <c r="H37" s="2077">
        <f t="shared" si="1"/>
        <v>0</v>
      </c>
      <c r="I37" s="2077">
        <f>+VLOOKUP(C37,'Tong hop cong'!C33:S33,17,0)</f>
        <v>2423</v>
      </c>
      <c r="J37" s="2078">
        <f>+VLOOKUP(C37,'Tong hop cong'!C33:U33,19,0)</f>
        <v>1029.5160932222527</v>
      </c>
      <c r="K37" s="2079" t="str">
        <f>VLOOKUP(C37,'Tong hop cong'!C33:AA33,25,0)</f>
        <v>A</v>
      </c>
      <c r="L37" s="2080">
        <f t="shared" si="5"/>
        <v>4119711.5986381662</v>
      </c>
      <c r="M37" s="2078">
        <f>+VLOOKUP(C37,'Tong hop cong'!C33:V33,20,0)</f>
        <v>19</v>
      </c>
      <c r="N37" s="2078">
        <f>+VLOOKUP(C37,'Tong hop cong'!C33:W33,21,0)</f>
        <v>3</v>
      </c>
      <c r="O37" s="2078">
        <f>+VLOOKUP(C37,'Tong hop cong'!C33:X33,22,0)</f>
        <v>7</v>
      </c>
      <c r="P37" s="2078">
        <f>+VLOOKUP(C37,'Tong hop cong'!C33:Y33,23,0)</f>
        <v>1</v>
      </c>
      <c r="Q37" s="2078">
        <f t="shared" si="6"/>
        <v>30</v>
      </c>
      <c r="R37" s="2078">
        <f t="shared" si="4"/>
        <v>30</v>
      </c>
      <c r="S37" s="2080">
        <f t="shared" si="7"/>
        <v>2349180.8000000003</v>
      </c>
      <c r="T37" s="2080"/>
      <c r="U37" s="2080">
        <f t="shared" si="2"/>
        <v>6468892.3986381665</v>
      </c>
      <c r="V37" s="2081">
        <f t="shared" si="3"/>
        <v>6468892.3986381665</v>
      </c>
      <c r="W37" s="2454" t="s">
        <v>1572</v>
      </c>
    </row>
    <row r="38" spans="1:23" s="1543" customFormat="1" ht="27.75" customHeight="1">
      <c r="A38" s="2073">
        <v>22</v>
      </c>
      <c r="B38" s="2073">
        <v>22</v>
      </c>
      <c r="C38" s="2098" t="str">
        <f>'Chấm công công nhân'!L34</f>
        <v>Thong La</v>
      </c>
      <c r="D38" s="2074" t="e">
        <f>VLOOKUP(C38,'Mã số NV'!$B$6:$D$53,3,0)</f>
        <v>#N/A</v>
      </c>
      <c r="E38" s="2075" t="s">
        <v>40</v>
      </c>
      <c r="F38" s="2075"/>
      <c r="G38" s="2076">
        <f>VLOOKUP(C38,'Tong hop cong'!C34:R34,16,0)</f>
        <v>0</v>
      </c>
      <c r="H38" s="2077">
        <f t="shared" si="1"/>
        <v>0</v>
      </c>
      <c r="I38" s="2077">
        <f>+VLOOKUP(C38,'Tong hop cong'!C34:S34,17,0)</f>
        <v>2851</v>
      </c>
      <c r="J38" s="2078">
        <f>+VLOOKUP(C38,'Tong hop cong'!C34:U34,19,0)</f>
        <v>1211.3703597922583</v>
      </c>
      <c r="K38" s="2079" t="str">
        <f>VLOOKUP(C38,'Tong hop cong'!C34:AA34,25,0)</f>
        <v>A</v>
      </c>
      <c r="L38" s="2080">
        <f t="shared" si="5"/>
        <v>4847419.6317447005</v>
      </c>
      <c r="M38" s="2078">
        <f>+VLOOKUP(C38,'Tong hop cong'!C34:V34,20,0)</f>
        <v>20</v>
      </c>
      <c r="N38" s="2078">
        <f>+VLOOKUP(C38,'Tong hop cong'!C34:W34,21,0)</f>
        <v>3</v>
      </c>
      <c r="O38" s="2078">
        <f>+VLOOKUP(C38,'Tong hop cong'!C34:X34,22,0)</f>
        <v>7</v>
      </c>
      <c r="P38" s="2078">
        <f>+VLOOKUP(C38,'Tong hop cong'!C34:Y34,23,0)</f>
        <v>1</v>
      </c>
      <c r="Q38" s="2078">
        <f t="shared" si="6"/>
        <v>31</v>
      </c>
      <c r="R38" s="2078">
        <f t="shared" si="4"/>
        <v>31</v>
      </c>
      <c r="S38" s="2080">
        <f t="shared" si="7"/>
        <v>2419422.4</v>
      </c>
      <c r="T38" s="2080"/>
      <c r="U38" s="2080">
        <f t="shared" si="2"/>
        <v>7266842.0317446999</v>
      </c>
      <c r="V38" s="2081">
        <f t="shared" si="3"/>
        <v>7266842.0317446999</v>
      </c>
      <c r="W38" s="2454" t="s">
        <v>1572</v>
      </c>
    </row>
    <row r="39" spans="1:23" s="1543" customFormat="1" ht="27.75" customHeight="1">
      <c r="A39" s="2073">
        <v>23</v>
      </c>
      <c r="B39" s="2073">
        <v>23</v>
      </c>
      <c r="C39" s="2098" t="str">
        <f>'Chấm công công nhân'!L35</f>
        <v>Thảo kok</v>
      </c>
      <c r="D39" s="2074" t="str">
        <f>VLOOKUP(C39,'Mã số NV'!$B$6:$D$53,3,0)</f>
        <v>01874</v>
      </c>
      <c r="E39" s="2075" t="s">
        <v>40</v>
      </c>
      <c r="F39" s="2075"/>
      <c r="G39" s="2076">
        <f>VLOOKUP(C39,'Tong hop cong'!C35:R35,16,0)</f>
        <v>0</v>
      </c>
      <c r="H39" s="2077">
        <f t="shared" si="1"/>
        <v>0</v>
      </c>
      <c r="I39" s="2077">
        <f>+VLOOKUP(C39,'Tong hop cong'!C35:S35,17,0)</f>
        <v>2690</v>
      </c>
      <c r="J39" s="2078">
        <f>+VLOOKUP(C39,'Tong hop cong'!C35:U35,19,0)</f>
        <v>1142.9625632554105</v>
      </c>
      <c r="K39" s="2079" t="str">
        <f>VLOOKUP(C39,'Tong hop cong'!C35:AA35,25,0)</f>
        <v>A</v>
      </c>
      <c r="L39" s="2080">
        <f t="shared" si="5"/>
        <v>4573678.9931228505</v>
      </c>
      <c r="M39" s="2078">
        <f>+VLOOKUP(C39,'Tong hop cong'!C35:V35,20,0)</f>
        <v>18</v>
      </c>
      <c r="N39" s="2078">
        <f>+VLOOKUP(C39,'Tong hop cong'!C35:W35,21,0)</f>
        <v>3</v>
      </c>
      <c r="O39" s="2078">
        <f>+VLOOKUP(C39,'Tong hop cong'!C35:X35,22,0)</f>
        <v>7</v>
      </c>
      <c r="P39" s="2078">
        <f>+VLOOKUP(C39,'Tong hop cong'!C35:Y35,23,0)</f>
        <v>1</v>
      </c>
      <c r="Q39" s="2078">
        <f t="shared" si="6"/>
        <v>29</v>
      </c>
      <c r="R39" s="2078">
        <f t="shared" si="4"/>
        <v>29</v>
      </c>
      <c r="S39" s="2080">
        <f t="shared" si="7"/>
        <v>2278939.2000000002</v>
      </c>
      <c r="T39" s="2080"/>
      <c r="U39" s="2080">
        <f t="shared" si="2"/>
        <v>6852618.1931228507</v>
      </c>
      <c r="V39" s="2081">
        <f t="shared" si="3"/>
        <v>6852618.1931228507</v>
      </c>
      <c r="W39" s="2454" t="s">
        <v>1572</v>
      </c>
    </row>
    <row r="40" spans="1:23" s="1543" customFormat="1" ht="27.75" customHeight="1">
      <c r="A40" s="2073">
        <v>24</v>
      </c>
      <c r="B40" s="2073">
        <v>24</v>
      </c>
      <c r="C40" s="2098" t="str">
        <f>'Chấm công công nhân'!L36</f>
        <v>Thảo Hôm</v>
      </c>
      <c r="D40" s="2074" t="e">
        <f>VLOOKUP(C40,'Mã số NV'!$B$6:$D$53,3,0)</f>
        <v>#N/A</v>
      </c>
      <c r="E40" s="2075" t="s">
        <v>40</v>
      </c>
      <c r="F40" s="2075"/>
      <c r="G40" s="2076">
        <f>VLOOKUP(C40,'Tong hop cong'!C36:R36,16,0)</f>
        <v>0</v>
      </c>
      <c r="H40" s="2077">
        <f t="shared" si="1"/>
        <v>0</v>
      </c>
      <c r="I40" s="2077">
        <f>+VLOOKUP(C40,'Tong hop cong'!C36:S36,17,0)</f>
        <v>1469</v>
      </c>
      <c r="J40" s="2078">
        <f>+VLOOKUP(C40,'Tong hop cong'!C36:U36,19,0)</f>
        <v>624.16803175546386</v>
      </c>
      <c r="K40" s="2079" t="str">
        <f>VLOOKUP(C40,'Tong hop cong'!C36:AA36,25,0)</f>
        <v>C</v>
      </c>
      <c r="L40" s="2080">
        <f t="shared" si="5"/>
        <v>2251998.2585737137</v>
      </c>
      <c r="M40" s="2078">
        <f>+VLOOKUP(C40,'Tong hop cong'!C36:V36,20,0)</f>
        <v>14</v>
      </c>
      <c r="N40" s="2078">
        <f>+VLOOKUP(C40,'Tong hop cong'!C36:W36,21,0)</f>
        <v>2</v>
      </c>
      <c r="O40" s="2078">
        <f>+VLOOKUP(C40,'Tong hop cong'!C36:X36,22,0)</f>
        <v>2</v>
      </c>
      <c r="P40" s="2078">
        <f>+VLOOKUP(C40,'Tong hop cong'!C36:Y36,23,0)</f>
        <v>1</v>
      </c>
      <c r="Q40" s="2078">
        <f t="shared" si="6"/>
        <v>19</v>
      </c>
      <c r="R40" s="2078">
        <f t="shared" si="4"/>
        <v>19</v>
      </c>
      <c r="S40" s="2080">
        <f t="shared" si="7"/>
        <v>1455622.4</v>
      </c>
      <c r="T40" s="2080"/>
      <c r="U40" s="2080">
        <f t="shared" si="2"/>
        <v>3707620.6585737136</v>
      </c>
      <c r="V40" s="2081">
        <f t="shared" si="3"/>
        <v>3707620.6585737136</v>
      </c>
      <c r="W40" s="2454" t="s">
        <v>1572</v>
      </c>
    </row>
    <row r="41" spans="1:23" s="1543" customFormat="1" ht="27.75" customHeight="1">
      <c r="A41" s="2073">
        <v>25</v>
      </c>
      <c r="B41" s="2073">
        <v>25</v>
      </c>
      <c r="C41" s="2098" t="str">
        <f>'Chấm công công nhân'!L37</f>
        <v>Nàng Lam</v>
      </c>
      <c r="D41" s="2074" t="e">
        <f>VLOOKUP(C41,'Mã số NV'!$B$6:$D$53,3,0)</f>
        <v>#N/A</v>
      </c>
      <c r="E41" s="2075" t="s">
        <v>40</v>
      </c>
      <c r="F41" s="2075"/>
      <c r="G41" s="2076">
        <f>VLOOKUP(C41,'Tong hop cong'!C37:R37,16,0)</f>
        <v>0</v>
      </c>
      <c r="H41" s="2077">
        <f t="shared" si="1"/>
        <v>0</v>
      </c>
      <c r="I41" s="2077">
        <f>+VLOOKUP(C41,'Tong hop cong'!C37:S37,17,0)</f>
        <v>1486</v>
      </c>
      <c r="J41" s="2078">
        <f>+VLOOKUP(C41,'Tong hop cong'!C37:U37,19,0)</f>
        <v>631.39121524072118</v>
      </c>
      <c r="K41" s="2079" t="str">
        <f>VLOOKUP(C41,'Tong hop cong'!C37:AA37,25,0)</f>
        <v>B</v>
      </c>
      <c r="L41" s="2080">
        <f t="shared" si="5"/>
        <v>2402317.2957478957</v>
      </c>
      <c r="M41" s="2078">
        <f>+VLOOKUP(C41,'Tong hop cong'!C37:V37,20,0)</f>
        <v>13</v>
      </c>
      <c r="N41" s="2078">
        <f>+VLOOKUP(C41,'Tong hop cong'!C37:W37,21,0)</f>
        <v>3</v>
      </c>
      <c r="O41" s="2078">
        <f>+VLOOKUP(C41,'Tong hop cong'!C37:X37,22,0)</f>
        <v>2</v>
      </c>
      <c r="P41" s="2078">
        <f>+VLOOKUP(C41,'Tong hop cong'!C37:Y37,23,0)</f>
        <v>1</v>
      </c>
      <c r="Q41" s="2078">
        <f t="shared" si="6"/>
        <v>19</v>
      </c>
      <c r="R41" s="2078">
        <f t="shared" si="4"/>
        <v>19</v>
      </c>
      <c r="S41" s="2080">
        <f t="shared" si="7"/>
        <v>1475827.2</v>
      </c>
      <c r="T41" s="2080"/>
      <c r="U41" s="2080">
        <f t="shared" si="2"/>
        <v>3878144.4957478959</v>
      </c>
      <c r="V41" s="2081">
        <f t="shared" si="3"/>
        <v>3878144.4957478959</v>
      </c>
      <c r="W41" s="2454" t="s">
        <v>1572</v>
      </c>
    </row>
    <row r="42" spans="1:23" s="1543" customFormat="1" ht="27.75" customHeight="1">
      <c r="A42" s="2073">
        <v>26</v>
      </c>
      <c r="B42" s="2073">
        <v>26</v>
      </c>
      <c r="C42" s="2098" t="str">
        <f>'Chấm công công nhân'!L38</f>
        <v>Thảo Hơ Phơ</v>
      </c>
      <c r="D42" s="2074" t="e">
        <f>VLOOKUP(C42,'Mã số NV'!$B$6:$D$53,3,0)</f>
        <v>#N/A</v>
      </c>
      <c r="E42" s="2075" t="s">
        <v>40</v>
      </c>
      <c r="F42" s="2075"/>
      <c r="G42" s="2076">
        <f>VLOOKUP(C42,'Tong hop cong'!C38:R38,16,0)</f>
        <v>0</v>
      </c>
      <c r="H42" s="2077">
        <f t="shared" si="1"/>
        <v>0</v>
      </c>
      <c r="I42" s="2077">
        <f>+VLOOKUP(C42,'Tong hop cong'!C38:S38,17,0)</f>
        <v>2063</v>
      </c>
      <c r="J42" s="2078">
        <f>+VLOOKUP(C42,'Tong hop cong'!C38:U38,19,0)</f>
        <v>876.55456059327582</v>
      </c>
      <c r="K42" s="2079" t="str">
        <f>VLOOKUP(C42,'Tong hop cong'!C38:AA38,25,0)</f>
        <v>A</v>
      </c>
      <c r="L42" s="2080">
        <f t="shared" si="5"/>
        <v>3507620.7296700524</v>
      </c>
      <c r="M42" s="2078">
        <f>+VLOOKUP(C42,'Tong hop cong'!C38:V38,20,0)</f>
        <v>14</v>
      </c>
      <c r="N42" s="2078">
        <f>+VLOOKUP(C42,'Tong hop cong'!C38:W38,21,0)</f>
        <v>2</v>
      </c>
      <c r="O42" s="2078">
        <f>+VLOOKUP(C42,'Tong hop cong'!C38:X38,22,0)</f>
        <v>4</v>
      </c>
      <c r="P42" s="2078">
        <f>+VLOOKUP(C42,'Tong hop cong'!C38:Y38,23,0)</f>
        <v>1</v>
      </c>
      <c r="Q42" s="2078">
        <f t="shared" si="6"/>
        <v>21</v>
      </c>
      <c r="R42" s="2078">
        <f t="shared" si="4"/>
        <v>21</v>
      </c>
      <c r="S42" s="2080">
        <f t="shared" si="7"/>
        <v>1636384</v>
      </c>
      <c r="T42" s="2080"/>
      <c r="U42" s="2080">
        <f t="shared" si="2"/>
        <v>5144004.7296700524</v>
      </c>
      <c r="V42" s="2081">
        <f t="shared" si="3"/>
        <v>5144004.7296700524</v>
      </c>
      <c r="W42" s="2454" t="s">
        <v>1572</v>
      </c>
    </row>
    <row r="43" spans="1:23" s="1543" customFormat="1" ht="27.75" customHeight="1">
      <c r="A43" s="2073">
        <v>27</v>
      </c>
      <c r="B43" s="2073">
        <v>27</v>
      </c>
      <c r="C43" s="2098" t="str">
        <f>'Chấm công công nhân'!L39</f>
        <v>Thảo Lay</v>
      </c>
      <c r="D43" s="2074" t="e">
        <f>VLOOKUP(C43,'Mã số NV'!$B$6:$D$53,3,0)</f>
        <v>#N/A</v>
      </c>
      <c r="E43" s="2075" t="s">
        <v>40</v>
      </c>
      <c r="F43" s="2075"/>
      <c r="G43" s="2076">
        <f>VLOOKUP(C43,'Tong hop cong'!C39:R39,16,0)</f>
        <v>0</v>
      </c>
      <c r="H43" s="2077">
        <f t="shared" si="1"/>
        <v>0</v>
      </c>
      <c r="I43" s="2077">
        <f>+VLOOKUP(C43,'Tong hop cong'!C39:S39,17,0)</f>
        <v>2674</v>
      </c>
      <c r="J43" s="2078">
        <f>+VLOOKUP(C43,'Tong hop cong'!C39:U39,19,0)</f>
        <v>1136.1642729163448</v>
      </c>
      <c r="K43" s="2079" t="str">
        <f>VLOOKUP(C43,'Tong hop cong'!C39:AA39,25,0)</f>
        <v>A</v>
      </c>
      <c r="L43" s="2080">
        <f t="shared" si="5"/>
        <v>4546474.9545020452</v>
      </c>
      <c r="M43" s="2078">
        <f>+VLOOKUP(C43,'Tong hop cong'!C39:V39,20,0)</f>
        <v>27</v>
      </c>
      <c r="N43" s="2078">
        <f>+VLOOKUP(C43,'Tong hop cong'!C39:W39,21,0)</f>
        <v>4</v>
      </c>
      <c r="O43" s="2078">
        <f>+VLOOKUP(C43,'Tong hop cong'!C39:X39,22,0)</f>
        <v>0</v>
      </c>
      <c r="P43" s="2078">
        <f>+VLOOKUP(C43,'Tong hop cong'!C39:Y39,23,0)</f>
        <v>0</v>
      </c>
      <c r="Q43" s="2078">
        <f t="shared" si="6"/>
        <v>31</v>
      </c>
      <c r="R43" s="2078">
        <f t="shared" si="4"/>
        <v>31</v>
      </c>
      <c r="S43" s="2080">
        <f t="shared" si="7"/>
        <v>2258308.7999999998</v>
      </c>
      <c r="T43" s="2080"/>
      <c r="U43" s="2080">
        <f t="shared" si="2"/>
        <v>6804783.754502045</v>
      </c>
      <c r="V43" s="2081">
        <f t="shared" si="3"/>
        <v>6804783.754502045</v>
      </c>
      <c r="W43" s="2454" t="s">
        <v>1572</v>
      </c>
    </row>
    <row r="44" spans="1:23" s="1543" customFormat="1" ht="27.75" customHeight="1">
      <c r="A44" s="2073">
        <v>28</v>
      </c>
      <c r="B44" s="2073">
        <v>28</v>
      </c>
      <c r="C44" s="2098" t="str">
        <f>'Chấm công công nhân'!L40</f>
        <v>Thảo Khốc</v>
      </c>
      <c r="D44" s="2074" t="e">
        <f>VLOOKUP(C44,'Mã số NV'!$B$6:$D$53,3,0)</f>
        <v>#N/A</v>
      </c>
      <c r="E44" s="2075" t="s">
        <v>40</v>
      </c>
      <c r="F44" s="2075"/>
      <c r="G44" s="2076">
        <f>VLOOKUP(C44,'Tong hop cong'!C40:R40,16,0)</f>
        <v>0</v>
      </c>
      <c r="H44" s="2077">
        <f t="shared" si="1"/>
        <v>0</v>
      </c>
      <c r="I44" s="2077">
        <f>+VLOOKUP(C44,'Tong hop cong'!C40:S40,17,0)</f>
        <v>2636</v>
      </c>
      <c r="J44" s="2078">
        <f>+VLOOKUP(C44,'Tong hop cong'!C40:U40,19,0)</f>
        <v>1120.0183333610639</v>
      </c>
      <c r="K44" s="2079" t="str">
        <f>VLOOKUP(C44,'Tong hop cong'!C40:AA40,25,0)</f>
        <v>A</v>
      </c>
      <c r="L44" s="2080">
        <f t="shared" si="5"/>
        <v>4481865.3627776336</v>
      </c>
      <c r="M44" s="2078">
        <f>+VLOOKUP(C44,'Tong hop cong'!C40:V40,20,0)</f>
        <v>20</v>
      </c>
      <c r="N44" s="2078">
        <f>+VLOOKUP(C44,'Tong hop cong'!C40:W40,21,0)</f>
        <v>3</v>
      </c>
      <c r="O44" s="2078">
        <f>+VLOOKUP(C44,'Tong hop cong'!C40:X40,22,0)</f>
        <v>0</v>
      </c>
      <c r="P44" s="2078">
        <f>+VLOOKUP(C44,'Tong hop cong'!C40:Y40,23,0)</f>
        <v>0</v>
      </c>
      <c r="Q44" s="2078">
        <f t="shared" si="6"/>
        <v>23</v>
      </c>
      <c r="R44" s="2078">
        <f t="shared" si="4"/>
        <v>23</v>
      </c>
      <c r="S44" s="2080">
        <f t="shared" si="7"/>
        <v>1676171.2</v>
      </c>
      <c r="T44" s="2080"/>
      <c r="U44" s="2080">
        <f t="shared" si="2"/>
        <v>6158036.5627776338</v>
      </c>
      <c r="V44" s="2081">
        <f t="shared" si="3"/>
        <v>6158036.5627776338</v>
      </c>
      <c r="W44" s="2454" t="s">
        <v>1572</v>
      </c>
    </row>
    <row r="45" spans="1:23" s="1543" customFormat="1" ht="27.75" customHeight="1">
      <c r="A45" s="2073">
        <v>29</v>
      </c>
      <c r="B45" s="2073">
        <v>29</v>
      </c>
      <c r="C45" s="2098" t="str">
        <f>'Chấm công công nhân'!L41</f>
        <v>Thảo Sợt</v>
      </c>
      <c r="D45" s="2074"/>
      <c r="E45" s="2075" t="s">
        <v>40</v>
      </c>
      <c r="F45" s="2075"/>
      <c r="G45" s="2076">
        <f>VLOOKUP(C45,'Tong hop cong'!C41:R41,16,0)</f>
        <v>0</v>
      </c>
      <c r="H45" s="2077">
        <f t="shared" si="1"/>
        <v>0</v>
      </c>
      <c r="I45" s="2077">
        <f>+VLOOKUP(C45,'Tong hop cong'!C41:S41,17,0)</f>
        <v>2643</v>
      </c>
      <c r="J45" s="2078">
        <f>+VLOOKUP(C45,'Tong hop cong'!C41:U41,19,0)</f>
        <v>1122.9925853844052</v>
      </c>
      <c r="K45" s="2079" t="str">
        <f>VLOOKUP(C45,'Tong hop cong'!C41:AA41,25,0)</f>
        <v>B</v>
      </c>
      <c r="L45" s="2080">
        <f t="shared" si="5"/>
        <v>4272762.1888705846</v>
      </c>
      <c r="M45" s="2078">
        <f>+VLOOKUP(C45,'Tong hop cong'!C41:V41,20,0)</f>
        <v>20</v>
      </c>
      <c r="N45" s="2078">
        <f>+VLOOKUP(C45,'Tong hop cong'!C41:W41,21,0)</f>
        <v>3</v>
      </c>
      <c r="O45" s="2078">
        <f>+VLOOKUP(C45,'Tong hop cong'!C41:X41,22,0)</f>
        <v>0</v>
      </c>
      <c r="P45" s="2078">
        <f>+VLOOKUP(C45,'Tong hop cong'!C41:Y41,23,0)</f>
        <v>0</v>
      </c>
      <c r="Q45" s="2078">
        <f t="shared" si="6"/>
        <v>23</v>
      </c>
      <c r="R45" s="2078">
        <f t="shared" si="4"/>
        <v>23</v>
      </c>
      <c r="S45" s="2080">
        <f t="shared" si="7"/>
        <v>1676171.2</v>
      </c>
      <c r="T45" s="2080"/>
      <c r="U45" s="2080">
        <f t="shared" si="2"/>
        <v>5948933.3888705848</v>
      </c>
      <c r="V45" s="2081">
        <f t="shared" si="3"/>
        <v>5948933.3888705848</v>
      </c>
      <c r="W45" s="2454" t="s">
        <v>1572</v>
      </c>
    </row>
    <row r="46" spans="1:23" s="1543" customFormat="1" ht="27.75" customHeight="1">
      <c r="A46" s="2073">
        <v>30</v>
      </c>
      <c r="B46" s="2073">
        <v>30</v>
      </c>
      <c r="C46" s="2098" t="str">
        <f>'Chấm công công nhân'!L42</f>
        <v>Thảo Văn</v>
      </c>
      <c r="D46" s="2074"/>
      <c r="E46" s="2075" t="s">
        <v>40</v>
      </c>
      <c r="F46" s="2075"/>
      <c r="G46" s="2076">
        <f>VLOOKUP(C46,'Tong hop cong'!C42:R42,16,0)</f>
        <v>0</v>
      </c>
      <c r="H46" s="2077">
        <f t="shared" si="1"/>
        <v>0</v>
      </c>
      <c r="I46" s="2077">
        <f>+VLOOKUP(C46,'Tong hop cong'!C42:S42,17,0)</f>
        <v>2821</v>
      </c>
      <c r="J46" s="2078">
        <f>+VLOOKUP(C46,'Tong hop cong'!C42:U42,19,0)</f>
        <v>1198.6235654065104</v>
      </c>
      <c r="K46" s="2079" t="str">
        <f>VLOOKUP(C46,'Tong hop cong'!C42:AA42,25,0)</f>
        <v>B</v>
      </c>
      <c r="L46" s="2080">
        <f t="shared" si="5"/>
        <v>4560522.9416586906</v>
      </c>
      <c r="M46" s="2078">
        <f>+VLOOKUP(C46,'Tong hop cong'!C42:V42,20,0)</f>
        <v>24</v>
      </c>
      <c r="N46" s="2078">
        <f>+VLOOKUP(C46,'Tong hop cong'!C42:W42,21,0)</f>
        <v>4</v>
      </c>
      <c r="O46" s="2078">
        <f>+VLOOKUP(C46,'Tong hop cong'!C42:X42,22,0)</f>
        <v>0</v>
      </c>
      <c r="P46" s="2078">
        <f>+VLOOKUP(C46,'Tong hop cong'!C42:Y42,23,0)</f>
        <v>0</v>
      </c>
      <c r="Q46" s="2078">
        <f>M46+N46+O46+P46</f>
        <v>28</v>
      </c>
      <c r="R46" s="2078">
        <f t="shared" si="4"/>
        <v>28</v>
      </c>
      <c r="S46" s="2080">
        <f t="shared" si="7"/>
        <v>2047584</v>
      </c>
      <c r="T46" s="2080"/>
      <c r="U46" s="2080">
        <f t="shared" si="2"/>
        <v>6608106.9416586906</v>
      </c>
      <c r="V46" s="2081">
        <f t="shared" si="3"/>
        <v>6608106.9416586906</v>
      </c>
      <c r="W46" s="2454" t="s">
        <v>1572</v>
      </c>
    </row>
    <row r="47" spans="1:23" s="1543" customFormat="1" ht="27.75" customHeight="1">
      <c r="A47" s="2073">
        <v>31</v>
      </c>
      <c r="B47" s="2073">
        <v>31</v>
      </c>
      <c r="C47" s="2098" t="str">
        <f>'Chấm công công nhân'!L43</f>
        <v>Thảo Thong</v>
      </c>
      <c r="D47" s="2074" t="e">
        <f>VLOOKUP(C47,'Mã số NV'!$B$6:$D$53,3,0)</f>
        <v>#N/A</v>
      </c>
      <c r="E47" s="2075" t="s">
        <v>40</v>
      </c>
      <c r="F47" s="2075"/>
      <c r="G47" s="2076">
        <f>VLOOKUP(C47,'Tong hop cong'!C43:R43,16,0)</f>
        <v>0</v>
      </c>
      <c r="H47" s="2077">
        <f t="shared" si="1"/>
        <v>0</v>
      </c>
      <c r="I47" s="2077">
        <f>+VLOOKUP(C47,'Tong hop cong'!C43:S43,17,0)</f>
        <v>2235</v>
      </c>
      <c r="J47" s="2078">
        <f>+VLOOKUP(C47,'Tong hop cong'!C43:U43,19,0)</f>
        <v>949.63618173823136</v>
      </c>
      <c r="K47" s="2079" t="str">
        <f>VLOOKUP(C47,'Tong hop cong'!C43:AA43,25,0)</f>
        <v>A</v>
      </c>
      <c r="L47" s="2080">
        <f t="shared" si="5"/>
        <v>3800064.1448437064</v>
      </c>
      <c r="M47" s="2078">
        <f>+VLOOKUP(C47,'Tong hop cong'!C43:V43,20,0)</f>
        <v>21</v>
      </c>
      <c r="N47" s="2078">
        <f>+VLOOKUP(C47,'Tong hop cong'!C43:W43,21,0)</f>
        <v>4</v>
      </c>
      <c r="O47" s="2078">
        <f>+VLOOKUP(C47,'Tong hop cong'!C43:X43,22,0)</f>
        <v>0</v>
      </c>
      <c r="P47" s="2078">
        <f>+VLOOKUP(C47,'Tong hop cong'!C43:Y43,23,0)</f>
        <v>0</v>
      </c>
      <c r="Q47" s="2078">
        <f t="shared" si="6"/>
        <v>25</v>
      </c>
      <c r="R47" s="2078">
        <f t="shared" si="4"/>
        <v>25</v>
      </c>
      <c r="S47" s="2080">
        <f t="shared" si="7"/>
        <v>1836859.2000000002</v>
      </c>
      <c r="T47" s="2080"/>
      <c r="U47" s="2080">
        <f t="shared" si="2"/>
        <v>5636923.3448437061</v>
      </c>
      <c r="V47" s="2081">
        <f t="shared" si="3"/>
        <v>5636923.3448437061</v>
      </c>
      <c r="W47" s="2454" t="s">
        <v>1572</v>
      </c>
    </row>
    <row r="48" spans="1:23" s="1543" customFormat="1" ht="27.75" customHeight="1">
      <c r="A48" s="2073">
        <v>32</v>
      </c>
      <c r="B48" s="2073">
        <v>32</v>
      </c>
      <c r="C48" s="2098" t="str">
        <f>'Chấm công công nhân'!L44</f>
        <v xml:space="preserve"> Nàng Ngột</v>
      </c>
      <c r="D48" s="2074"/>
      <c r="E48" s="2075" t="s">
        <v>40</v>
      </c>
      <c r="F48" s="2075"/>
      <c r="G48" s="2076">
        <f>VLOOKUP(C48,'Tong hop cong'!C44:R44,16,0)</f>
        <v>0</v>
      </c>
      <c r="H48" s="2077">
        <f t="shared" si="1"/>
        <v>0</v>
      </c>
      <c r="I48" s="2077">
        <f>+VLOOKUP(C48,'Tong hop cong'!C44:S44,17,0)</f>
        <v>2238</v>
      </c>
      <c r="J48" s="2078">
        <f>+VLOOKUP(C48,'Tong hop cong'!C44:U44,19,0)</f>
        <v>950.91086117680618</v>
      </c>
      <c r="K48" s="2079" t="str">
        <f>VLOOKUP(C48,'Tong hop cong'!C44:AA44,25,0)</f>
        <v>B</v>
      </c>
      <c r="L48" s="2080">
        <f t="shared" si="5"/>
        <v>3618025.6446055118</v>
      </c>
      <c r="M48" s="2078">
        <f>+VLOOKUP(C48,'Tong hop cong'!C44:V44,20,0)</f>
        <v>21</v>
      </c>
      <c r="N48" s="2078">
        <f>+VLOOKUP(C48,'Tong hop cong'!C44:W44,21,0)</f>
        <v>4</v>
      </c>
      <c r="O48" s="2078">
        <f>+VLOOKUP(C48,'Tong hop cong'!C44:X44,22,0)</f>
        <v>0</v>
      </c>
      <c r="P48" s="2078">
        <f>+VLOOKUP(C48,'Tong hop cong'!C44:Y44,23,0)</f>
        <v>0</v>
      </c>
      <c r="Q48" s="2078">
        <f t="shared" si="6"/>
        <v>25</v>
      </c>
      <c r="R48" s="2078">
        <f t="shared" si="4"/>
        <v>25</v>
      </c>
      <c r="S48" s="2080">
        <f t="shared" si="7"/>
        <v>1836859.2000000002</v>
      </c>
      <c r="T48" s="2080"/>
      <c r="U48" s="2080">
        <f t="shared" si="2"/>
        <v>5454884.844605512</v>
      </c>
      <c r="V48" s="2081">
        <f t="shared" si="3"/>
        <v>5454884.844605512</v>
      </c>
      <c r="W48" s="2454" t="s">
        <v>1572</v>
      </c>
    </row>
    <row r="49" spans="1:23" s="1543" customFormat="1" ht="27.75" customHeight="1">
      <c r="A49" s="2073">
        <v>33</v>
      </c>
      <c r="B49" s="2073">
        <v>33</v>
      </c>
      <c r="C49" s="2098" t="str">
        <f>'Chấm công công nhân'!L45</f>
        <v>Nàng Chon</v>
      </c>
      <c r="D49" s="2074" t="e">
        <f>VLOOKUP(C49,'Mã số NV'!$B$6:$D$53,3,0)</f>
        <v>#N/A</v>
      </c>
      <c r="E49" s="2075" t="s">
        <v>40</v>
      </c>
      <c r="F49" s="2075"/>
      <c r="G49" s="2076">
        <f>VLOOKUP(C49,'Tong hop cong'!C45:R45,16,0)</f>
        <v>0</v>
      </c>
      <c r="H49" s="2077">
        <f t="shared" si="1"/>
        <v>0</v>
      </c>
      <c r="I49" s="2077">
        <f>+VLOOKUP(C49,'Tong hop cong'!C45:S45,17,0)</f>
        <v>2064</v>
      </c>
      <c r="J49" s="2078">
        <f>+VLOOKUP(C49,'Tong hop cong'!C45:U45,19,0)</f>
        <v>876.97945373946732</v>
      </c>
      <c r="K49" s="2079" t="str">
        <f>VLOOKUP(C49,'Tong hop cong'!C45:AA45,25,0)</f>
        <v>B</v>
      </c>
      <c r="L49" s="2080">
        <f t="shared" si="5"/>
        <v>3336731.4255879251</v>
      </c>
      <c r="M49" s="2078">
        <f>+VLOOKUP(C49,'Tong hop cong'!C45:V45,20,0)</f>
        <v>18</v>
      </c>
      <c r="N49" s="2078">
        <f>+VLOOKUP(C49,'Tong hop cong'!C45:W45,21,0)</f>
        <v>3</v>
      </c>
      <c r="O49" s="2078">
        <f>+VLOOKUP(C49,'Tong hop cong'!C45:X45,22,0)</f>
        <v>0</v>
      </c>
      <c r="P49" s="2078">
        <f>+VLOOKUP(C49,'Tong hop cong'!C45:Y45,23,0)</f>
        <v>0</v>
      </c>
      <c r="Q49" s="2078">
        <f t="shared" si="6"/>
        <v>21</v>
      </c>
      <c r="R49" s="2078">
        <f t="shared" si="4"/>
        <v>21</v>
      </c>
      <c r="S49" s="2080">
        <f t="shared" si="7"/>
        <v>1535688</v>
      </c>
      <c r="T49" s="2080"/>
      <c r="U49" s="2080">
        <f t="shared" si="2"/>
        <v>4872419.4255879251</v>
      </c>
      <c r="V49" s="2081">
        <f t="shared" si="3"/>
        <v>4872419.4255879251</v>
      </c>
      <c r="W49" s="2454" t="s">
        <v>1572</v>
      </c>
    </row>
    <row r="50" spans="1:23" s="1543" customFormat="1" ht="27.75" customHeight="1">
      <c r="A50" s="2073">
        <v>34</v>
      </c>
      <c r="B50" s="2073">
        <v>34</v>
      </c>
      <c r="C50" s="2098" t="str">
        <f>'Chấm công công nhân'!L46</f>
        <v>Bun han</v>
      </c>
      <c r="D50" s="2074"/>
      <c r="E50" s="2075" t="s">
        <v>40</v>
      </c>
      <c r="F50" s="2075"/>
      <c r="G50" s="2076">
        <f>VLOOKUP(C50,'Tong hop cong'!C46:R46,16,0)</f>
        <v>0</v>
      </c>
      <c r="H50" s="2077">
        <f t="shared" si="1"/>
        <v>0</v>
      </c>
      <c r="I50" s="2077">
        <f>+VLOOKUP(C50,'Tong hop cong'!C46:S46,17,0)</f>
        <v>2207</v>
      </c>
      <c r="J50" s="2078">
        <f>+VLOOKUP(C50,'Tong hop cong'!C46:U46,19,0)</f>
        <v>937.73917364486658</v>
      </c>
      <c r="K50" s="2079" t="str">
        <f>VLOOKUP(C50,'Tong hop cong'!C46:AA46,25,0)</f>
        <v>B</v>
      </c>
      <c r="L50" s="2080">
        <f t="shared" si="5"/>
        <v>3567910.0078839883</v>
      </c>
      <c r="M50" s="2078">
        <f>+VLOOKUP(C50,'Tong hop cong'!C46:V46,20,0)</f>
        <v>22</v>
      </c>
      <c r="N50" s="2078">
        <f>+VLOOKUP(C50,'Tong hop cong'!C46:W46,21,0)</f>
        <v>4</v>
      </c>
      <c r="O50" s="2078">
        <f>+VLOOKUP(C50,'Tong hop cong'!C46:X46,22,0)</f>
        <v>0</v>
      </c>
      <c r="P50" s="2078">
        <f>+VLOOKUP(C50,'Tong hop cong'!C46:Y46,23,0)</f>
        <v>0</v>
      </c>
      <c r="Q50" s="2078">
        <f t="shared" si="6"/>
        <v>26</v>
      </c>
      <c r="R50" s="2078">
        <f t="shared" si="4"/>
        <v>26</v>
      </c>
      <c r="S50" s="2080">
        <f t="shared" si="7"/>
        <v>1907100.8</v>
      </c>
      <c r="T50" s="2080"/>
      <c r="U50" s="2080">
        <f t="shared" si="2"/>
        <v>5475010.8078839881</v>
      </c>
      <c r="V50" s="2081">
        <f t="shared" si="3"/>
        <v>5475010.8078839881</v>
      </c>
      <c r="W50" s="2454" t="s">
        <v>1572</v>
      </c>
    </row>
    <row r="51" spans="1:23" s="1543" customFormat="1" ht="27.75" customHeight="1">
      <c r="A51" s="2073">
        <v>35</v>
      </c>
      <c r="B51" s="2073">
        <v>35</v>
      </c>
      <c r="C51" s="2098" t="str">
        <f>'Chấm công công nhân'!L47</f>
        <v>Hăn</v>
      </c>
      <c r="D51" s="2074"/>
      <c r="E51" s="2075" t="s">
        <v>40</v>
      </c>
      <c r="F51" s="2075"/>
      <c r="G51" s="2076">
        <f>VLOOKUP(C51,'Tong hop cong'!C47:R47,16,0)</f>
        <v>0</v>
      </c>
      <c r="H51" s="2077">
        <f t="shared" si="1"/>
        <v>0</v>
      </c>
      <c r="I51" s="2077">
        <f>+VLOOKUP(C51,'Tong hop cong'!C47:S47,17,0)</f>
        <v>2204</v>
      </c>
      <c r="J51" s="2078">
        <f>+VLOOKUP(C51,'Tong hop cong'!C47:U47,19,0)</f>
        <v>936.46449420629176</v>
      </c>
      <c r="K51" s="2079" t="str">
        <f>VLOOKUP(C51,'Tong hop cong'!C47:AA47,25,0)</f>
        <v>A</v>
      </c>
      <c r="L51" s="2080">
        <f t="shared" si="5"/>
        <v>3747356.320015897</v>
      </c>
      <c r="M51" s="2078">
        <f>+VLOOKUP(C51,'Tong hop cong'!C47:V47,20,0)</f>
        <v>21</v>
      </c>
      <c r="N51" s="2078">
        <f>+VLOOKUP(C51,'Tong hop cong'!C47:W47,21,0)</f>
        <v>4</v>
      </c>
      <c r="O51" s="2078">
        <f>+VLOOKUP(C51,'Tong hop cong'!C47:X47,22,0)</f>
        <v>0</v>
      </c>
      <c r="P51" s="2078">
        <f>+VLOOKUP(C51,'Tong hop cong'!C47:Y47,23,0)</f>
        <v>0</v>
      </c>
      <c r="Q51" s="2078">
        <f t="shared" si="6"/>
        <v>25</v>
      </c>
      <c r="R51" s="2078">
        <f t="shared" si="4"/>
        <v>25</v>
      </c>
      <c r="S51" s="2080">
        <f t="shared" si="7"/>
        <v>1836859.2000000002</v>
      </c>
      <c r="T51" s="2080"/>
      <c r="U51" s="2080">
        <f t="shared" si="2"/>
        <v>5584215.5200158972</v>
      </c>
      <c r="V51" s="2081">
        <f t="shared" si="3"/>
        <v>5584215.5200158972</v>
      </c>
      <c r="W51" s="2454" t="s">
        <v>1572</v>
      </c>
    </row>
    <row r="52" spans="1:23" s="1543" customFormat="1" ht="27.75" customHeight="1">
      <c r="A52" s="2073">
        <v>36</v>
      </c>
      <c r="B52" s="2073">
        <v>36</v>
      </c>
      <c r="C52" s="2098" t="str">
        <f>'Chấm công công nhân'!L48</f>
        <v>Thảo Tuỳ</v>
      </c>
      <c r="D52" s="2074" t="e">
        <f>VLOOKUP(C52,'Mã số NV'!$B$6:$D$53,3,0)</f>
        <v>#N/A</v>
      </c>
      <c r="E52" s="2075" t="s">
        <v>40</v>
      </c>
      <c r="F52" s="2075"/>
      <c r="G52" s="2076">
        <f>VLOOKUP(C52,'Tong hop cong'!C48:R48,16,0)</f>
        <v>0</v>
      </c>
      <c r="H52" s="2077">
        <f t="shared" si="1"/>
        <v>0</v>
      </c>
      <c r="I52" s="2077">
        <f>+VLOOKUP(C52,'Tong hop cong'!C48:S48,17,0)</f>
        <v>2654</v>
      </c>
      <c r="J52" s="2078">
        <f>+VLOOKUP(C52,'Tong hop cong'!C48:U48,19,0)</f>
        <v>1127.6664099925129</v>
      </c>
      <c r="K52" s="2079" t="str">
        <f>VLOOKUP(C52,'Tong hop cong'!C48:AA48,25,0)</f>
        <v>A</v>
      </c>
      <c r="L52" s="2080">
        <f t="shared" si="5"/>
        <v>4512469.9062260389</v>
      </c>
      <c r="M52" s="2078">
        <f>+VLOOKUP(C52,'Tong hop cong'!C48:V48,20,0)</f>
        <v>27</v>
      </c>
      <c r="N52" s="2078">
        <f>+VLOOKUP(C52,'Tong hop cong'!C48:W48,21,0)</f>
        <v>4</v>
      </c>
      <c r="O52" s="2078">
        <f>+VLOOKUP(C52,'Tong hop cong'!C48:X48,22,0)</f>
        <v>0</v>
      </c>
      <c r="P52" s="2078">
        <f>+VLOOKUP(C52,'Tong hop cong'!C48:Y48,23,0)</f>
        <v>0</v>
      </c>
      <c r="Q52" s="2078">
        <f t="shared" si="6"/>
        <v>31</v>
      </c>
      <c r="R52" s="2078">
        <f t="shared" si="4"/>
        <v>31</v>
      </c>
      <c r="S52" s="2080">
        <f t="shared" si="7"/>
        <v>2258308.7999999998</v>
      </c>
      <c r="T52" s="2080"/>
      <c r="U52" s="2080">
        <f t="shared" si="2"/>
        <v>6770778.7062260387</v>
      </c>
      <c r="V52" s="2081">
        <f t="shared" si="3"/>
        <v>6770778.7062260387</v>
      </c>
      <c r="W52" s="2454" t="s">
        <v>1572</v>
      </c>
    </row>
    <row r="53" spans="1:23" s="2180" customFormat="1" ht="25.5" hidden="1" customHeight="1">
      <c r="A53" s="2073">
        <v>37</v>
      </c>
      <c r="B53" s="2073">
        <v>37</v>
      </c>
      <c r="C53" s="2181" t="str">
        <f>'Tong hop cong'!C49</f>
        <v>Thảo e</v>
      </c>
      <c r="D53" s="2176"/>
      <c r="E53" s="2177" t="s">
        <v>1142</v>
      </c>
      <c r="F53" s="2177"/>
      <c r="G53" s="2076">
        <f>VLOOKUP(C53,'Tong hop cong'!C49:R49,16,0)</f>
        <v>0</v>
      </c>
      <c r="H53" s="2077">
        <f t="shared" si="1"/>
        <v>0</v>
      </c>
      <c r="I53" s="2077"/>
      <c r="J53" s="2078">
        <f>+VLOOKUP(C53,'Tong hop cong'!C49:U49,18,0)</f>
        <v>0</v>
      </c>
      <c r="K53" s="2079">
        <f>VLOOKUP(C53,'Tong hop cong'!C49:AA49,24,0)</f>
        <v>0</v>
      </c>
      <c r="L53" s="2178"/>
      <c r="M53" s="2078">
        <f>+VLOOKUP(C53,'Tong hop cong'!C49:V49,19,0)</f>
        <v>0</v>
      </c>
      <c r="N53" s="2078">
        <f>+VLOOKUP(C53,'Tong hop cong'!C49:W49,20,0)</f>
        <v>0</v>
      </c>
      <c r="O53" s="2078">
        <f>+VLOOKUP(C53,'Tong hop cong'!C49:X49,22,0)</f>
        <v>0</v>
      </c>
      <c r="P53" s="2078">
        <f>+VLOOKUP(C53,'Tong hop cong'!C49:Y49,23,0)</f>
        <v>0</v>
      </c>
      <c r="Q53" s="2078"/>
      <c r="R53" s="2078">
        <f t="shared" si="4"/>
        <v>0</v>
      </c>
      <c r="S53" s="2178">
        <f>((M53*(46.1*$E$10))+(N53*(76.9*$E$10))+(O53*(76.8*$E$10))+(P53*(107.6*$E$10)))+((M53*$Y$15)+(N53*$Y$15)+(O53*$Y$15)+(P53*$Y$15))</f>
        <v>0</v>
      </c>
      <c r="T53" s="2178"/>
      <c r="U53" s="2178">
        <f t="shared" si="2"/>
        <v>0</v>
      </c>
      <c r="V53" s="2179">
        <f t="shared" si="3"/>
        <v>0</v>
      </c>
      <c r="W53" s="2454" t="s">
        <v>1572</v>
      </c>
    </row>
    <row r="54" spans="1:23" s="1543" customFormat="1" ht="27.75" customHeight="1">
      <c r="A54" s="2082" t="s">
        <v>92</v>
      </c>
      <c r="B54" s="3940" t="s">
        <v>322</v>
      </c>
      <c r="C54" s="3940"/>
      <c r="D54" s="2082"/>
      <c r="E54" s="2082"/>
      <c r="F54" s="2082"/>
      <c r="G54" s="2083">
        <f t="shared" ref="G54:U54" si="8">SUM(G55:G70)</f>
        <v>0</v>
      </c>
      <c r="H54" s="2083">
        <f t="shared" si="8"/>
        <v>0</v>
      </c>
      <c r="I54" s="2083">
        <f t="shared" si="8"/>
        <v>37044</v>
      </c>
      <c r="J54" s="2083">
        <f t="shared" si="8"/>
        <v>15912.768000000004</v>
      </c>
      <c r="K54" s="2083">
        <f t="shared" si="8"/>
        <v>0</v>
      </c>
      <c r="L54" s="2083">
        <f t="shared" si="8"/>
        <v>61486147.903489992</v>
      </c>
      <c r="M54" s="2083">
        <f t="shared" si="8"/>
        <v>390</v>
      </c>
      <c r="N54" s="2083">
        <f t="shared" si="8"/>
        <v>59</v>
      </c>
      <c r="O54" s="2083">
        <f t="shared" si="8"/>
        <v>0</v>
      </c>
      <c r="P54" s="2083">
        <f t="shared" si="8"/>
        <v>0</v>
      </c>
      <c r="Q54" s="2083">
        <f t="shared" si="8"/>
        <v>449</v>
      </c>
      <c r="R54" s="2083">
        <f t="shared" si="8"/>
        <v>449</v>
      </c>
      <c r="S54" s="2083">
        <f t="shared" si="8"/>
        <v>32730561.599999998</v>
      </c>
      <c r="T54" s="2083">
        <f t="shared" si="8"/>
        <v>0</v>
      </c>
      <c r="U54" s="2083">
        <f t="shared" si="8"/>
        <v>94216709.503490001</v>
      </c>
      <c r="V54" s="2083">
        <f>SUM(V55:V70)</f>
        <v>94216709.503490001</v>
      </c>
      <c r="W54" s="2454"/>
    </row>
    <row r="55" spans="1:23" s="1543" customFormat="1" ht="27.75" customHeight="1">
      <c r="A55" s="2073">
        <v>38</v>
      </c>
      <c r="B55" s="2284">
        <v>1</v>
      </c>
      <c r="C55" s="2099" t="str">
        <f>'Chấm công công nhân'!L50</f>
        <v>Thảo tít</v>
      </c>
      <c r="D55" s="2074" t="e">
        <f>VLOOKUP(C55,'Mã số NV'!$B$6:$D$53,3,0)</f>
        <v>#N/A</v>
      </c>
      <c r="E55" s="2075" t="s">
        <v>40</v>
      </c>
      <c r="F55" s="2075"/>
      <c r="G55" s="2076">
        <f>VLOOKUP(C55,'Tong hop cong'!C51:R51,16,0)</f>
        <v>0</v>
      </c>
      <c r="H55" s="2077">
        <f>G55*25000</f>
        <v>0</v>
      </c>
      <c r="I55" s="2077">
        <f>+VLOOKUP(C55,'Tong hop cong'!C51:S51,17,0)</f>
        <v>2309</v>
      </c>
      <c r="J55" s="2076">
        <f>+VLOOKUP(C55,'Tong hop cong'!C51:U51,19,0)</f>
        <v>991.86322513767436</v>
      </c>
      <c r="K55" s="2079" t="str">
        <f>VLOOKUP(C55,'Tong hop cong'!C51:AA51,25,0)</f>
        <v>B</v>
      </c>
      <c r="L55" s="2080">
        <f t="shared" ref="L55:L69" si="9">IF(K55="A",(J55*(6.1*$E$10)),IF(K55="B",(J55*(5.8*$E$10)),IF(K55="C",(J55*(5.5*$E$10)),IF(K55="D",(J55*(5.2*$E$10)),0))))</f>
        <v>3773841.1990038231</v>
      </c>
      <c r="M55" s="2078">
        <f>+VLOOKUP(C55,'Tong hop cong'!C51:V51,20,0)</f>
        <v>26</v>
      </c>
      <c r="N55" s="2078">
        <f>+VLOOKUP(C55,'Tong hop cong'!C51:W51,21,0)</f>
        <v>4</v>
      </c>
      <c r="O55" s="2078">
        <f>+VLOOKUP(C55,'Tong hop cong'!C51:X51,22,0)</f>
        <v>0</v>
      </c>
      <c r="P55" s="2078">
        <f>+VLOOKUP(C55,'Tong hop cong'!C51:Y51,22,0)</f>
        <v>0</v>
      </c>
      <c r="Q55" s="2078">
        <f>M55+N55</f>
        <v>30</v>
      </c>
      <c r="R55" s="2078">
        <f>M55+N55</f>
        <v>30</v>
      </c>
      <c r="S55" s="2080">
        <f>((M55*(46.1*$E$10))+(N55*(76.9*$E$10))+(O55*(76.8*$E$10))+(P55*(107.6*$E$10)))+Q55*$Y$15+R55*$Y$15</f>
        <v>2188067.2000000002</v>
      </c>
      <c r="T55" s="2080"/>
      <c r="U55" s="2080">
        <f t="shared" ref="U55:U70" si="10">H55+L55+S55</f>
        <v>5961908.3990038233</v>
      </c>
      <c r="V55" s="2081">
        <f t="shared" ref="V55:V70" si="11">U55</f>
        <v>5961908.3990038233</v>
      </c>
      <c r="W55" s="2454" t="s">
        <v>1573</v>
      </c>
    </row>
    <row r="56" spans="1:23" s="1543" customFormat="1" ht="27.75" customHeight="1">
      <c r="A56" s="2073">
        <v>39</v>
      </c>
      <c r="B56" s="2285">
        <v>2</v>
      </c>
      <c r="C56" s="2099" t="str">
        <f>'Chấm công công nhân'!L51</f>
        <v>Thảo ớt</v>
      </c>
      <c r="D56" s="2074" t="e">
        <f>VLOOKUP(C56,'Mã số NV'!$B$6:$D$53,3,0)</f>
        <v>#N/A</v>
      </c>
      <c r="E56" s="2075" t="s">
        <v>40</v>
      </c>
      <c r="F56" s="2075"/>
      <c r="G56" s="2076">
        <f>VLOOKUP(C56,'Tong hop cong'!C52:R52,16,0)</f>
        <v>0</v>
      </c>
      <c r="H56" s="2077">
        <f t="shared" ref="H56:H70" si="12">G56*25000</f>
        <v>0</v>
      </c>
      <c r="I56" s="2077">
        <f>+VLOOKUP(C56,'Tong hop cong'!C52:S52,17,0)</f>
        <v>2580</v>
      </c>
      <c r="J56" s="2076">
        <f>+VLOOKUP(C56,'Tong hop cong'!C52:U52,19,0)</f>
        <v>1108.2750631681247</v>
      </c>
      <c r="K56" s="2079" t="str">
        <f>VLOOKUP(C56,'Tong hop cong'!C52:AA52,25,0)</f>
        <v>A</v>
      </c>
      <c r="L56" s="2080">
        <f t="shared" si="9"/>
        <v>4434873.4927735673</v>
      </c>
      <c r="M56" s="2078">
        <f>+VLOOKUP(C56,'Tong hop cong'!C52:V52,20,0)</f>
        <v>27</v>
      </c>
      <c r="N56" s="2078">
        <f>+VLOOKUP(C56,'Tong hop cong'!C52:W52,21,0)</f>
        <v>4</v>
      </c>
      <c r="O56" s="2078">
        <f>+VLOOKUP(C56,'Tong hop cong'!C52:X52,22,0)</f>
        <v>0</v>
      </c>
      <c r="P56" s="2078">
        <f>+VLOOKUP(C56,'Tong hop cong'!C52:Y52,22,0)</f>
        <v>0</v>
      </c>
      <c r="Q56" s="2078">
        <f t="shared" ref="Q56:Q70" si="13">M56+N56</f>
        <v>31</v>
      </c>
      <c r="R56" s="2078">
        <f t="shared" ref="R56:R70" si="14">M56+N56</f>
        <v>31</v>
      </c>
      <c r="S56" s="2080">
        <f t="shared" ref="S56:S70" si="15">((M56*(46.1*$E$10))+(N56*(76.9*$E$10))+(O56*(76.8*$E$10))+(P56*(107.6*$E$10)))+Q56*$Y$15+R56*$Y$15</f>
        <v>2258308.7999999998</v>
      </c>
      <c r="T56" s="2080"/>
      <c r="U56" s="2080">
        <f t="shared" si="10"/>
        <v>6693182.2927735671</v>
      </c>
      <c r="V56" s="2081">
        <f t="shared" si="11"/>
        <v>6693182.2927735671</v>
      </c>
      <c r="W56" s="2454" t="s">
        <v>1573</v>
      </c>
    </row>
    <row r="57" spans="1:23" s="1543" customFormat="1" ht="27.75" customHeight="1">
      <c r="A57" s="2073">
        <v>40</v>
      </c>
      <c r="B57" s="2284">
        <v>3</v>
      </c>
      <c r="C57" s="2099" t="str">
        <f>'Chấm công công nhân'!L52</f>
        <v>Nàng Ọt</v>
      </c>
      <c r="D57" s="2074" t="e">
        <f>VLOOKUP(C57,'Mã số NV'!$B$6:$D$53,3,0)</f>
        <v>#N/A</v>
      </c>
      <c r="E57" s="2075" t="s">
        <v>40</v>
      </c>
      <c r="F57" s="2075"/>
      <c r="G57" s="2076">
        <f>VLOOKUP(C57,'Tong hop cong'!C53:R53,16,0)</f>
        <v>0</v>
      </c>
      <c r="H57" s="2077">
        <f t="shared" si="12"/>
        <v>0</v>
      </c>
      <c r="I57" s="2077">
        <f>+VLOOKUP(C57,'Tong hop cong'!C53:S53,17,0)</f>
        <v>2401</v>
      </c>
      <c r="J57" s="2076">
        <f>+VLOOKUP(C57,'Tong hop cong'!C53:U53,19,0)</f>
        <v>1031.3831111111112</v>
      </c>
      <c r="K57" s="2079" t="str">
        <f>VLOOKUP(C57,'Tong hop cong'!C53:AA53,25,0)</f>
        <v>B</v>
      </c>
      <c r="L57" s="2080">
        <f t="shared" si="9"/>
        <v>3924206.4611555557</v>
      </c>
      <c r="M57" s="2078">
        <f>+VLOOKUP(C57,'Tong hop cong'!C53:V53,20,0)</f>
        <v>27</v>
      </c>
      <c r="N57" s="2078">
        <f>+VLOOKUP(C57,'Tong hop cong'!C53:W53,21,0)</f>
        <v>4</v>
      </c>
      <c r="O57" s="2078">
        <f>+VLOOKUP(C57,'Tong hop cong'!C53:X53,22,0)</f>
        <v>0</v>
      </c>
      <c r="P57" s="2078">
        <f>+VLOOKUP(C57,'Tong hop cong'!C53:Y53,22,0)</f>
        <v>0</v>
      </c>
      <c r="Q57" s="2078">
        <f t="shared" si="13"/>
        <v>31</v>
      </c>
      <c r="R57" s="2078">
        <f t="shared" si="14"/>
        <v>31</v>
      </c>
      <c r="S57" s="2080">
        <f t="shared" si="15"/>
        <v>2258308.7999999998</v>
      </c>
      <c r="T57" s="2080"/>
      <c r="U57" s="2080">
        <f t="shared" si="10"/>
        <v>6182515.261155555</v>
      </c>
      <c r="V57" s="2081">
        <f t="shared" si="11"/>
        <v>6182515.261155555</v>
      </c>
      <c r="W57" s="2454" t="s">
        <v>1573</v>
      </c>
    </row>
    <row r="58" spans="1:23" s="1543" customFormat="1" ht="27.75" customHeight="1">
      <c r="A58" s="2073">
        <v>41</v>
      </c>
      <c r="B58" s="2285">
        <v>4</v>
      </c>
      <c r="C58" s="2099" t="str">
        <f>'Chấm công công nhân'!L53</f>
        <v>Thào Tòng</v>
      </c>
      <c r="D58" s="2074" t="e">
        <f>VLOOKUP(C58,'Mã số NV'!$B$6:$D$53,3,0)</f>
        <v>#N/A</v>
      </c>
      <c r="E58" s="2075" t="s">
        <v>40</v>
      </c>
      <c r="F58" s="2075"/>
      <c r="G58" s="2076">
        <f>VLOOKUP(C58,'Tong hop cong'!C54:R54,16,0)</f>
        <v>0</v>
      </c>
      <c r="H58" s="2077">
        <f t="shared" si="12"/>
        <v>0</v>
      </c>
      <c r="I58" s="2077">
        <f>+VLOOKUP(C58,'Tong hop cong'!C54:S54,17,0)</f>
        <v>2394</v>
      </c>
      <c r="J58" s="2076">
        <f>+VLOOKUP(C58,'Tong hop cong'!C54:U54,19,0)</f>
        <v>1028.3761632653063</v>
      </c>
      <c r="K58" s="2079" t="str">
        <f>VLOOKUP(C58,'Tong hop cong'!C54:AA54,25,0)</f>
        <v>B</v>
      </c>
      <c r="L58" s="2080">
        <f t="shared" si="9"/>
        <v>3912765.6259918371</v>
      </c>
      <c r="M58" s="2078">
        <f>+VLOOKUP(C58,'Tong hop cong'!C54:V54,20,0)</f>
        <v>27</v>
      </c>
      <c r="N58" s="2078">
        <f>+VLOOKUP(C58,'Tong hop cong'!C54:W54,21,0)</f>
        <v>4</v>
      </c>
      <c r="O58" s="2078">
        <f>+VLOOKUP(C58,'Tong hop cong'!C54:X54,22,0)</f>
        <v>0</v>
      </c>
      <c r="P58" s="2078">
        <f>+VLOOKUP(C58,'Tong hop cong'!C54:Y54,22,0)</f>
        <v>0</v>
      </c>
      <c r="Q58" s="2078">
        <f t="shared" si="13"/>
        <v>31</v>
      </c>
      <c r="R58" s="2078">
        <f t="shared" si="14"/>
        <v>31</v>
      </c>
      <c r="S58" s="2080">
        <f t="shared" si="15"/>
        <v>2258308.7999999998</v>
      </c>
      <c r="T58" s="2080"/>
      <c r="U58" s="2080">
        <f t="shared" si="10"/>
        <v>6171074.4259918369</v>
      </c>
      <c r="V58" s="2081">
        <f t="shared" si="11"/>
        <v>6171074.4259918369</v>
      </c>
      <c r="W58" s="2454" t="s">
        <v>1573</v>
      </c>
    </row>
    <row r="59" spans="1:23" s="1543" customFormat="1" ht="27.75" customHeight="1">
      <c r="A59" s="2073">
        <v>42</v>
      </c>
      <c r="B59" s="2284">
        <v>5</v>
      </c>
      <c r="C59" s="2099" t="str">
        <f>'Chấm công công nhân'!L54</f>
        <v>Nàng Nơm</v>
      </c>
      <c r="D59" s="2074" t="e">
        <f>VLOOKUP(C59,'Mã số NV'!$B$6:$D$53,3,0)</f>
        <v>#N/A</v>
      </c>
      <c r="E59" s="2075" t="s">
        <v>40</v>
      </c>
      <c r="F59" s="2075"/>
      <c r="G59" s="2076">
        <f>VLOOKUP(C59,'Tong hop cong'!C55:R55,16,0)</f>
        <v>0</v>
      </c>
      <c r="H59" s="2077">
        <f t="shared" si="12"/>
        <v>0</v>
      </c>
      <c r="I59" s="2077">
        <f>+VLOOKUP(C59,'Tong hop cong'!C55:S55,17,0)</f>
        <v>2389</v>
      </c>
      <c r="J59" s="2076">
        <f>+VLOOKUP(C59,'Tong hop cong'!C55:U55,19,0)</f>
        <v>1026.2283433754455</v>
      </c>
      <c r="K59" s="2079" t="str">
        <f>VLOOKUP(C59,'Tong hop cong'!C55:AA55,25,0)</f>
        <v>A</v>
      </c>
      <c r="L59" s="2080">
        <f t="shared" si="9"/>
        <v>4106555.3388511827</v>
      </c>
      <c r="M59" s="2078">
        <f>+VLOOKUP(C59,'Tong hop cong'!C55:V55,20,0)</f>
        <v>27</v>
      </c>
      <c r="N59" s="2078">
        <f>+VLOOKUP(C59,'Tong hop cong'!C55:W55,21,0)</f>
        <v>4</v>
      </c>
      <c r="O59" s="2078">
        <f>+VLOOKUP(C59,'Tong hop cong'!C55:X55,22,0)</f>
        <v>0</v>
      </c>
      <c r="P59" s="2078">
        <f>+VLOOKUP(C59,'Tong hop cong'!C55:Y55,22,0)</f>
        <v>0</v>
      </c>
      <c r="Q59" s="2078">
        <f t="shared" si="13"/>
        <v>31</v>
      </c>
      <c r="R59" s="2078">
        <f t="shared" si="14"/>
        <v>31</v>
      </c>
      <c r="S59" s="2080">
        <f t="shared" si="15"/>
        <v>2258308.7999999998</v>
      </c>
      <c r="T59" s="2080"/>
      <c r="U59" s="2080">
        <f t="shared" si="10"/>
        <v>6364864.1388511825</v>
      </c>
      <c r="V59" s="2081">
        <f t="shared" si="11"/>
        <v>6364864.1388511825</v>
      </c>
      <c r="W59" s="2454" t="s">
        <v>1573</v>
      </c>
    </row>
    <row r="60" spans="1:23" s="1543" customFormat="1" ht="27.75" customHeight="1">
      <c r="A60" s="2073">
        <v>43</v>
      </c>
      <c r="B60" s="2285">
        <v>6</v>
      </c>
      <c r="C60" s="2099" t="str">
        <f>'Chấm công công nhân'!L55</f>
        <v>Thảo Ây</v>
      </c>
      <c r="D60" s="2074" t="e">
        <f>VLOOKUP(C60,'Mã số NV'!$B$6:$D$53,3,0)</f>
        <v>#N/A</v>
      </c>
      <c r="E60" s="2075" t="s">
        <v>40</v>
      </c>
      <c r="F60" s="2075"/>
      <c r="G60" s="2076">
        <f>VLOOKUP(C60,'Tong hop cong'!C56:R56,16,0)</f>
        <v>0</v>
      </c>
      <c r="H60" s="2077">
        <f t="shared" si="12"/>
        <v>0</v>
      </c>
      <c r="I60" s="2077">
        <f>+VLOOKUP(C60,'Tong hop cong'!C56:S56,17,0)</f>
        <v>2378</v>
      </c>
      <c r="J60" s="2076">
        <f>+VLOOKUP(C60,'Tong hop cong'!C56:U56,19,0)</f>
        <v>1021.503139617752</v>
      </c>
      <c r="K60" s="2079" t="str">
        <f>VLOOKUP(C60,'Tong hop cong'!C56:AA56,25,0)</f>
        <v>A</v>
      </c>
      <c r="L60" s="2080">
        <f t="shared" si="9"/>
        <v>4087646.9634943963</v>
      </c>
      <c r="M60" s="2078">
        <f>+VLOOKUP(C60,'Tong hop cong'!C56:V56,20,0)</f>
        <v>27</v>
      </c>
      <c r="N60" s="2078">
        <f>+VLOOKUP(C60,'Tong hop cong'!C56:W56,21,0)</f>
        <v>4</v>
      </c>
      <c r="O60" s="2078">
        <f>+VLOOKUP(C60,'Tong hop cong'!C56:X56,22,0)</f>
        <v>0</v>
      </c>
      <c r="P60" s="2078">
        <f>+VLOOKUP(C60,'Tong hop cong'!C56:Y56,22,0)</f>
        <v>0</v>
      </c>
      <c r="Q60" s="2078">
        <f t="shared" si="13"/>
        <v>31</v>
      </c>
      <c r="R60" s="2078">
        <f t="shared" si="14"/>
        <v>31</v>
      </c>
      <c r="S60" s="2080">
        <f t="shared" si="15"/>
        <v>2258308.7999999998</v>
      </c>
      <c r="T60" s="2080"/>
      <c r="U60" s="2080">
        <f t="shared" si="10"/>
        <v>6345955.7634943966</v>
      </c>
      <c r="V60" s="2081">
        <f t="shared" si="11"/>
        <v>6345955.7634943966</v>
      </c>
      <c r="W60" s="2454" t="s">
        <v>1573</v>
      </c>
    </row>
    <row r="61" spans="1:23" s="1543" customFormat="1" ht="27.75" customHeight="1">
      <c r="A61" s="2073">
        <v>44</v>
      </c>
      <c r="B61" s="2284">
        <v>7</v>
      </c>
      <c r="C61" s="2099" t="str">
        <f>'Chấm công công nhân'!L56</f>
        <v>Thảo Âm Thong</v>
      </c>
      <c r="D61" s="2074" t="e">
        <f>VLOOKUP(C61,'Mã số NV'!$B$6:$D$53,3,0)</f>
        <v>#N/A</v>
      </c>
      <c r="E61" s="2075" t="s">
        <v>40</v>
      </c>
      <c r="F61" s="2075"/>
      <c r="G61" s="2076">
        <f>VLOOKUP(C61,'Tong hop cong'!C57:R57,16,0)</f>
        <v>0</v>
      </c>
      <c r="H61" s="2077">
        <f t="shared" si="12"/>
        <v>0</v>
      </c>
      <c r="I61" s="2077">
        <f>+VLOOKUP(C61,'Tong hop cong'!C57:S57,17,0)</f>
        <v>2010</v>
      </c>
      <c r="J61" s="2076">
        <f>+VLOOKUP(C61,'Tong hop cong'!C57:U57,19,0)</f>
        <v>863.42359572400392</v>
      </c>
      <c r="K61" s="2079" t="str">
        <f>VLOOKUP(C61,'Tong hop cong'!C57:AA57,25,0)</f>
        <v>C</v>
      </c>
      <c r="L61" s="2080">
        <f t="shared" si="9"/>
        <v>3115232.333372206</v>
      </c>
      <c r="M61" s="2078">
        <f>+VLOOKUP(C61,'Tong hop cong'!C57:V57,20,0)</f>
        <v>24</v>
      </c>
      <c r="N61" s="2078">
        <f>+VLOOKUP(C61,'Tong hop cong'!C57:W57,21,0)</f>
        <v>3</v>
      </c>
      <c r="O61" s="2078">
        <f>+VLOOKUP(C61,'Tong hop cong'!C57:X57,22,0)</f>
        <v>0</v>
      </c>
      <c r="P61" s="2078">
        <f>+VLOOKUP(C61,'Tong hop cong'!C57:Y57,22,0)</f>
        <v>0</v>
      </c>
      <c r="Q61" s="2078">
        <f t="shared" si="13"/>
        <v>27</v>
      </c>
      <c r="R61" s="2078">
        <f t="shared" si="14"/>
        <v>27</v>
      </c>
      <c r="S61" s="2080">
        <f t="shared" si="15"/>
        <v>1957137.6</v>
      </c>
      <c r="T61" s="2080"/>
      <c r="U61" s="2080">
        <f t="shared" si="10"/>
        <v>5072369.9333722061</v>
      </c>
      <c r="V61" s="2081">
        <f t="shared" si="11"/>
        <v>5072369.9333722061</v>
      </c>
      <c r="W61" s="2454" t="s">
        <v>1573</v>
      </c>
    </row>
    <row r="62" spans="1:23" s="1543" customFormat="1" ht="27.75" customHeight="1">
      <c r="A62" s="2073">
        <v>45</v>
      </c>
      <c r="B62" s="2285">
        <v>8</v>
      </c>
      <c r="C62" s="2099" t="str">
        <f>'Chấm công công nhân'!L57</f>
        <v>Nàng phon</v>
      </c>
      <c r="D62" s="2074" t="e">
        <f>VLOOKUP(C62,'Mã số NV'!$B$6:$D$53,3,0)</f>
        <v>#N/A</v>
      </c>
      <c r="E62" s="2075" t="s">
        <v>40</v>
      </c>
      <c r="F62" s="2075"/>
      <c r="G62" s="2076">
        <f>VLOOKUP(C62,'Tong hop cong'!C58:R58,16,0)</f>
        <v>0</v>
      </c>
      <c r="H62" s="2077">
        <f t="shared" si="12"/>
        <v>0</v>
      </c>
      <c r="I62" s="2077">
        <f>+VLOOKUP(C62,'Tong hop cong'!C58:S58,17,0)</f>
        <v>2214</v>
      </c>
      <c r="J62" s="2076">
        <f>+VLOOKUP(C62,'Tong hop cong'!C58:U58,19,0)</f>
        <v>951.05464723032082</v>
      </c>
      <c r="K62" s="2079" t="str">
        <f>VLOOKUP(C62,'Tong hop cong'!C58:AA58,25,0)</f>
        <v>B</v>
      </c>
      <c r="L62" s="2080">
        <f t="shared" si="9"/>
        <v>3618572.7217819244</v>
      </c>
      <c r="M62" s="2078">
        <f>+VLOOKUP(C62,'Tong hop cong'!C58:V58,20,0)</f>
        <v>24</v>
      </c>
      <c r="N62" s="2078">
        <f>+VLOOKUP(C62,'Tong hop cong'!C58:W58,21,0)</f>
        <v>4</v>
      </c>
      <c r="O62" s="2078">
        <f>+VLOOKUP(C62,'Tong hop cong'!C58:X58,22,0)</f>
        <v>0</v>
      </c>
      <c r="P62" s="2078">
        <f>+VLOOKUP(C62,'Tong hop cong'!C58:Y58,22,0)</f>
        <v>0</v>
      </c>
      <c r="Q62" s="2078">
        <f t="shared" si="13"/>
        <v>28</v>
      </c>
      <c r="R62" s="2078">
        <f t="shared" si="14"/>
        <v>28</v>
      </c>
      <c r="S62" s="2080">
        <f t="shared" si="15"/>
        <v>2047584</v>
      </c>
      <c r="T62" s="2080"/>
      <c r="U62" s="2080">
        <f t="shared" si="10"/>
        <v>5666156.7217819244</v>
      </c>
      <c r="V62" s="2081">
        <f t="shared" si="11"/>
        <v>5666156.7217819244</v>
      </c>
      <c r="W62" s="2454" t="s">
        <v>1573</v>
      </c>
    </row>
    <row r="63" spans="1:23" s="1543" customFormat="1" ht="27.75" customHeight="1">
      <c r="A63" s="2073">
        <v>46</v>
      </c>
      <c r="B63" s="2284">
        <v>9</v>
      </c>
      <c r="C63" s="2099" t="str">
        <f>'Chấm công công nhân'!L58</f>
        <v>Thảo phắt</v>
      </c>
      <c r="D63" s="2074"/>
      <c r="E63" s="2075" t="s">
        <v>40</v>
      </c>
      <c r="F63" s="2075"/>
      <c r="G63" s="2076">
        <f>VLOOKUP(C63,'Tong hop cong'!C59:R59,16,0)</f>
        <v>0</v>
      </c>
      <c r="H63" s="2077">
        <f t="shared" si="12"/>
        <v>0</v>
      </c>
      <c r="I63" s="2077">
        <f>+VLOOKUP(C63,'Tong hop cong'!C59:S59,17,0)</f>
        <v>2568</v>
      </c>
      <c r="J63" s="2076">
        <f>+VLOOKUP(C63,'Tong hop cong'!C59:U59,19,0)</f>
        <v>1103.1202954324588</v>
      </c>
      <c r="K63" s="2079" t="str">
        <f>VLOOKUP(C63,'Tong hop cong'!C59:AA59,25,0)</f>
        <v>B</v>
      </c>
      <c r="L63" s="2080">
        <f t="shared" si="9"/>
        <v>4197152.1000614185</v>
      </c>
      <c r="M63" s="2078">
        <f>+VLOOKUP(C63,'Tong hop cong'!C59:V59,20,0)</f>
        <v>27</v>
      </c>
      <c r="N63" s="2078">
        <f>+VLOOKUP(C63,'Tong hop cong'!C59:W59,21,0)</f>
        <v>4</v>
      </c>
      <c r="O63" s="2078">
        <f>+VLOOKUP(C63,'Tong hop cong'!C59:X59,22,0)</f>
        <v>0</v>
      </c>
      <c r="P63" s="2078">
        <f>+VLOOKUP(C63,'Tong hop cong'!C59:Y59,22,0)</f>
        <v>0</v>
      </c>
      <c r="Q63" s="2078">
        <f t="shared" si="13"/>
        <v>31</v>
      </c>
      <c r="R63" s="2078">
        <f t="shared" si="14"/>
        <v>31</v>
      </c>
      <c r="S63" s="2080">
        <f t="shared" si="15"/>
        <v>2258308.7999999998</v>
      </c>
      <c r="T63" s="2080"/>
      <c r="U63" s="2080">
        <f t="shared" si="10"/>
        <v>6455460.9000614183</v>
      </c>
      <c r="V63" s="2081">
        <f t="shared" si="11"/>
        <v>6455460.9000614183</v>
      </c>
      <c r="W63" s="2454" t="s">
        <v>1573</v>
      </c>
    </row>
    <row r="64" spans="1:23" s="1543" customFormat="1" ht="27.75" customHeight="1">
      <c r="A64" s="2073">
        <v>47</v>
      </c>
      <c r="B64" s="2285">
        <v>10</v>
      </c>
      <c r="C64" s="2099" t="str">
        <f>'Chấm công công nhân'!L59</f>
        <v>Thảo Phon Say</v>
      </c>
      <c r="D64" s="2074"/>
      <c r="E64" s="2075" t="s">
        <v>40</v>
      </c>
      <c r="F64" s="2075"/>
      <c r="G64" s="2076">
        <f>VLOOKUP(C64,'Tong hop cong'!C60:R60,16,0)</f>
        <v>0</v>
      </c>
      <c r="H64" s="2077">
        <f t="shared" si="12"/>
        <v>0</v>
      </c>
      <c r="I64" s="2077">
        <f>+VLOOKUP(C64,'Tong hop cong'!C60:S60,17,0)</f>
        <v>2663</v>
      </c>
      <c r="J64" s="2076">
        <f>+VLOOKUP(C64,'Tong hop cong'!C60:U60,19,0)</f>
        <v>1143.9288733398123</v>
      </c>
      <c r="K64" s="2079" t="str">
        <f>VLOOKUP(C64,'Tong hop cong'!C60:AA60,25,0)</f>
        <v>B</v>
      </c>
      <c r="L64" s="2080">
        <f t="shared" si="9"/>
        <v>4352420.5772833172</v>
      </c>
      <c r="M64" s="2078">
        <f>+VLOOKUP(C64,'Tong hop cong'!C60:V60,20,0)</f>
        <v>27</v>
      </c>
      <c r="N64" s="2078">
        <f>+VLOOKUP(C64,'Tong hop cong'!C60:W60,21,0)</f>
        <v>4</v>
      </c>
      <c r="O64" s="2078">
        <f>+VLOOKUP(C64,'Tong hop cong'!C60:X60,22,0)</f>
        <v>0</v>
      </c>
      <c r="P64" s="2078">
        <f>+VLOOKUP(C64,'Tong hop cong'!C60:Y60,22,0)</f>
        <v>0</v>
      </c>
      <c r="Q64" s="2078">
        <f t="shared" si="13"/>
        <v>31</v>
      </c>
      <c r="R64" s="2078">
        <f t="shared" si="14"/>
        <v>31</v>
      </c>
      <c r="S64" s="2080">
        <f t="shared" si="15"/>
        <v>2258308.7999999998</v>
      </c>
      <c r="T64" s="2080"/>
      <c r="U64" s="2080">
        <f t="shared" si="10"/>
        <v>6610729.377283317</v>
      </c>
      <c r="V64" s="2081">
        <f t="shared" si="11"/>
        <v>6610729.377283317</v>
      </c>
      <c r="W64" s="2454" t="s">
        <v>1573</v>
      </c>
    </row>
    <row r="65" spans="1:28" s="1543" customFormat="1" ht="27.75" customHeight="1">
      <c r="A65" s="2073">
        <v>48</v>
      </c>
      <c r="B65" s="2284">
        <v>11</v>
      </c>
      <c r="C65" s="2099" t="str">
        <f>'Chấm công công nhân'!L60</f>
        <v>Nàng Pít</v>
      </c>
      <c r="D65" s="2074" t="e">
        <f>VLOOKUP(C65,'Mã số NV'!$B$6:$D$53,3,0)</f>
        <v>#N/A</v>
      </c>
      <c r="E65" s="2075" t="s">
        <v>40</v>
      </c>
      <c r="F65" s="2075"/>
      <c r="G65" s="2076">
        <f>VLOOKUP(C65,'Tong hop cong'!C61:R61,16,0)</f>
        <v>0</v>
      </c>
      <c r="H65" s="2077">
        <f t="shared" si="12"/>
        <v>0</v>
      </c>
      <c r="I65" s="2077">
        <f>+VLOOKUP(C65,'Tong hop cong'!C61:S61,17,0)</f>
        <v>2289</v>
      </c>
      <c r="J65" s="2076">
        <f>+VLOOKUP(C65,'Tong hop cong'!C61:U61,19,0)</f>
        <v>983.27194557823134</v>
      </c>
      <c r="K65" s="2079" t="str">
        <f>VLOOKUP(C65,'Tong hop cong'!C61:AA61,25,0)</f>
        <v>C</v>
      </c>
      <c r="L65" s="2080">
        <f t="shared" si="9"/>
        <v>3547645.1796462587</v>
      </c>
      <c r="M65" s="2078">
        <f>+VLOOKUP(C65,'Tong hop cong'!C61:V61,20,0)</f>
        <v>26</v>
      </c>
      <c r="N65" s="2078">
        <f>+VLOOKUP(C65,'Tong hop cong'!C61:W61,21,0)</f>
        <v>4</v>
      </c>
      <c r="O65" s="2078">
        <f>+VLOOKUP(C65,'Tong hop cong'!C61:X61,22,0)</f>
        <v>0</v>
      </c>
      <c r="P65" s="2078">
        <f>+VLOOKUP(C65,'Tong hop cong'!C61:Y61,22,0)</f>
        <v>0</v>
      </c>
      <c r="Q65" s="2078">
        <f t="shared" si="13"/>
        <v>30</v>
      </c>
      <c r="R65" s="2078">
        <f t="shared" si="14"/>
        <v>30</v>
      </c>
      <c r="S65" s="2080">
        <f t="shared" si="15"/>
        <v>2188067.2000000002</v>
      </c>
      <c r="T65" s="2080"/>
      <c r="U65" s="2080">
        <f t="shared" si="10"/>
        <v>5735712.3796462584</v>
      </c>
      <c r="V65" s="2081">
        <f t="shared" si="11"/>
        <v>5735712.3796462584</v>
      </c>
      <c r="W65" s="2454" t="s">
        <v>1573</v>
      </c>
    </row>
    <row r="66" spans="1:28" s="1543" customFormat="1" ht="27.75" customHeight="1">
      <c r="A66" s="2073">
        <v>49</v>
      </c>
      <c r="B66" s="2285">
        <v>12</v>
      </c>
      <c r="C66" s="2099" t="str">
        <f>'Chấm công công nhân'!L61</f>
        <v>Thảo út</v>
      </c>
      <c r="D66" s="2074" t="e">
        <f>VLOOKUP(C66,'Mã số NV'!$B$6:$D$53,3,0)</f>
        <v>#N/A</v>
      </c>
      <c r="E66" s="2075" t="s">
        <v>40</v>
      </c>
      <c r="F66" s="2075"/>
      <c r="G66" s="2076">
        <f>VLOOKUP(C66,'Tong hop cong'!C62:R62,16,0)</f>
        <v>0</v>
      </c>
      <c r="H66" s="2077">
        <f t="shared" si="12"/>
        <v>0</v>
      </c>
      <c r="I66" s="2077">
        <f>+VLOOKUP(C66,'Tong hop cong'!C62:S62,17,0)</f>
        <v>2619</v>
      </c>
      <c r="J66" s="2076">
        <f>+VLOOKUP(C66,'Tong hop cong'!C62:U62,19,0)</f>
        <v>1125.028058309038</v>
      </c>
      <c r="K66" s="2079" t="str">
        <f>VLOOKUP(C66,'Tong hop cong'!C62:AA62,25,0)</f>
        <v>A</v>
      </c>
      <c r="L66" s="2080">
        <f t="shared" si="9"/>
        <v>4501912.2781294463</v>
      </c>
      <c r="M66" s="2078">
        <f>+VLOOKUP(C66,'Tong hop cong'!C62:V62,20,0)</f>
        <v>27</v>
      </c>
      <c r="N66" s="2078">
        <f>+VLOOKUP(C66,'Tong hop cong'!C62:W62,21,0)</f>
        <v>4</v>
      </c>
      <c r="O66" s="2078">
        <f>+VLOOKUP(C66,'Tong hop cong'!C62:X62,22,0)</f>
        <v>0</v>
      </c>
      <c r="P66" s="2078">
        <f>+VLOOKUP(C66,'Tong hop cong'!C62:Y62,22,0)</f>
        <v>0</v>
      </c>
      <c r="Q66" s="2078">
        <f t="shared" si="13"/>
        <v>31</v>
      </c>
      <c r="R66" s="2078">
        <f t="shared" si="14"/>
        <v>31</v>
      </c>
      <c r="S66" s="2080">
        <f t="shared" si="15"/>
        <v>2258308.7999999998</v>
      </c>
      <c r="T66" s="2080"/>
      <c r="U66" s="2080">
        <f t="shared" si="10"/>
        <v>6760221.0781294461</v>
      </c>
      <c r="V66" s="2081">
        <f t="shared" si="11"/>
        <v>6760221.0781294461</v>
      </c>
      <c r="W66" s="2454" t="s">
        <v>1573</v>
      </c>
    </row>
    <row r="67" spans="1:28" s="1543" customFormat="1" ht="27.75" customHeight="1">
      <c r="A67" s="2073">
        <v>50</v>
      </c>
      <c r="B67" s="2284">
        <v>13</v>
      </c>
      <c r="C67" s="2099" t="str">
        <f>'Chấm công công nhân'!L62</f>
        <v>Nàng ăm</v>
      </c>
      <c r="D67" s="2074"/>
      <c r="E67" s="2075" t="s">
        <v>40</v>
      </c>
      <c r="F67" s="2075"/>
      <c r="G67" s="2076">
        <f>VLOOKUP(C67,'Tong hop cong'!C63:R63,16,0)</f>
        <v>0</v>
      </c>
      <c r="H67" s="2077">
        <f t="shared" si="12"/>
        <v>0</v>
      </c>
      <c r="I67" s="2077">
        <f>+VLOOKUP(C67,'Tong hop cong'!C63:S63,17,0)</f>
        <v>2763</v>
      </c>
      <c r="J67" s="2076">
        <f>+VLOOKUP(C67,'Tong hop cong'!C63:U63,19,0)</f>
        <v>1186.8852711370264</v>
      </c>
      <c r="K67" s="2079" t="str">
        <f>VLOOKUP(C67,'Tong hop cong'!C63:AA63,25,0)</f>
        <v>B</v>
      </c>
      <c r="L67" s="2080">
        <f t="shared" si="9"/>
        <v>4515861.0796221578</v>
      </c>
      <c r="M67" s="2078">
        <f>+VLOOKUP(C67,'Tong hop cong'!C63:V63,20,0)</f>
        <v>23</v>
      </c>
      <c r="N67" s="2078">
        <f>+VLOOKUP(C67,'Tong hop cong'!C63:W63,21,0)</f>
        <v>4</v>
      </c>
      <c r="O67" s="2078">
        <f>+VLOOKUP(C67,'Tong hop cong'!C63:X63,22,0)</f>
        <v>0</v>
      </c>
      <c r="P67" s="2078">
        <f>+VLOOKUP(C67,'Tong hop cong'!C63:Y63,22,0)</f>
        <v>0</v>
      </c>
      <c r="Q67" s="2078">
        <f t="shared" si="13"/>
        <v>27</v>
      </c>
      <c r="R67" s="2078">
        <f t="shared" si="14"/>
        <v>27</v>
      </c>
      <c r="S67" s="2080">
        <f t="shared" si="15"/>
        <v>1977342.4</v>
      </c>
      <c r="T67" s="2080"/>
      <c r="U67" s="2080">
        <f t="shared" si="10"/>
        <v>6493203.4796221573</v>
      </c>
      <c r="V67" s="2081">
        <f t="shared" si="11"/>
        <v>6493203.4796221573</v>
      </c>
      <c r="W67" s="2454" t="s">
        <v>1573</v>
      </c>
    </row>
    <row r="68" spans="1:28" s="1543" customFormat="1" ht="33" customHeight="1">
      <c r="A68" s="2073">
        <v>51</v>
      </c>
      <c r="B68" s="2285">
        <v>14</v>
      </c>
      <c r="C68" s="2099" t="str">
        <f>'Chấm công công nhân'!L63</f>
        <v>Nàng Phìn</v>
      </c>
      <c r="D68" s="2074"/>
      <c r="E68" s="2075" t="s">
        <v>40</v>
      </c>
      <c r="F68" s="2075"/>
      <c r="G68" s="2076">
        <f>VLOOKUP(C68,'Tong hop cong'!C64:R64,16,0)</f>
        <v>0</v>
      </c>
      <c r="H68" s="2077">
        <f t="shared" si="12"/>
        <v>0</v>
      </c>
      <c r="I68" s="2077">
        <f>+VLOOKUP(C68,'Tong hop cong'!C64:S64,17,0)</f>
        <v>2656</v>
      </c>
      <c r="J68" s="2076">
        <f>+VLOOKUP(C68,'Tong hop cong'!C64:U64,19,0)</f>
        <v>1140.9219254940074</v>
      </c>
      <c r="K68" s="2079" t="str">
        <f>VLOOKUP(C68,'Tong hop cong'!C64:AA64,25,0)</f>
        <v>A</v>
      </c>
      <c r="L68" s="2080">
        <f t="shared" si="9"/>
        <v>4565513.1770568201</v>
      </c>
      <c r="M68" s="2078">
        <f>+VLOOKUP(C68,'Tong hop cong'!C64:V64,20,0)</f>
        <v>27</v>
      </c>
      <c r="N68" s="2078">
        <f>+VLOOKUP(C68,'Tong hop cong'!C64:W64,21,0)</f>
        <v>4</v>
      </c>
      <c r="O68" s="2078">
        <f>+VLOOKUP(C68,'Tong hop cong'!C64:X64,22,0)</f>
        <v>0</v>
      </c>
      <c r="P68" s="2078">
        <f>+VLOOKUP(C68,'Tong hop cong'!C64:Y64,22,0)</f>
        <v>0</v>
      </c>
      <c r="Q68" s="2078">
        <f t="shared" si="13"/>
        <v>31</v>
      </c>
      <c r="R68" s="2078">
        <f t="shared" si="14"/>
        <v>31</v>
      </c>
      <c r="S68" s="2080">
        <f t="shared" si="15"/>
        <v>2258308.7999999998</v>
      </c>
      <c r="T68" s="2080"/>
      <c r="U68" s="2080">
        <f t="shared" si="10"/>
        <v>6823821.9770568199</v>
      </c>
      <c r="V68" s="2081">
        <f t="shared" si="11"/>
        <v>6823821.9770568199</v>
      </c>
      <c r="W68" s="2454" t="s">
        <v>1573</v>
      </c>
    </row>
    <row r="69" spans="1:28" s="1543" customFormat="1" ht="33" customHeight="1">
      <c r="A69" s="2073">
        <v>52</v>
      </c>
      <c r="B69" s="2284">
        <v>15</v>
      </c>
      <c r="C69" s="2099" t="str">
        <f>'Chấm công công nhân'!L64</f>
        <v>May</v>
      </c>
      <c r="D69" s="2074"/>
      <c r="E69" s="2075" t="s">
        <v>40</v>
      </c>
      <c r="F69" s="2075"/>
      <c r="G69" s="2076">
        <f>VLOOKUP(C69,'Tong hop cong'!C65:R65,16,0)</f>
        <v>0</v>
      </c>
      <c r="H69" s="2077">
        <f t="shared" si="12"/>
        <v>0</v>
      </c>
      <c r="I69" s="2077">
        <f>+VLOOKUP(C69,'Tong hop cong'!C65:S65,17,0)</f>
        <v>2811</v>
      </c>
      <c r="J69" s="2076">
        <f>+VLOOKUP(C69,'Tong hop cong'!C65:U65,19,0)</f>
        <v>1207.5043420796892</v>
      </c>
      <c r="K69" s="2079" t="str">
        <f>VLOOKUP(C69,'Tong hop cong'!C65:AA65,25,0)</f>
        <v>A</v>
      </c>
      <c r="L69" s="2080">
        <f t="shared" si="9"/>
        <v>4831949.3752660844</v>
      </c>
      <c r="M69" s="2078">
        <f>+VLOOKUP(C69,'Tong hop cong'!C65:V65,20,0)</f>
        <v>24</v>
      </c>
      <c r="N69" s="2078">
        <f>+VLOOKUP(C69,'Tong hop cong'!C65:W65,21,0)</f>
        <v>4</v>
      </c>
      <c r="O69" s="2078">
        <f>+VLOOKUP(C69,'Tong hop cong'!C65:X65,22,0)</f>
        <v>0</v>
      </c>
      <c r="P69" s="2078">
        <f>+VLOOKUP(C69,'Tong hop cong'!C65:Y65,22,0)</f>
        <v>0</v>
      </c>
      <c r="Q69" s="2078">
        <f t="shared" si="13"/>
        <v>28</v>
      </c>
      <c r="R69" s="2078">
        <f t="shared" si="14"/>
        <v>28</v>
      </c>
      <c r="S69" s="2080">
        <f t="shared" si="15"/>
        <v>2047584</v>
      </c>
      <c r="T69" s="2080"/>
      <c r="U69" s="2080">
        <f t="shared" si="10"/>
        <v>6879533.3752660844</v>
      </c>
      <c r="V69" s="2081">
        <f t="shared" si="11"/>
        <v>6879533.3752660844</v>
      </c>
      <c r="W69" s="2454" t="s">
        <v>1573</v>
      </c>
    </row>
    <row r="70" spans="1:28" s="2180" customFormat="1" ht="26.25" hidden="1" customHeight="1">
      <c r="A70" s="2073">
        <v>53</v>
      </c>
      <c r="B70" s="3451">
        <v>16</v>
      </c>
      <c r="C70" s="2175" t="str">
        <f>'Tong hop cong'!C66</f>
        <v>Thảo e</v>
      </c>
      <c r="D70" s="2176"/>
      <c r="E70" s="2177"/>
      <c r="F70" s="2177"/>
      <c r="G70" s="2076">
        <f>VLOOKUP(C70,'Tong hop cong'!C66:R66,16,0)</f>
        <v>0</v>
      </c>
      <c r="H70" s="2077">
        <f t="shared" si="12"/>
        <v>0</v>
      </c>
      <c r="I70" s="2077"/>
      <c r="J70" s="2076">
        <f>+VLOOKUP(C70,'Tong hop cong'!C66:U80,18,0)</f>
        <v>0</v>
      </c>
      <c r="K70" s="2079">
        <f>+VLOOKUP(C70,'Tong hop cong'!C66:AA66,24,0)</f>
        <v>0</v>
      </c>
      <c r="L70" s="2178"/>
      <c r="M70" s="2078">
        <f>+VLOOKUP(C70,'Tong hop cong'!C66:V66,19,0)</f>
        <v>0</v>
      </c>
      <c r="N70" s="2078">
        <f>+VLOOKUP(C70,'Tong hop cong'!C66:W66,21,0)</f>
        <v>0</v>
      </c>
      <c r="O70" s="2078">
        <f>+VLOOKUP(C70,'Tong hop cong'!C66:X66,21,0)</f>
        <v>0</v>
      </c>
      <c r="P70" s="2078">
        <f>+VLOOKUP(C70,'Tong hop cong'!C66:Y66,22,0)</f>
        <v>0</v>
      </c>
      <c r="Q70" s="2078">
        <f t="shared" si="13"/>
        <v>0</v>
      </c>
      <c r="R70" s="2078">
        <f t="shared" si="14"/>
        <v>0</v>
      </c>
      <c r="S70" s="2080">
        <f t="shared" si="15"/>
        <v>0</v>
      </c>
      <c r="T70" s="2178"/>
      <c r="U70" s="2178">
        <f t="shared" si="10"/>
        <v>0</v>
      </c>
      <c r="V70" s="2179">
        <f t="shared" si="11"/>
        <v>0</v>
      </c>
      <c r="W70" s="2454" t="s">
        <v>1573</v>
      </c>
      <c r="Y70" s="2180">
        <v>688.6</v>
      </c>
    </row>
    <row r="71" spans="1:28" s="2587" customFormat="1" ht="26.25" customHeight="1">
      <c r="A71" s="2072" t="s">
        <v>53</v>
      </c>
      <c r="B71" s="3941" t="s">
        <v>371</v>
      </c>
      <c r="C71" s="3941"/>
      <c r="D71" s="2072"/>
      <c r="E71" s="2072"/>
      <c r="F71" s="2072"/>
      <c r="G71" s="2072">
        <f>SUM(G72:G88)</f>
        <v>0</v>
      </c>
      <c r="H71" s="3102">
        <f>SUM(H72:H88)</f>
        <v>0</v>
      </c>
      <c r="I71" s="3102">
        <f>SUM(I72:I88)</f>
        <v>24342</v>
      </c>
      <c r="J71" s="3102">
        <f>SUM(J72:J88)</f>
        <v>11489.905999999999</v>
      </c>
      <c r="K71" s="3102"/>
      <c r="L71" s="3102">
        <f>SUM(L72:L88)</f>
        <v>49791285.896097407</v>
      </c>
      <c r="M71" s="3102">
        <f>SUM(M72:M88)</f>
        <v>305</v>
      </c>
      <c r="N71" s="3102">
        <f>SUM(N72:N88)</f>
        <v>41</v>
      </c>
      <c r="O71" s="3102">
        <f>SUM(O72:O88)</f>
        <v>0</v>
      </c>
      <c r="P71" s="3102">
        <f>SUM(P72:P88)</f>
        <v>0</v>
      </c>
      <c r="Q71" s="3579">
        <f t="shared" ref="Q71:R71" si="16">SUM(Q72:Q88)</f>
        <v>0</v>
      </c>
      <c r="R71" s="3579">
        <f t="shared" si="16"/>
        <v>346</v>
      </c>
      <c r="S71" s="3102">
        <f>SUM(S72:S88)</f>
        <v>41520000</v>
      </c>
      <c r="T71" s="3102">
        <f>SUM(T72:T88)</f>
        <v>0</v>
      </c>
      <c r="U71" s="3102">
        <f>SUM(U72:U88)</f>
        <v>91311285.896097392</v>
      </c>
      <c r="V71" s="3102">
        <f>SUM(V72:V88)</f>
        <v>91311285.896097392</v>
      </c>
      <c r="W71" s="2453"/>
    </row>
    <row r="72" spans="1:28" s="1544" customFormat="1" ht="27.75" customHeight="1">
      <c r="A72" s="2073">
        <v>54</v>
      </c>
      <c r="B72" s="3440">
        <v>1</v>
      </c>
      <c r="C72" s="3447" t="str">
        <f>'Chấm công công nhân'!L66</f>
        <v>Phò Đăm</v>
      </c>
      <c r="D72" s="2074" t="e">
        <f>VLOOKUP(C72,'Mã số NV'!$B$6:$D$53,3,0)</f>
        <v>#N/A</v>
      </c>
      <c r="E72" s="2075" t="s">
        <v>40</v>
      </c>
      <c r="F72" s="2075"/>
      <c r="G72" s="3448">
        <f>VLOOKUP(C72,'Tong hop cong'!C68:R68,16,0)</f>
        <v>0</v>
      </c>
      <c r="H72" s="3449">
        <f>G72*25000</f>
        <v>0</v>
      </c>
      <c r="I72" s="2077">
        <f>+VLOOKUP(C72,'Tong hop cong'!C68:S68,17,0)</f>
        <v>2580</v>
      </c>
      <c r="J72" s="2076">
        <f>+VLOOKUP(C72,'Tong hop cong'!C68:U68,19,0)</f>
        <v>1217.8110870101059</v>
      </c>
      <c r="K72" s="2079" t="str">
        <f>VLOOKUP(C72,'Tong hop cong'!C68:AA68,25,0)</f>
        <v>A</v>
      </c>
      <c r="L72" s="2080">
        <f t="shared" ref="L72:L88" si="17">IF(K72="A",(J72*((6.1+0.6)*$E$10)),IF(K72="B",(J72*((5.8+0.6)*$E$10)),IF(K72="C",(J72*((5.5+0.6)*$E$10)),IF(K72="D",(J72*((5.2+0.6)*$E$10)),0))))</f>
        <v>5352523.2896268172</v>
      </c>
      <c r="M72" s="2078">
        <f>+VLOOKUP(C72,'Tong hop cong'!C68:V68,20,0)</f>
        <v>17</v>
      </c>
      <c r="N72" s="2078">
        <f>+VLOOKUP(C72,'Tong hop cong'!C68:W68,21,0)</f>
        <v>3</v>
      </c>
      <c r="O72" s="2078">
        <f>+VLOOKUP(C72,'Tong hop cong'!C68:X68,22,0)</f>
        <v>0</v>
      </c>
      <c r="P72" s="2078">
        <f>+VLOOKUP(C72,'Tong hop cong'!C68:Y68,22,0)</f>
        <v>0</v>
      </c>
      <c r="Q72" s="2078"/>
      <c r="R72" s="2078">
        <f>M72+N72</f>
        <v>20</v>
      </c>
      <c r="S72" s="2080">
        <f>(M72+N72)*100000+Q72*$Y$15+R72*$Y$15</f>
        <v>2400000</v>
      </c>
      <c r="T72" s="2080"/>
      <c r="U72" s="2080">
        <f>H72+L72+S72+T72</f>
        <v>7752523.2896268172</v>
      </c>
      <c r="V72" s="2081">
        <f t="shared" ref="V72:V88" si="18">U72</f>
        <v>7752523.2896268172</v>
      </c>
      <c r="W72" s="2454" t="s">
        <v>1254</v>
      </c>
      <c r="X72" s="1618"/>
      <c r="Y72" s="2983"/>
      <c r="AB72" s="1619">
        <f>SUM(T72:T76)</f>
        <v>0</v>
      </c>
    </row>
    <row r="73" spans="1:28" s="1544" customFormat="1" ht="27.75" customHeight="1">
      <c r="A73" s="2073">
        <v>55</v>
      </c>
      <c r="B73" s="3440">
        <v>2</v>
      </c>
      <c r="C73" s="3450" t="str">
        <f>'Chấm công công nhân'!L67</f>
        <v>Thảo Mai</v>
      </c>
      <c r="D73" s="2074" t="e">
        <f>VLOOKUP(C73,'Mã số NV'!$B$6:$D$53,3,0)</f>
        <v>#N/A</v>
      </c>
      <c r="E73" s="2075" t="s">
        <v>40</v>
      </c>
      <c r="F73" s="2075"/>
      <c r="G73" s="3448">
        <f>VLOOKUP(C73,'Tong hop cong'!C69:R69,16,0)</f>
        <v>0</v>
      </c>
      <c r="H73" s="3449">
        <f t="shared" ref="H73:H84" si="19">G73*25000</f>
        <v>0</v>
      </c>
      <c r="I73" s="2077">
        <f>+VLOOKUP(C73,'Tong hop cong'!C69:S69,17,0)</f>
        <v>487</v>
      </c>
      <c r="J73" s="2076">
        <f>+VLOOKUP(C73,'Tong hop cong'!C69:U69,19,0)</f>
        <v>229.87364316818667</v>
      </c>
      <c r="K73" s="2079" t="str">
        <f>VLOOKUP(C73,'Tong hop cong'!C69:AA69,25,0)</f>
        <v>B</v>
      </c>
      <c r="L73" s="2080">
        <f t="shared" si="17"/>
        <v>965101.50347731484</v>
      </c>
      <c r="M73" s="2078">
        <f>+VLOOKUP(C73,'Tong hop cong'!C69:V69,20,0)</f>
        <v>6</v>
      </c>
      <c r="N73" s="2078">
        <f>+VLOOKUP(C73,'Tong hop cong'!C69:W69,21,0)</f>
        <v>1</v>
      </c>
      <c r="O73" s="2078">
        <f>+VLOOKUP(C73,'Tong hop cong'!C69:X69,22,0)</f>
        <v>0</v>
      </c>
      <c r="P73" s="2078">
        <f>+VLOOKUP(C73,'Tong hop cong'!C69:Y69,22,0)</f>
        <v>0</v>
      </c>
      <c r="Q73" s="2078"/>
      <c r="R73" s="2078">
        <f t="shared" ref="R73:R87" si="20">M73+N73</f>
        <v>7</v>
      </c>
      <c r="S73" s="2080">
        <f>(M73+N73)*100000+Q73*$Y$15+R73*$Y$15</f>
        <v>840000</v>
      </c>
      <c r="T73" s="2080"/>
      <c r="U73" s="2080">
        <f>H73+L73+S73+T73</f>
        <v>1805101.503477315</v>
      </c>
      <c r="V73" s="2081">
        <f t="shared" si="18"/>
        <v>1805101.503477315</v>
      </c>
      <c r="W73" s="2454" t="s">
        <v>1254</v>
      </c>
      <c r="X73" s="1618"/>
      <c r="Y73" s="2983"/>
    </row>
    <row r="74" spans="1:28" s="1544" customFormat="1" ht="27.75" customHeight="1">
      <c r="A74" s="2073">
        <v>56</v>
      </c>
      <c r="B74" s="3440">
        <v>3</v>
      </c>
      <c r="C74" s="3450" t="str">
        <f>'Chấm công công nhân'!L68</f>
        <v>Thảo Tưng</v>
      </c>
      <c r="D74" s="2074" t="e">
        <f>VLOOKUP(C74,'Mã số NV'!$B$6:$D$53,3,0)</f>
        <v>#N/A</v>
      </c>
      <c r="E74" s="2075" t="s">
        <v>40</v>
      </c>
      <c r="F74" s="2075"/>
      <c r="G74" s="3448">
        <f>VLOOKUP(C74,'Tong hop cong'!C70:R70,16,0)</f>
        <v>0</v>
      </c>
      <c r="H74" s="3449">
        <f t="shared" si="19"/>
        <v>0</v>
      </c>
      <c r="I74" s="2077">
        <f>+VLOOKUP(C74,'Tong hop cong'!C70:S70,17,0)</f>
        <v>1055</v>
      </c>
      <c r="J74" s="2076">
        <f>+VLOOKUP(C74,'Tong hop cong'!C70:U70,19,0)</f>
        <v>497.9808902308767</v>
      </c>
      <c r="K74" s="2079" t="str">
        <f>VLOOKUP(C74,'Tong hop cong'!C70:AA70,25,0)</f>
        <v>B</v>
      </c>
      <c r="L74" s="2080">
        <f t="shared" si="17"/>
        <v>2090722.9695453125</v>
      </c>
      <c r="M74" s="2078">
        <f>+VLOOKUP(C74,'Tong hop cong'!C70:V70,20,0)</f>
        <v>18</v>
      </c>
      <c r="N74" s="2078">
        <f>+VLOOKUP(C74,'Tong hop cong'!C70:W70,21,0)</f>
        <v>3</v>
      </c>
      <c r="O74" s="2078">
        <f>+VLOOKUP(C74,'Tong hop cong'!C70:X70,22,0)</f>
        <v>0</v>
      </c>
      <c r="P74" s="2078">
        <f>+VLOOKUP(C74,'Tong hop cong'!C70:Y70,22,0)</f>
        <v>0</v>
      </c>
      <c r="Q74" s="2078"/>
      <c r="R74" s="2078">
        <f t="shared" si="20"/>
        <v>21</v>
      </c>
      <c r="S74" s="2080">
        <f t="shared" ref="S74:S87" si="21">(M74+N74)*100000+Q74*$Y$15+R74*$Y$15</f>
        <v>2520000</v>
      </c>
      <c r="T74" s="2080"/>
      <c r="U74" s="2080">
        <f>H74+L74+S74+T74</f>
        <v>4610722.9695453122</v>
      </c>
      <c r="V74" s="2081">
        <f t="shared" si="18"/>
        <v>4610722.9695453122</v>
      </c>
      <c r="W74" s="2454" t="s">
        <v>1254</v>
      </c>
      <c r="X74" s="1618"/>
      <c r="Y74" s="2983"/>
      <c r="Z74" s="2063"/>
    </row>
    <row r="75" spans="1:28" s="1544" customFormat="1" ht="27.75" customHeight="1">
      <c r="A75" s="2073">
        <v>57</v>
      </c>
      <c r="B75" s="3440">
        <v>4</v>
      </c>
      <c r="C75" s="3450" t="str">
        <f>'Chấm công công nhân'!L69</f>
        <v>Thảo Xay</v>
      </c>
      <c r="D75" s="2074"/>
      <c r="E75" s="2075" t="s">
        <v>40</v>
      </c>
      <c r="F75" s="2075"/>
      <c r="G75" s="3448">
        <f>VLOOKUP(C75,'Tong hop cong'!C71:R71,16,0)</f>
        <v>0</v>
      </c>
      <c r="H75" s="3449">
        <f t="shared" si="19"/>
        <v>0</v>
      </c>
      <c r="I75" s="2077">
        <f>+VLOOKUP(C75,'Tong hop cong'!C71:S71,17,0)</f>
        <v>1720</v>
      </c>
      <c r="J75" s="2076">
        <f>+VLOOKUP(C75,'Tong hop cong'!C71:U71,19,0)</f>
        <v>811.8740580067373</v>
      </c>
      <c r="K75" s="2079" t="str">
        <f>VLOOKUP(C75,'Tong hop cong'!C71:AA71,25,0)</f>
        <v>A</v>
      </c>
      <c r="L75" s="2080">
        <f t="shared" si="17"/>
        <v>3568348.8597512115</v>
      </c>
      <c r="M75" s="2078">
        <f>+VLOOKUP(C75,'Tong hop cong'!C71:V71,20,0)</f>
        <v>23</v>
      </c>
      <c r="N75" s="2078">
        <f>+VLOOKUP(C75,'Tong hop cong'!C71:W71,21,0)</f>
        <v>2</v>
      </c>
      <c r="O75" s="2078">
        <f>+VLOOKUP(C75,'Tong hop cong'!C71:X71,22,0)</f>
        <v>0</v>
      </c>
      <c r="P75" s="2078">
        <f>+VLOOKUP(C75,'Tong hop cong'!C71:Y71,22,0)</f>
        <v>0</v>
      </c>
      <c r="Q75" s="2078"/>
      <c r="R75" s="2078">
        <f t="shared" si="20"/>
        <v>25</v>
      </c>
      <c r="S75" s="2080">
        <f t="shared" si="21"/>
        <v>3000000</v>
      </c>
      <c r="T75" s="2080"/>
      <c r="U75" s="2080">
        <f>H75+L75+S75+T75</f>
        <v>6568348.8597512115</v>
      </c>
      <c r="V75" s="2081">
        <f t="shared" si="18"/>
        <v>6568348.8597512115</v>
      </c>
      <c r="W75" s="2454" t="s">
        <v>1254</v>
      </c>
      <c r="X75" s="1618"/>
      <c r="Y75" s="2983"/>
    </row>
    <row r="76" spans="1:28" s="1544" customFormat="1" ht="27.75" customHeight="1">
      <c r="A76" s="2073">
        <v>58</v>
      </c>
      <c r="B76" s="3440">
        <v>5</v>
      </c>
      <c r="C76" s="3450" t="str">
        <f>'Chấm công công nhân'!L70</f>
        <v>Nàng Nọi</v>
      </c>
      <c r="D76" s="2074"/>
      <c r="E76" s="2075" t="s">
        <v>40</v>
      </c>
      <c r="F76" s="2075"/>
      <c r="G76" s="3448">
        <f>VLOOKUP(C76,'Tong hop cong'!C72:R72,16,0)</f>
        <v>0</v>
      </c>
      <c r="H76" s="3449">
        <f t="shared" si="19"/>
        <v>0</v>
      </c>
      <c r="I76" s="2077">
        <f>+VLOOKUP(C76,'Tong hop cong'!C72:S72,17,0)</f>
        <v>1459</v>
      </c>
      <c r="J76" s="2076">
        <f>+VLOOKUP(C76,'Tong hop cong'!C72:U72,19,0)</f>
        <v>688.67688990222655</v>
      </c>
      <c r="K76" s="2079" t="str">
        <f>VLOOKUP(C76,'Tong hop cong'!C72:AA72,25,0)</f>
        <v>B</v>
      </c>
      <c r="L76" s="2080">
        <f t="shared" si="17"/>
        <v>2891341.0545655079</v>
      </c>
      <c r="M76" s="2078">
        <f>+VLOOKUP(C76,'Tong hop cong'!C72:V72,20,0)</f>
        <v>19</v>
      </c>
      <c r="N76" s="2078">
        <f>+VLOOKUP(C76,'Tong hop cong'!C72:W72,21,0)</f>
        <v>2</v>
      </c>
      <c r="O76" s="2078">
        <f>+VLOOKUP(C76,'Tong hop cong'!C72:X72,22,0)</f>
        <v>0</v>
      </c>
      <c r="P76" s="2078">
        <f>+VLOOKUP(C76,'Tong hop cong'!C72:Y72,22,0)</f>
        <v>0</v>
      </c>
      <c r="Q76" s="2078"/>
      <c r="R76" s="2078">
        <f t="shared" si="20"/>
        <v>21</v>
      </c>
      <c r="S76" s="2080">
        <f t="shared" si="21"/>
        <v>2520000</v>
      </c>
      <c r="T76" s="2080"/>
      <c r="U76" s="2080">
        <f>H76+L76+S76+T76</f>
        <v>5411341.0545655079</v>
      </c>
      <c r="V76" s="2081">
        <f t="shared" si="18"/>
        <v>5411341.0545655079</v>
      </c>
      <c r="W76" s="2454" t="s">
        <v>1254</v>
      </c>
      <c r="X76" s="1618"/>
      <c r="Y76" s="2983"/>
    </row>
    <row r="77" spans="1:28" s="1544" customFormat="1" ht="27.75" customHeight="1">
      <c r="A77" s="2073">
        <v>59</v>
      </c>
      <c r="B77" s="3440">
        <v>6</v>
      </c>
      <c r="C77" s="3450" t="str">
        <f>'Chấm công công nhân'!L71</f>
        <v>Thảo Đăm</v>
      </c>
      <c r="D77" s="2074"/>
      <c r="E77" s="2075" t="s">
        <v>40</v>
      </c>
      <c r="F77" s="2075"/>
      <c r="G77" s="3448">
        <f>VLOOKUP(C77,'Tong hop cong'!C73:R73,16,0)</f>
        <v>0</v>
      </c>
      <c r="H77" s="3449">
        <f t="shared" si="19"/>
        <v>0</v>
      </c>
      <c r="I77" s="2077">
        <f>+VLOOKUP(C77,'Tong hop cong'!C73:S73,17,0)</f>
        <v>1424</v>
      </c>
      <c r="J77" s="2076">
        <f>+VLOOKUP(C77,'Tong hop cong'!C73:U73,19,0)</f>
        <v>672.15619686139178</v>
      </c>
      <c r="K77" s="2079" t="str">
        <f>VLOOKUP(C77,'Tong hop cong'!C73:AA73,25,0)</f>
        <v>A</v>
      </c>
      <c r="L77" s="2080">
        <f t="shared" si="17"/>
        <v>2954260.9164451892</v>
      </c>
      <c r="M77" s="2078">
        <f>+VLOOKUP(C77,'Tong hop cong'!C73:V73,20,0)</f>
        <v>19</v>
      </c>
      <c r="N77" s="2078">
        <f>+VLOOKUP(C77,'Tong hop cong'!C73:W73,21,0)</f>
        <v>3</v>
      </c>
      <c r="O77" s="2078">
        <f>+VLOOKUP(C77,'Tong hop cong'!C73:X73,22,0)</f>
        <v>0</v>
      </c>
      <c r="P77" s="2078">
        <f>+VLOOKUP(C77,'Tong hop cong'!C73:Y73,22,0)</f>
        <v>0</v>
      </c>
      <c r="Q77" s="2078"/>
      <c r="R77" s="2078">
        <f t="shared" si="20"/>
        <v>22</v>
      </c>
      <c r="S77" s="2080">
        <f t="shared" si="21"/>
        <v>2640000</v>
      </c>
      <c r="T77" s="2080"/>
      <c r="U77" s="2080">
        <f t="shared" ref="U77:U88" si="22">H77+L77+S77</f>
        <v>5594260.9164451892</v>
      </c>
      <c r="V77" s="2081">
        <f t="shared" si="18"/>
        <v>5594260.9164451892</v>
      </c>
      <c r="W77" s="2454" t="s">
        <v>1254</v>
      </c>
      <c r="X77" s="1618"/>
      <c r="Y77" s="2983"/>
    </row>
    <row r="78" spans="1:28" s="1544" customFormat="1" ht="27.75" customHeight="1">
      <c r="A78" s="2073">
        <v>60</v>
      </c>
      <c r="B78" s="3440">
        <v>7</v>
      </c>
      <c r="C78" s="3450" t="str">
        <f>'Chấm công công nhân'!L72</f>
        <v>Thảo chăn</v>
      </c>
      <c r="D78" s="2074"/>
      <c r="E78" s="2075" t="s">
        <v>40</v>
      </c>
      <c r="F78" s="2075"/>
      <c r="G78" s="3448">
        <f>VLOOKUP(C78,'Tong hop cong'!C74:R74,16,0)</f>
        <v>0</v>
      </c>
      <c r="H78" s="3449">
        <f t="shared" si="19"/>
        <v>0</v>
      </c>
      <c r="I78" s="2077">
        <f>+VLOOKUP(C78,'Tong hop cong'!C74:S74,17,0)</f>
        <v>2228</v>
      </c>
      <c r="J78" s="2076">
        <f>+VLOOKUP(C78,'Tong hop cong'!C74:U74,19,0)</f>
        <v>1051.6601169994249</v>
      </c>
      <c r="K78" s="2079" t="str">
        <f>VLOOKUP(C78,'Tong hop cong'!C74:AA74,25,0)</f>
        <v>A</v>
      </c>
      <c r="L78" s="2080">
        <f t="shared" si="17"/>
        <v>4622256.5462358724</v>
      </c>
      <c r="M78" s="2078">
        <f>+VLOOKUP(C78,'Tong hop cong'!C74:V74,20,0)</f>
        <v>22</v>
      </c>
      <c r="N78" s="2078">
        <f>+VLOOKUP(C78,'Tong hop cong'!C74:W74,21,0)</f>
        <v>4</v>
      </c>
      <c r="O78" s="2078">
        <f>+VLOOKUP(C78,'Tong hop cong'!C74:X74,22,0)</f>
        <v>0</v>
      </c>
      <c r="P78" s="2078">
        <f>+VLOOKUP(C78,'Tong hop cong'!C74:Y74,22,0)</f>
        <v>0</v>
      </c>
      <c r="Q78" s="2078"/>
      <c r="R78" s="2078">
        <f t="shared" si="20"/>
        <v>26</v>
      </c>
      <c r="S78" s="2080">
        <f t="shared" si="21"/>
        <v>3120000</v>
      </c>
      <c r="T78" s="2080"/>
      <c r="U78" s="2080">
        <f t="shared" si="22"/>
        <v>7742256.5462358724</v>
      </c>
      <c r="V78" s="2081">
        <f t="shared" si="18"/>
        <v>7742256.5462358724</v>
      </c>
      <c r="W78" s="2454" t="s">
        <v>1254</v>
      </c>
    </row>
    <row r="79" spans="1:28" s="1544" customFormat="1" ht="27.75" customHeight="1">
      <c r="A79" s="2073">
        <v>61</v>
      </c>
      <c r="B79" s="3440">
        <v>8</v>
      </c>
      <c r="C79" s="2099" t="str">
        <f>'Chấm công công nhân'!L73</f>
        <v>Hồ Văn Tăng</v>
      </c>
      <c r="D79" s="2074"/>
      <c r="E79" s="2075"/>
      <c r="F79" s="2075"/>
      <c r="G79" s="3448">
        <f>VLOOKUP(C79,'Tong hop cong'!C75:R75,16,0)</f>
        <v>0</v>
      </c>
      <c r="H79" s="2077">
        <f t="shared" si="19"/>
        <v>0</v>
      </c>
      <c r="I79" s="2077">
        <f>+VLOOKUP(C79,'Tong hop cong'!C75:S75,17,0)</f>
        <v>1189</v>
      </c>
      <c r="J79" s="2076">
        <f>+VLOOKUP(C79,'Tong hop cong'!C75:U75,19,0)</f>
        <v>561.23154358721547</v>
      </c>
      <c r="K79" s="2079" t="str">
        <f>VLOOKUP(C79,'Tong hop cong'!C75:AA75,25,0)</f>
        <v>B</v>
      </c>
      <c r="L79" s="2080">
        <f t="shared" si="17"/>
        <v>2356274.5125965653</v>
      </c>
      <c r="M79" s="2078">
        <f>+VLOOKUP(C79,'Tong hop cong'!C75:V75,20,0)</f>
        <v>19</v>
      </c>
      <c r="N79" s="2078">
        <f>+VLOOKUP(C79,'Tong hop cong'!C75:W75,21,0)</f>
        <v>2</v>
      </c>
      <c r="O79" s="2078">
        <f>+VLOOKUP(C79,'Tong hop cong'!C75:X75,22,0)</f>
        <v>0</v>
      </c>
      <c r="P79" s="2078">
        <f>+VLOOKUP(C79,'Tong hop cong'!C75:Y75,22,0)</f>
        <v>0</v>
      </c>
      <c r="Q79" s="2078"/>
      <c r="R79" s="2078">
        <f t="shared" si="20"/>
        <v>21</v>
      </c>
      <c r="S79" s="2080">
        <f t="shared" si="21"/>
        <v>2520000</v>
      </c>
      <c r="T79" s="2080"/>
      <c r="U79" s="2080">
        <f t="shared" si="22"/>
        <v>4876274.5125965653</v>
      </c>
      <c r="V79" s="2081">
        <f t="shared" si="18"/>
        <v>4876274.5125965653</v>
      </c>
      <c r="W79" s="2454" t="s">
        <v>1254</v>
      </c>
    </row>
    <row r="80" spans="1:28" s="1544" customFormat="1" ht="27.75" customHeight="1">
      <c r="A80" s="2073">
        <v>62</v>
      </c>
      <c r="B80" s="3440">
        <v>9</v>
      </c>
      <c r="C80" s="2099" t="str">
        <f>'Chấm công công nhân'!L74</f>
        <v>Hồ Văn Khoa</v>
      </c>
      <c r="D80" s="2074"/>
      <c r="E80" s="2075"/>
      <c r="F80" s="2075"/>
      <c r="G80" s="3448">
        <f>VLOOKUP(C80,'Tong hop cong'!C76:R76,16,0)</f>
        <v>0</v>
      </c>
      <c r="H80" s="2077">
        <f t="shared" si="19"/>
        <v>0</v>
      </c>
      <c r="I80" s="2077">
        <f>+VLOOKUP(C80,'Tong hop cong'!C76:S76,17,0)</f>
        <v>1469</v>
      </c>
      <c r="J80" s="2076">
        <f>+VLOOKUP(C80,'Tong hop cong'!C76:U76,19,0)</f>
        <v>693.39708791389364</v>
      </c>
      <c r="K80" s="2079" t="str">
        <f>VLOOKUP(C80,'Tong hop cong'!C76:AA76,25,0)</f>
        <v>A</v>
      </c>
      <c r="L80" s="2080">
        <f t="shared" si="17"/>
        <v>3047618.8807991454</v>
      </c>
      <c r="M80" s="2078">
        <f>+VLOOKUP(C80,'Tong hop cong'!C76:V76,20,0)</f>
        <v>18</v>
      </c>
      <c r="N80" s="2078">
        <f>+VLOOKUP(C80,'Tong hop cong'!C76:W76,21,0)</f>
        <v>2</v>
      </c>
      <c r="O80" s="2078">
        <f>+VLOOKUP(C80,'Tong hop cong'!C76:X76,22,0)</f>
        <v>0</v>
      </c>
      <c r="P80" s="2078">
        <f>+VLOOKUP(C80,'Tong hop cong'!C76:Y76,22,0)</f>
        <v>0</v>
      </c>
      <c r="Q80" s="2078"/>
      <c r="R80" s="2078">
        <f t="shared" si="20"/>
        <v>20</v>
      </c>
      <c r="S80" s="2080">
        <f t="shared" si="21"/>
        <v>2400000</v>
      </c>
      <c r="T80" s="2080"/>
      <c r="U80" s="2080">
        <f t="shared" si="22"/>
        <v>5447618.8807991454</v>
      </c>
      <c r="V80" s="2081">
        <f t="shared" si="18"/>
        <v>5447618.8807991454</v>
      </c>
      <c r="W80" s="2454" t="s">
        <v>1254</v>
      </c>
    </row>
    <row r="81" spans="1:25" s="1544" customFormat="1" ht="27.75" customHeight="1">
      <c r="A81" s="2073">
        <v>63</v>
      </c>
      <c r="B81" s="3440">
        <v>10</v>
      </c>
      <c r="C81" s="2099" t="str">
        <f>'Chấm công công nhân'!L75</f>
        <v>Hồ Xa My</v>
      </c>
      <c r="D81" s="2074"/>
      <c r="E81" s="2075"/>
      <c r="F81" s="2075"/>
      <c r="G81" s="3448">
        <f>VLOOKUP(C81,'Tong hop cong'!C77:R77,16,0)</f>
        <v>0</v>
      </c>
      <c r="H81" s="2077">
        <f t="shared" si="19"/>
        <v>0</v>
      </c>
      <c r="I81" s="2077">
        <f>+VLOOKUP(C81,'Tong hop cong'!C77:S77,17,0)</f>
        <v>1434</v>
      </c>
      <c r="J81" s="2076">
        <f>+VLOOKUP(C81,'Tong hop cong'!C77:U77,19,0)</f>
        <v>676.87639487305887</v>
      </c>
      <c r="K81" s="2079" t="str">
        <f>VLOOKUP(C81,'Tong hop cong'!C77:AA77,25,0)</f>
        <v>A</v>
      </c>
      <c r="L81" s="2080">
        <f t="shared" si="17"/>
        <v>2975007.1307460684</v>
      </c>
      <c r="M81" s="2078">
        <f>+VLOOKUP(C81,'Tong hop cong'!C77:V77,20,0)</f>
        <v>19</v>
      </c>
      <c r="N81" s="2078">
        <f>+VLOOKUP(C81,'Tong hop cong'!C77:W77,21,0)</f>
        <v>2</v>
      </c>
      <c r="O81" s="2078">
        <f>+VLOOKUP(C81,'Tong hop cong'!C77:X77,22,0)</f>
        <v>0</v>
      </c>
      <c r="P81" s="2078">
        <f>+VLOOKUP(C81,'Tong hop cong'!C77:Y77,22,0)</f>
        <v>0</v>
      </c>
      <c r="Q81" s="2078"/>
      <c r="R81" s="2078">
        <f t="shared" si="20"/>
        <v>21</v>
      </c>
      <c r="S81" s="2080">
        <f t="shared" si="21"/>
        <v>2520000</v>
      </c>
      <c r="T81" s="2080"/>
      <c r="U81" s="2080">
        <f t="shared" si="22"/>
        <v>5495007.1307460684</v>
      </c>
      <c r="V81" s="2081">
        <f t="shared" si="18"/>
        <v>5495007.1307460684</v>
      </c>
      <c r="W81" s="2454" t="s">
        <v>1254</v>
      </c>
      <c r="X81" s="3105"/>
    </row>
    <row r="82" spans="1:25" s="1544" customFormat="1" ht="27.75" customHeight="1">
      <c r="A82" s="2073">
        <v>64</v>
      </c>
      <c r="B82" s="3440">
        <v>11</v>
      </c>
      <c r="C82" s="3450" t="str">
        <f>'Chấm công công nhân'!L76</f>
        <v>Thảo lay</v>
      </c>
      <c r="D82" s="2074"/>
      <c r="E82" s="2075"/>
      <c r="F82" s="2075"/>
      <c r="G82" s="3448">
        <f>VLOOKUP(C82,'Tong hop cong'!C78:R78,16,0)</f>
        <v>0</v>
      </c>
      <c r="H82" s="3449">
        <f t="shared" si="19"/>
        <v>0</v>
      </c>
      <c r="I82" s="2077">
        <f>+VLOOKUP(C82,'Tong hop cong'!C78:S78,17,0)</f>
        <v>1317</v>
      </c>
      <c r="J82" s="2076">
        <f>+VLOOKUP(C82,'Tong hop cong'!C78:U78,19,0)</f>
        <v>621.65007813655404</v>
      </c>
      <c r="K82" s="2079" t="str">
        <f>VLOOKUP(C82,'Tong hop cong'!C78:AA78,25,0)</f>
        <v>B</v>
      </c>
      <c r="L82" s="2080">
        <f t="shared" si="17"/>
        <v>2609935.6880485085</v>
      </c>
      <c r="M82" s="2078">
        <f>+VLOOKUP(C82,'Tong hop cong'!C78:V78,20,0)</f>
        <v>14</v>
      </c>
      <c r="N82" s="2078">
        <f>+VLOOKUP(C82,'Tong hop cong'!C78:W78,21,0)</f>
        <v>2</v>
      </c>
      <c r="O82" s="2078">
        <f>+VLOOKUP(C82,'Tong hop cong'!C78:X78,22,0)</f>
        <v>0</v>
      </c>
      <c r="P82" s="2078">
        <f>+VLOOKUP(C82,'Tong hop cong'!C78:Y78,22,0)</f>
        <v>0</v>
      </c>
      <c r="Q82" s="2078"/>
      <c r="R82" s="2078">
        <f t="shared" si="20"/>
        <v>16</v>
      </c>
      <c r="S82" s="2080">
        <f t="shared" si="21"/>
        <v>1920000</v>
      </c>
      <c r="T82" s="2080"/>
      <c r="U82" s="2080">
        <f t="shared" si="22"/>
        <v>4529935.688048508</v>
      </c>
      <c r="V82" s="2081">
        <f t="shared" si="18"/>
        <v>4529935.688048508</v>
      </c>
      <c r="W82" s="2454" t="s">
        <v>1254</v>
      </c>
    </row>
    <row r="83" spans="1:25" s="1544" customFormat="1" ht="27.75" customHeight="1">
      <c r="A83" s="2073">
        <v>65</v>
      </c>
      <c r="B83" s="3440">
        <v>12</v>
      </c>
      <c r="C83" s="3450" t="str">
        <f>'Chấm công công nhân'!L77</f>
        <v>Thảo khên</v>
      </c>
      <c r="D83" s="2074"/>
      <c r="E83" s="2075"/>
      <c r="F83" s="2075"/>
      <c r="G83" s="3448">
        <f>VLOOKUP(C83,'Tong hop cong'!C79:R79,16,0)</f>
        <v>0</v>
      </c>
      <c r="H83" s="3449">
        <f t="shared" si="19"/>
        <v>0</v>
      </c>
      <c r="I83" s="2077">
        <f>+VLOOKUP(C83,'Tong hop cong'!C79:S79,17,0)</f>
        <v>2963</v>
      </c>
      <c r="J83" s="2076">
        <f>+VLOOKUP(C83,'Tong hop cong'!C79:U79,19,0)</f>
        <v>1398.594670856955</v>
      </c>
      <c r="K83" s="2079" t="str">
        <f>VLOOKUP(C83,'Tong hop cong'!C79:AA79,25,0)</f>
        <v>A</v>
      </c>
      <c r="L83" s="2080">
        <f t="shared" si="17"/>
        <v>6147103.2973504886</v>
      </c>
      <c r="M83" s="2078">
        <f>+VLOOKUP(C83,'Tong hop cong'!C79:V79,20,0)</f>
        <v>24</v>
      </c>
      <c r="N83" s="2078">
        <f>+VLOOKUP(C83,'Tong hop cong'!C79:W79,21,0)</f>
        <v>3</v>
      </c>
      <c r="O83" s="2078">
        <f>+VLOOKUP(C83,'Tong hop cong'!C79:X79,22,0)</f>
        <v>0</v>
      </c>
      <c r="P83" s="2078">
        <f>+VLOOKUP(C83,'Tong hop cong'!C79:Y79,22,0)</f>
        <v>0</v>
      </c>
      <c r="Q83" s="2078"/>
      <c r="R83" s="2078">
        <f t="shared" si="20"/>
        <v>27</v>
      </c>
      <c r="S83" s="2080">
        <f t="shared" si="21"/>
        <v>3240000</v>
      </c>
      <c r="T83" s="2080"/>
      <c r="U83" s="2080">
        <f t="shared" si="22"/>
        <v>9387103.2973504886</v>
      </c>
      <c r="V83" s="2081">
        <f t="shared" si="18"/>
        <v>9387103.2973504886</v>
      </c>
      <c r="W83" s="2454" t="s">
        <v>1254</v>
      </c>
    </row>
    <row r="84" spans="1:25" s="1544" customFormat="1" ht="27.75" customHeight="1">
      <c r="A84" s="2073">
        <v>66</v>
      </c>
      <c r="B84" s="3440">
        <v>13</v>
      </c>
      <c r="C84" s="3450" t="str">
        <f>'Chấm công công nhân'!L78</f>
        <v>Thảo khon</v>
      </c>
      <c r="D84" s="2074"/>
      <c r="E84" s="2075"/>
      <c r="F84" s="2075"/>
      <c r="G84" s="3448">
        <f>VLOOKUP(C84,'Tong hop cong'!C80:R80,16,0)</f>
        <v>0</v>
      </c>
      <c r="H84" s="3449">
        <f t="shared" si="19"/>
        <v>0</v>
      </c>
      <c r="I84" s="2077">
        <f>+VLOOKUP(C84,'Tong hop cong'!C80:S80,17,0)</f>
        <v>1830</v>
      </c>
      <c r="J84" s="2076">
        <f>+VLOOKUP(C84,'Tong hop cong'!C80:U80,19,0)</f>
        <v>863.79623613507511</v>
      </c>
      <c r="K84" s="2079" t="str">
        <f>VLOOKUP(C84,'Tong hop cong'!C80:AA80,25,0)</f>
        <v>B</v>
      </c>
      <c r="L84" s="2080">
        <f t="shared" si="17"/>
        <v>3626562.117789499</v>
      </c>
      <c r="M84" s="2078">
        <f>+VLOOKUP(C84,'Tong hop cong'!C80:V80,20,0)</f>
        <v>22</v>
      </c>
      <c r="N84" s="2078">
        <f>+VLOOKUP(C84,'Tong hop cong'!C80:W80,21,0)</f>
        <v>3</v>
      </c>
      <c r="O84" s="2078">
        <f>+VLOOKUP(C84,'Tong hop cong'!C80:X80,22,0)</f>
        <v>0</v>
      </c>
      <c r="P84" s="2078">
        <f>+VLOOKUP(C84,'Tong hop cong'!C80:Y80,22,0)</f>
        <v>0</v>
      </c>
      <c r="Q84" s="2078"/>
      <c r="R84" s="2078">
        <f t="shared" si="20"/>
        <v>25</v>
      </c>
      <c r="S84" s="2080">
        <f t="shared" si="21"/>
        <v>3000000</v>
      </c>
      <c r="T84" s="2080"/>
      <c r="U84" s="2080">
        <f t="shared" si="22"/>
        <v>6626562.1177894995</v>
      </c>
      <c r="V84" s="2081">
        <f t="shared" si="18"/>
        <v>6626562.1177894995</v>
      </c>
      <c r="W84" s="2454" t="s">
        <v>1254</v>
      </c>
    </row>
    <row r="85" spans="1:25" s="1544" customFormat="1" ht="27.75" customHeight="1">
      <c r="A85" s="2073">
        <v>67</v>
      </c>
      <c r="B85" s="3440">
        <v>14</v>
      </c>
      <c r="C85" s="3450" t="str">
        <f>'Chấm công công nhân'!L79</f>
        <v>Thảo nga</v>
      </c>
      <c r="D85" s="2074"/>
      <c r="E85" s="2075"/>
      <c r="F85" s="2075"/>
      <c r="G85" s="3448">
        <f>VLOOKUP(C85,'Tong hop cong'!C81:R81,16,0)</f>
        <v>0</v>
      </c>
      <c r="H85" s="3449">
        <f t="shared" ref="H85:H88" si="23">G85*25000</f>
        <v>0</v>
      </c>
      <c r="I85" s="2077">
        <f>+VLOOKUP(C85,'Tong hop cong'!C81:S81,17,0)</f>
        <v>1841</v>
      </c>
      <c r="J85" s="2076">
        <f>+VLOOKUP(C85,'Tong hop cong'!C81:U81,19,0)</f>
        <v>868.98845394790897</v>
      </c>
      <c r="K85" s="2079" t="str">
        <f>VLOOKUP(C85,'Tong hop cong'!C81:AA81,25,0)</f>
        <v>A</v>
      </c>
      <c r="L85" s="2080">
        <f t="shared" si="17"/>
        <v>3819378.0527918492</v>
      </c>
      <c r="M85" s="2078">
        <f>+VLOOKUP(C85,'Tong hop cong'!C81:V81,20,0)</f>
        <v>22</v>
      </c>
      <c r="N85" s="2078">
        <f>+VLOOKUP(C85,'Tong hop cong'!C81:W81,21,0)</f>
        <v>3</v>
      </c>
      <c r="O85" s="2078">
        <f>+VLOOKUP(C85,'Tong hop cong'!C81:X81,22,0)</f>
        <v>0</v>
      </c>
      <c r="P85" s="2078">
        <f>+VLOOKUP(C85,'Tong hop cong'!C81:Y81,22,0)</f>
        <v>0</v>
      </c>
      <c r="Q85" s="2078"/>
      <c r="R85" s="2078">
        <f t="shared" si="20"/>
        <v>25</v>
      </c>
      <c r="S85" s="2080">
        <f t="shared" si="21"/>
        <v>3000000</v>
      </c>
      <c r="T85" s="2080"/>
      <c r="U85" s="2080">
        <f t="shared" si="22"/>
        <v>6819378.0527918488</v>
      </c>
      <c r="V85" s="2081">
        <f t="shared" si="18"/>
        <v>6819378.0527918488</v>
      </c>
      <c r="W85" s="2454" t="s">
        <v>1254</v>
      </c>
    </row>
    <row r="86" spans="1:25" s="1544" customFormat="1" ht="27.75" customHeight="1">
      <c r="A86" s="2073">
        <v>68</v>
      </c>
      <c r="B86" s="3440">
        <v>15</v>
      </c>
      <c r="C86" s="2099" t="str">
        <f>'Chấm công công nhân'!L80</f>
        <v>Thảo lăm ma</v>
      </c>
      <c r="D86" s="2074"/>
      <c r="E86" s="2075"/>
      <c r="F86" s="2075"/>
      <c r="G86" s="3448">
        <f>VLOOKUP(C86,'Tong hop cong'!C82:R82,16,0)</f>
        <v>0</v>
      </c>
      <c r="H86" s="2077">
        <f t="shared" si="23"/>
        <v>0</v>
      </c>
      <c r="I86" s="2077">
        <f>+VLOOKUP(C86,'Tong hop cong'!C82:S82,17,0)</f>
        <v>1049</v>
      </c>
      <c r="J86" s="2076">
        <f>+VLOOKUP(C86,'Tong hop cong'!C82:U82,19,0)</f>
        <v>495.14877142387644</v>
      </c>
      <c r="K86" s="2079" t="str">
        <f>VLOOKUP(C86,'Tong hop cong'!C82:AA82,25,0)</f>
        <v>A</v>
      </c>
      <c r="L86" s="2080">
        <f t="shared" si="17"/>
        <v>2176277.8801622218</v>
      </c>
      <c r="M86" s="2078">
        <f>+VLOOKUP(C86,'Tong hop cong'!C82:V82,20,0)</f>
        <v>25</v>
      </c>
      <c r="N86" s="2078">
        <f>+VLOOKUP(C86,'Tong hop cong'!C82:W82,21,0)</f>
        <v>3</v>
      </c>
      <c r="O86" s="2078">
        <f>+VLOOKUP(C86,'Tong hop cong'!C82:X82,22,0)</f>
        <v>0</v>
      </c>
      <c r="P86" s="2078">
        <f>+VLOOKUP(C86,'Tong hop cong'!C82:Y82,22,0)</f>
        <v>0</v>
      </c>
      <c r="Q86" s="2078"/>
      <c r="R86" s="2078">
        <f t="shared" si="20"/>
        <v>28</v>
      </c>
      <c r="S86" s="2080">
        <f t="shared" si="21"/>
        <v>3360000</v>
      </c>
      <c r="T86" s="2080"/>
      <c r="U86" s="2080">
        <f t="shared" si="22"/>
        <v>5536277.8801622223</v>
      </c>
      <c r="V86" s="2081">
        <f t="shared" si="18"/>
        <v>5536277.8801622223</v>
      </c>
      <c r="W86" s="2454" t="s">
        <v>1254</v>
      </c>
      <c r="X86" s="1618"/>
      <c r="Y86" s="1618"/>
    </row>
    <row r="87" spans="1:25" s="1544" customFormat="1" ht="27.75" customHeight="1">
      <c r="A87" s="2073">
        <v>69</v>
      </c>
      <c r="B87" s="3440">
        <v>16</v>
      </c>
      <c r="C87" s="2099" t="str">
        <f>'Chấm công công nhân'!L81</f>
        <v>Thảo Hôm</v>
      </c>
      <c r="D87" s="2074"/>
      <c r="E87" s="2075"/>
      <c r="F87" s="2075"/>
      <c r="G87" s="3448">
        <f>VLOOKUP(C87,'Tong hop cong'!C83:R83,16,0)</f>
        <v>0</v>
      </c>
      <c r="H87" s="2077">
        <f t="shared" si="23"/>
        <v>0</v>
      </c>
      <c r="I87" s="2077">
        <f>+VLOOKUP(C87,'Tong hop cong'!C83:S83,17,0)</f>
        <v>297</v>
      </c>
      <c r="J87" s="2076">
        <f>+VLOOKUP(C87,'Tong hop cong'!C83:U89,18,0)</f>
        <v>140.1898809465122</v>
      </c>
      <c r="K87" s="2079" t="str">
        <f>VLOOKUP(C87,'Tong hop cong'!C83:AA83,25,0)</f>
        <v>B</v>
      </c>
      <c r="L87" s="2080">
        <f t="shared" si="17"/>
        <v>588573.19616583677</v>
      </c>
      <c r="M87" s="2078">
        <f>+VLOOKUP(C87,'Tong hop cong'!C83:V83,20,0)</f>
        <v>18</v>
      </c>
      <c r="N87" s="2078">
        <f>+VLOOKUP(C87,'Tong hop cong'!C83:W89,21,0)</f>
        <v>3</v>
      </c>
      <c r="O87" s="2078">
        <f>+VLOOKUP(C87,'Tong hop cong'!C83:X83,22,0)</f>
        <v>0</v>
      </c>
      <c r="P87" s="2078">
        <f>+VLOOKUP(C87,'Tong hop cong'!C83:Y83,22,0)</f>
        <v>0</v>
      </c>
      <c r="Q87" s="2078"/>
      <c r="R87" s="2078">
        <f t="shared" si="20"/>
        <v>21</v>
      </c>
      <c r="S87" s="2080">
        <f t="shared" si="21"/>
        <v>2520000</v>
      </c>
      <c r="T87" s="2080"/>
      <c r="U87" s="2080">
        <f t="shared" si="22"/>
        <v>3108573.1961658369</v>
      </c>
      <c r="V87" s="2081">
        <f t="shared" si="18"/>
        <v>3108573.1961658369</v>
      </c>
      <c r="W87" s="2454" t="s">
        <v>1254</v>
      </c>
      <c r="X87" s="1619"/>
      <c r="Y87" s="1619"/>
    </row>
    <row r="88" spans="1:25" s="2182" customFormat="1" ht="25.5" hidden="1" customHeight="1">
      <c r="A88" s="2711">
        <v>70</v>
      </c>
      <c r="B88" s="3452">
        <v>17</v>
      </c>
      <c r="C88" s="2175" t="str">
        <f>'Tong hop cong'!C84</f>
        <v>Thảo Ê</v>
      </c>
      <c r="D88" s="2176"/>
      <c r="E88" s="2177" t="s">
        <v>1142</v>
      </c>
      <c r="F88" s="2177"/>
      <c r="G88" s="3448">
        <f>VLOOKUP(C88,'Tong hop cong'!C84:R84,16,0)</f>
        <v>0</v>
      </c>
      <c r="H88" s="2713">
        <f t="shared" si="23"/>
        <v>0</v>
      </c>
      <c r="I88" s="2713">
        <f>+VLOOKUP(C88,'Tong hop cong'!C84:S84,17,0)</f>
        <v>0</v>
      </c>
      <c r="J88" s="2712">
        <f>+VLOOKUP(C88,'Tong hop cong'!C84:U90,18,0)</f>
        <v>0</v>
      </c>
      <c r="K88" s="2079">
        <f>VLOOKUP(C88,'Tong hop cong'!C84:AA84,25,0)</f>
        <v>0</v>
      </c>
      <c r="L88" s="2178">
        <f t="shared" si="17"/>
        <v>0</v>
      </c>
      <c r="M88" s="2714">
        <f>+VLOOKUP(C88,'Tong hop cong'!C84:V90,19,0)</f>
        <v>0</v>
      </c>
      <c r="N88" s="2714">
        <f>+VLOOKUP(C88,'Tong hop cong'!C84:W90,20,0)</f>
        <v>0</v>
      </c>
      <c r="O88" s="2714">
        <f>+VLOOKUP(C88,'Tong hop cong'!C84:X84,21,0)</f>
        <v>0</v>
      </c>
      <c r="P88" s="2714">
        <f>+VLOOKUP(C88,'Tong hop cong'!C84:Y84,22,0)</f>
        <v>0</v>
      </c>
      <c r="Q88" s="2078"/>
      <c r="R88" s="2078">
        <f>M88+N88</f>
        <v>0</v>
      </c>
      <c r="S88" s="2080">
        <f>(M88+N88)*100000+Q88*$Y$16</f>
        <v>0</v>
      </c>
      <c r="T88" s="2178"/>
      <c r="U88" s="2178">
        <f t="shared" si="22"/>
        <v>0</v>
      </c>
      <c r="V88" s="2179">
        <f t="shared" si="18"/>
        <v>0</v>
      </c>
      <c r="W88" s="2454" t="s">
        <v>1254</v>
      </c>
    </row>
    <row r="89" spans="1:25" s="1546" customFormat="1" ht="27.75" customHeight="1">
      <c r="A89" s="3938" t="s">
        <v>688</v>
      </c>
      <c r="B89" s="3938"/>
      <c r="C89" s="3938"/>
      <c r="D89" s="3938"/>
      <c r="E89" s="3938"/>
      <c r="F89" s="2084"/>
      <c r="G89" s="2456">
        <f t="shared" ref="G89:T89" si="24">+G16+G54+G71</f>
        <v>0</v>
      </c>
      <c r="H89" s="2085">
        <f t="shared" si="24"/>
        <v>0</v>
      </c>
      <c r="I89" s="2085">
        <f t="shared" si="24"/>
        <v>145529</v>
      </c>
      <c r="J89" s="2085">
        <f t="shared" si="24"/>
        <v>63154.457999999999</v>
      </c>
      <c r="K89" s="2085"/>
      <c r="L89" s="2085">
        <f t="shared" si="24"/>
        <v>250605593.40311795</v>
      </c>
      <c r="M89" s="2085">
        <f t="shared" si="24"/>
        <v>1391</v>
      </c>
      <c r="N89" s="2085">
        <f t="shared" si="24"/>
        <v>211</v>
      </c>
      <c r="O89" s="2085">
        <f t="shared" si="24"/>
        <v>130</v>
      </c>
      <c r="P89" s="2085">
        <f t="shared" si="24"/>
        <v>22</v>
      </c>
      <c r="Q89" s="2085">
        <f t="shared" si="24"/>
        <v>1408</v>
      </c>
      <c r="R89" s="2085">
        <f t="shared" si="24"/>
        <v>1754</v>
      </c>
      <c r="S89" s="2085">
        <f>+S16+S54+S71</f>
        <v>147360652.80000001</v>
      </c>
      <c r="T89" s="2085">
        <f t="shared" si="24"/>
        <v>0</v>
      </c>
      <c r="U89" s="2085">
        <f>+U16+U54+U71</f>
        <v>397966246.20311797</v>
      </c>
      <c r="V89" s="2085">
        <f>+V16+V54+V71</f>
        <v>397966246.20311797</v>
      </c>
      <c r="W89" s="2454" t="s">
        <v>1254</v>
      </c>
      <c r="X89" s="1545"/>
    </row>
    <row r="90" spans="1:25" s="910" customFormat="1" ht="31.5" customHeight="1">
      <c r="A90" s="3942" t="s">
        <v>1859</v>
      </c>
      <c r="B90" s="3942"/>
      <c r="C90" s="3942"/>
      <c r="D90" s="3942"/>
      <c r="E90" s="3942"/>
      <c r="F90" s="3942"/>
      <c r="G90" s="3942"/>
      <c r="H90" s="3942"/>
      <c r="I90" s="3942"/>
      <c r="J90" s="3942"/>
      <c r="K90" s="3942"/>
      <c r="L90" s="3942"/>
      <c r="M90" s="3942"/>
      <c r="N90" s="3942"/>
      <c r="O90" s="3942"/>
      <c r="P90" s="3942"/>
      <c r="Q90" s="3942"/>
      <c r="R90" s="3942"/>
      <c r="S90" s="3942"/>
      <c r="T90" s="3942"/>
      <c r="U90" s="3942"/>
      <c r="V90" s="3942"/>
      <c r="W90" s="2455"/>
    </row>
    <row r="91" spans="1:25" ht="26.25" customHeight="1">
      <c r="A91" s="2046"/>
      <c r="B91" s="2086"/>
      <c r="C91" s="1387"/>
      <c r="D91" s="1387"/>
      <c r="E91" s="2086"/>
      <c r="F91" s="2086"/>
      <c r="G91" s="2087"/>
      <c r="H91" s="2086"/>
      <c r="I91" s="2086"/>
      <c r="J91" s="2087"/>
      <c r="K91" s="2088"/>
      <c r="L91" s="2089"/>
      <c r="M91" s="2086"/>
      <c r="N91" s="2086"/>
      <c r="O91" s="2090"/>
      <c r="P91" s="2090"/>
      <c r="Q91" s="2090"/>
      <c r="R91" s="2090"/>
      <c r="S91" s="2090" t="s">
        <v>1783</v>
      </c>
      <c r="T91" s="2090"/>
      <c r="U91" s="2090"/>
      <c r="V91" s="2090"/>
      <c r="W91" s="2448"/>
      <c r="X91" s="925">
        <f>U16+U54+U71</f>
        <v>397966246.20311797</v>
      </c>
      <c r="Y91" s="925"/>
    </row>
    <row r="92" spans="1:25" s="1871" customFormat="1" ht="23.25" customHeight="1">
      <c r="A92" s="3933" t="s">
        <v>45</v>
      </c>
      <c r="B92" s="3933"/>
      <c r="C92" s="3933"/>
      <c r="D92" s="2091"/>
      <c r="E92" s="2091" t="s">
        <v>45</v>
      </c>
      <c r="F92" s="2091" t="s">
        <v>45</v>
      </c>
      <c r="G92" s="2091"/>
      <c r="H92" s="2091"/>
      <c r="I92" s="2091"/>
      <c r="K92" s="3933" t="s">
        <v>44</v>
      </c>
      <c r="L92" s="3933"/>
      <c r="M92" s="2091"/>
      <c r="N92" s="2091"/>
      <c r="O92" s="2092"/>
      <c r="P92" s="2092"/>
      <c r="Q92" s="2092"/>
      <c r="R92" s="2092"/>
      <c r="S92" s="2092" t="s">
        <v>1107</v>
      </c>
      <c r="T92" s="2092"/>
      <c r="U92" s="2092"/>
      <c r="V92" s="2092"/>
      <c r="W92" s="2445"/>
      <c r="X92" s="3463">
        <f>'1'!U51+'2'!U35+'3'!S33</f>
        <v>397966246.20311797</v>
      </c>
    </row>
    <row r="93" spans="1:25">
      <c r="A93" s="2086"/>
      <c r="B93" s="2086"/>
      <c r="C93" s="2093"/>
      <c r="D93" s="2093"/>
      <c r="E93" s="2086"/>
      <c r="F93" s="2086"/>
      <c r="G93" s="2094"/>
      <c r="H93" s="2095"/>
      <c r="I93" s="2095"/>
      <c r="J93" s="2089"/>
      <c r="K93" s="2046"/>
      <c r="L93" s="2096"/>
      <c r="M93" s="2093"/>
      <c r="N93" s="2093"/>
      <c r="O93" s="2093"/>
      <c r="P93" s="2093"/>
      <c r="Q93" s="2093"/>
      <c r="R93" s="2093"/>
      <c r="S93" s="2097"/>
      <c r="T93" s="2097"/>
      <c r="U93" s="2086"/>
      <c r="V93" s="3468"/>
      <c r="W93" s="2086"/>
    </row>
    <row r="94" spans="1:25" ht="27" customHeight="1">
      <c r="A94" s="909"/>
      <c r="C94" s="909"/>
      <c r="D94" s="909"/>
      <c r="G94" s="927"/>
      <c r="K94" s="914"/>
      <c r="L94" s="926"/>
      <c r="N94" s="923"/>
      <c r="P94" s="925"/>
      <c r="Q94" s="925"/>
      <c r="R94" s="925"/>
      <c r="S94" s="926"/>
      <c r="T94" s="926"/>
    </row>
    <row r="95" spans="1:25">
      <c r="A95" s="909"/>
      <c r="C95" s="909"/>
      <c r="D95" s="909"/>
      <c r="E95" s="925"/>
      <c r="F95" s="925"/>
      <c r="G95" s="1975"/>
      <c r="K95" s="914"/>
      <c r="L95" s="3932"/>
      <c r="M95" s="3932"/>
      <c r="V95" s="931"/>
      <c r="W95" s="2447"/>
    </row>
    <row r="96" spans="1:25">
      <c r="A96" s="909"/>
      <c r="C96" s="909"/>
      <c r="D96" s="909"/>
      <c r="E96" s="925"/>
      <c r="F96" s="925"/>
      <c r="G96" s="932"/>
      <c r="K96" s="914"/>
      <c r="L96" s="931"/>
      <c r="M96" s="931"/>
      <c r="O96" s="1571"/>
      <c r="P96" s="941"/>
      <c r="V96" s="931"/>
      <c r="W96" s="2447"/>
    </row>
    <row r="97" spans="1:23">
      <c r="A97" s="909"/>
      <c r="C97" s="909"/>
      <c r="D97" s="909"/>
      <c r="G97" s="1974"/>
      <c r="K97" s="914"/>
      <c r="L97" s="909"/>
      <c r="M97" s="933"/>
      <c r="N97" s="3800"/>
      <c r="O97" s="3800"/>
      <c r="P97" s="3800"/>
      <c r="Q97" s="3800"/>
      <c r="R97" s="3800"/>
      <c r="S97" s="3800"/>
      <c r="T97" s="2971"/>
    </row>
    <row r="98" spans="1:23">
      <c r="A98" s="909"/>
      <c r="C98" s="909"/>
      <c r="D98" s="909"/>
      <c r="E98" s="934"/>
      <c r="F98" s="934"/>
      <c r="G98" s="1973"/>
      <c r="H98" s="1975"/>
      <c r="I98" s="1975"/>
      <c r="J98" s="3799"/>
      <c r="K98" s="3799"/>
      <c r="L98" s="3799"/>
      <c r="M98" s="3799"/>
      <c r="N98" s="3799"/>
      <c r="O98" s="3799"/>
      <c r="P98" s="3799"/>
      <c r="Q98" s="3799"/>
      <c r="R98" s="3799"/>
      <c r="S98" s="3799"/>
      <c r="T98" s="3799"/>
      <c r="U98" s="3799"/>
      <c r="V98" s="3799"/>
      <c r="W98" s="2443"/>
    </row>
    <row r="99" spans="1:23" s="935" customFormat="1" ht="17.25">
      <c r="G99" s="1972"/>
      <c r="H99" s="936"/>
      <c r="I99" s="936"/>
      <c r="J99" s="937"/>
      <c r="K99" s="938"/>
      <c r="L99" s="939"/>
      <c r="M99" s="940"/>
      <c r="N99" s="940"/>
      <c r="O99" s="940"/>
      <c r="P99" s="940"/>
      <c r="Q99" s="940"/>
      <c r="R99" s="940"/>
    </row>
    <row r="100" spans="1:23">
      <c r="E100" s="941"/>
      <c r="F100" s="941"/>
      <c r="U100" s="925"/>
    </row>
    <row r="101" spans="1:23">
      <c r="A101" s="942"/>
      <c r="M101" s="912"/>
      <c r="N101" s="912"/>
      <c r="O101" s="912"/>
      <c r="P101" s="912"/>
      <c r="Q101" s="912"/>
      <c r="R101" s="912"/>
      <c r="S101" s="3931"/>
      <c r="T101" s="3931"/>
      <c r="U101" s="3931"/>
      <c r="V101" s="3931"/>
    </row>
    <row r="102" spans="1:23">
      <c r="A102" s="943"/>
      <c r="N102" s="932"/>
      <c r="P102" s="1572"/>
      <c r="Q102" s="1975"/>
      <c r="R102" s="1975"/>
      <c r="S102" s="925"/>
      <c r="T102" s="925"/>
    </row>
    <row r="103" spans="1:23">
      <c r="A103" s="943"/>
      <c r="S103" s="941"/>
      <c r="T103" s="941"/>
    </row>
    <row r="104" spans="1:23">
      <c r="L104" s="944"/>
    </row>
  </sheetData>
  <mergeCells count="33">
    <mergeCell ref="A3:V3"/>
    <mergeCell ref="A4:V4"/>
    <mergeCell ref="A5:V5"/>
    <mergeCell ref="A92:C92"/>
    <mergeCell ref="K92:L92"/>
    <mergeCell ref="A6:H6"/>
    <mergeCell ref="A7:H7"/>
    <mergeCell ref="A15:B15"/>
    <mergeCell ref="E9:G9"/>
    <mergeCell ref="A89:E89"/>
    <mergeCell ref="B16:C16"/>
    <mergeCell ref="B54:C54"/>
    <mergeCell ref="B71:C71"/>
    <mergeCell ref="A90:V90"/>
    <mergeCell ref="A8:V8"/>
    <mergeCell ref="D11:D13"/>
    <mergeCell ref="V11:V13"/>
    <mergeCell ref="U11:U13"/>
    <mergeCell ref="I12:L12"/>
    <mergeCell ref="C11:C13"/>
    <mergeCell ref="S101:V101"/>
    <mergeCell ref="N98:V98"/>
    <mergeCell ref="J98:M98"/>
    <mergeCell ref="L95:M95"/>
    <mergeCell ref="N97:S97"/>
    <mergeCell ref="A11:B13"/>
    <mergeCell ref="E10:G10"/>
    <mergeCell ref="G12:H12"/>
    <mergeCell ref="F11:F13"/>
    <mergeCell ref="G11:T11"/>
    <mergeCell ref="T12:T13"/>
    <mergeCell ref="M12:S12"/>
    <mergeCell ref="E11:E13"/>
  </mergeCells>
  <phoneticPr fontId="57" type="noConversion"/>
  <pageMargins left="0.2" right="0.2" top="0.28000000000000003" bottom="0.2" header="0.3" footer="0.2"/>
  <pageSetup paperSize="9" scale="53" fitToHeight="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96"/>
  <sheetViews>
    <sheetView topLeftCell="A328" workbookViewId="0">
      <selection activeCell="I345" sqref="I345"/>
    </sheetView>
  </sheetViews>
  <sheetFormatPr defaultColWidth="8" defaultRowHeight="15"/>
  <cols>
    <col min="1" max="1" width="14.75" style="2185" customWidth="1"/>
    <col min="2" max="2" width="7.75" style="2185" customWidth="1"/>
    <col min="3" max="3" width="6.875" style="2185" customWidth="1"/>
    <col min="4" max="4" width="12.25" style="2185" customWidth="1"/>
    <col min="5" max="5" width="4.375" style="2185" customWidth="1"/>
    <col min="6" max="6" width="14.75" style="2185" customWidth="1"/>
    <col min="7" max="7" width="7.75" style="2185" customWidth="1"/>
    <col min="8" max="8" width="6.875" style="2185" customWidth="1"/>
    <col min="9" max="9" width="14.375" style="2185" customWidth="1"/>
    <col min="10" max="10" width="8" style="2185" customWidth="1"/>
    <col min="11" max="11" width="15.125" style="2185" customWidth="1"/>
    <col min="12" max="12" width="16.75" style="2185" customWidth="1"/>
    <col min="13" max="13" width="16.625" style="2185" bestFit="1" customWidth="1"/>
    <col min="14" max="14" width="14" style="2185" customWidth="1"/>
    <col min="15" max="16384" width="8" style="2185"/>
  </cols>
  <sheetData>
    <row r="1" spans="1:12">
      <c r="K1" s="2656" t="s">
        <v>321</v>
      </c>
    </row>
    <row r="2" spans="1:12" ht="12" customHeight="1">
      <c r="A2" s="3944" t="s">
        <v>1739</v>
      </c>
      <c r="B2" s="3945"/>
      <c r="C2" s="3945"/>
      <c r="D2" s="3951"/>
      <c r="E2" s="2538"/>
      <c r="F2" s="3944" t="str">
        <f>A2</f>
        <v xml:space="preserve">LƯƠNG THÁNG 12/2024   </v>
      </c>
      <c r="G2" s="3945"/>
      <c r="H2" s="3945"/>
      <c r="I2" s="3946"/>
      <c r="K2" s="2716">
        <f>D10+I10+D20+I20+D30+I30+D40+I40+D50+I50+D60+I60+D72+I72+D82+I82+D92+I92+D102+I102+D112+I112+D122+I122+D134+I134+D144+I144+D154+I154+D164+I164+D174+I174+D184+I184+'BẢNG LƯƠNG KT'!V53</f>
        <v>212438250.80353057</v>
      </c>
    </row>
    <row r="3" spans="1:12" ht="18" customHeight="1">
      <c r="A3" s="2539" t="s">
        <v>20</v>
      </c>
      <c r="B3" s="3949" t="str">
        <f>'BẢNG LƯƠNG KT'!C17</f>
        <v>Vắt Đi</v>
      </c>
      <c r="C3" s="3950"/>
      <c r="D3" s="2540">
        <v>1</v>
      </c>
      <c r="E3" s="2651"/>
      <c r="F3" s="2539" t="s">
        <v>20</v>
      </c>
      <c r="G3" s="3947" t="str">
        <f>'BẢNG LƯƠNG KT'!C18</f>
        <v>T Ô Vên</v>
      </c>
      <c r="H3" s="3947"/>
      <c r="I3" s="2540">
        <v>2</v>
      </c>
      <c r="K3" s="2715">
        <f>D29+D81+D91+I91+D101+I101</f>
        <v>0</v>
      </c>
    </row>
    <row r="4" spans="1:12" ht="12" customHeight="1">
      <c r="A4" s="2541" t="s">
        <v>1282</v>
      </c>
      <c r="B4" s="2542"/>
      <c r="C4" s="2543">
        <f>'BẢNG LƯƠNG KT'!G17</f>
        <v>0</v>
      </c>
      <c r="D4" s="2652">
        <f>C4*25000</f>
        <v>0</v>
      </c>
      <c r="E4" s="2545"/>
      <c r="F4" s="2541" t="s">
        <v>1282</v>
      </c>
      <c r="G4" s="2542"/>
      <c r="H4" s="2543">
        <f>'BẢNG LƯƠNG KT'!G18</f>
        <v>0</v>
      </c>
      <c r="I4" s="2544">
        <f>H4*25000</f>
        <v>0</v>
      </c>
      <c r="K4" s="2715">
        <f>D29+D91+I91+D101</f>
        <v>0</v>
      </c>
    </row>
    <row r="5" spans="1:12" ht="13.5" customHeight="1">
      <c r="A5" s="2546" t="s">
        <v>1283</v>
      </c>
      <c r="B5" s="2547"/>
      <c r="C5" s="2717">
        <f>SUM('BẢNG LƯƠNG KT'!M17:P17)</f>
        <v>30</v>
      </c>
      <c r="D5" s="2549">
        <f>'BẢNG LƯƠNG KT'!S17</f>
        <v>2349180.8000000003</v>
      </c>
      <c r="E5" s="2545"/>
      <c r="F5" s="2546" t="s">
        <v>1283</v>
      </c>
      <c r="G5" s="2547"/>
      <c r="H5" s="2548">
        <f>SUM('BẢNG LƯƠNG KT'!M18:P18)</f>
        <v>31</v>
      </c>
      <c r="I5" s="2549">
        <f>'BẢNG LƯƠNG KT'!S18</f>
        <v>2439561.5999999996</v>
      </c>
    </row>
    <row r="6" spans="1:12" ht="12" customHeight="1">
      <c r="A6" s="2546" t="s">
        <v>1284</v>
      </c>
      <c r="B6" s="2547"/>
      <c r="C6" s="2548">
        <f>'BẢNG LƯƠNG KT'!J17</f>
        <v>1290.825378130088</v>
      </c>
      <c r="D6" s="2549">
        <f>'BẢNG LƯƠNG KT'!L17</f>
        <v>5165366.8331253603</v>
      </c>
      <c r="E6" s="2545"/>
      <c r="F6" s="2546" t="s">
        <v>1284</v>
      </c>
      <c r="G6" s="2547"/>
      <c r="H6" s="2548">
        <f>'BẢNG LƯƠNG KT'!J18</f>
        <v>1129.3659825772793</v>
      </c>
      <c r="I6" s="2549">
        <f>'BẢNG LƯƠNG KT'!L18</f>
        <v>4297011.6905100318</v>
      </c>
      <c r="K6" s="2716"/>
      <c r="L6" s="3276"/>
    </row>
    <row r="7" spans="1:12" ht="12" customHeight="1">
      <c r="A7" s="2963" t="s">
        <v>23</v>
      </c>
      <c r="B7" s="2547"/>
      <c r="C7" s="2547"/>
      <c r="D7" s="2551"/>
      <c r="E7" s="2545"/>
      <c r="F7" s="2963" t="s">
        <v>23</v>
      </c>
      <c r="G7" s="2547"/>
      <c r="H7" s="2547"/>
      <c r="I7" s="2551"/>
      <c r="K7" s="2716"/>
      <c r="L7" s="3276"/>
    </row>
    <row r="8" spans="1:12" ht="12" customHeight="1">
      <c r="A8" s="2552" t="s">
        <v>1285</v>
      </c>
      <c r="B8" s="2547"/>
      <c r="C8" s="2547"/>
      <c r="D8" s="2551"/>
      <c r="E8" s="2545"/>
      <c r="F8" s="2552" t="s">
        <v>1285</v>
      </c>
      <c r="G8" s="2547"/>
      <c r="H8" s="2547"/>
      <c r="I8" s="2551"/>
    </row>
    <row r="9" spans="1:12" ht="12" customHeight="1">
      <c r="A9" s="2553" t="s">
        <v>1286</v>
      </c>
      <c r="B9" s="2547"/>
      <c r="C9" s="2554"/>
      <c r="D9" s="2549">
        <f>SUM(D8)</f>
        <v>0</v>
      </c>
      <c r="E9" s="2545"/>
      <c r="F9" s="2553" t="s">
        <v>1286</v>
      </c>
      <c r="G9" s="2547"/>
      <c r="H9" s="2554"/>
      <c r="I9" s="2549">
        <f>SUM(I8)</f>
        <v>0</v>
      </c>
      <c r="K9" s="3279">
        <f>K6-K7</f>
        <v>0</v>
      </c>
    </row>
    <row r="10" spans="1:12" ht="12" customHeight="1">
      <c r="A10" s="2555" t="s">
        <v>1287</v>
      </c>
      <c r="B10" s="2556"/>
      <c r="C10" s="2557"/>
      <c r="D10" s="2558">
        <f>(D4+D5+D6)+D7</f>
        <v>7514547.6331253611</v>
      </c>
      <c r="E10" s="2559"/>
      <c r="F10" s="2555" t="s">
        <v>1287</v>
      </c>
      <c r="G10" s="2556"/>
      <c r="H10" s="2557"/>
      <c r="I10" s="2558">
        <f>(I4+I5+I6+I7)-I9</f>
        <v>6736573.2905100314</v>
      </c>
    </row>
    <row r="11" spans="1:12" ht="12" customHeight="1"/>
    <row r="12" spans="1:12" s="2561" customFormat="1" ht="12" customHeight="1">
      <c r="A12" s="3944" t="str">
        <f>F2</f>
        <v xml:space="preserve">LƯƠNG THÁNG 12/2024   </v>
      </c>
      <c r="B12" s="3945"/>
      <c r="C12" s="3945"/>
      <c r="D12" s="3946"/>
      <c r="E12" s="2560"/>
      <c r="F12" s="3944" t="str">
        <f>A12</f>
        <v xml:space="preserve">LƯƠNG THÁNG 12/2024   </v>
      </c>
      <c r="G12" s="3945"/>
      <c r="H12" s="3945"/>
      <c r="I12" s="3946"/>
      <c r="J12" s="3948"/>
    </row>
    <row r="13" spans="1:12" s="2561" customFormat="1" ht="12" customHeight="1">
      <c r="A13" s="2539" t="s">
        <v>20</v>
      </c>
      <c r="B13" s="3947" t="str">
        <f>'BẢNG LƯƠNG KT'!C19</f>
        <v>Nàng Túc</v>
      </c>
      <c r="C13" s="3947"/>
      <c r="D13" s="2650">
        <v>3</v>
      </c>
      <c r="E13" s="2562"/>
      <c r="F13" s="2539" t="s">
        <v>20</v>
      </c>
      <c r="G13" s="3947" t="str">
        <f>'BẢNG LƯƠNG KT'!C20</f>
        <v>Thảo Say</v>
      </c>
      <c r="H13" s="3947"/>
      <c r="I13" s="2650">
        <v>4</v>
      </c>
      <c r="J13" s="3948"/>
    </row>
    <row r="14" spans="1:12" s="2561" customFormat="1" ht="12" customHeight="1">
      <c r="A14" s="2541" t="s">
        <v>1282</v>
      </c>
      <c r="B14" s="2542"/>
      <c r="C14" s="2543">
        <f>'BẢNG LƯƠNG KT'!G19</f>
        <v>0</v>
      </c>
      <c r="D14" s="2544">
        <f>C14*25000</f>
        <v>0</v>
      </c>
      <c r="E14" s="2563"/>
      <c r="F14" s="2541" t="s">
        <v>1282</v>
      </c>
      <c r="G14" s="2542"/>
      <c r="H14" s="2543">
        <f>'BẢNG LƯƠNG KT'!G20</f>
        <v>0</v>
      </c>
      <c r="I14" s="2544">
        <f>H14*25000</f>
        <v>0</v>
      </c>
      <c r="J14" s="3948"/>
    </row>
    <row r="15" spans="1:12" s="2561" customFormat="1" ht="12" customHeight="1">
      <c r="A15" s="2546" t="s">
        <v>1283</v>
      </c>
      <c r="B15" s="2547"/>
      <c r="C15" s="2548">
        <f>SUM('BẢNG LƯƠNG KT'!M19:P19)</f>
        <v>31</v>
      </c>
      <c r="D15" s="2549">
        <f>'BẢNG LƯƠNG KT'!S19</f>
        <v>2439561.5999999996</v>
      </c>
      <c r="E15" s="2563"/>
      <c r="F15" s="2546" t="s">
        <v>1283</v>
      </c>
      <c r="G15" s="2547"/>
      <c r="H15" s="2548">
        <f>SUM('BẢNG LƯƠNG KT'!M20:P20)</f>
        <v>18</v>
      </c>
      <c r="I15" s="2549">
        <f>'BẢNG LƯƠNG KT'!S20</f>
        <v>1425724.7999999998</v>
      </c>
      <c r="J15" s="3948"/>
    </row>
    <row r="16" spans="1:12" ht="12" customHeight="1">
      <c r="A16" s="2546" t="s">
        <v>1284</v>
      </c>
      <c r="B16" s="2547"/>
      <c r="C16" s="2548">
        <f>'BẢNG LƯƠNG KT'!J19</f>
        <v>1046.9367122161084</v>
      </c>
      <c r="D16" s="2549">
        <f>'BẢNG LƯƠNG KT'!L19</f>
        <v>4189421.9476039791</v>
      </c>
      <c r="E16" s="2560"/>
      <c r="F16" s="2546" t="s">
        <v>1284</v>
      </c>
      <c r="G16" s="2547"/>
      <c r="H16" s="2548">
        <f>'BẢNG LƯƠNG KT'!J20</f>
        <v>629.26674950976314</v>
      </c>
      <c r="I16" s="2549">
        <f>'BẢNG LƯƠNG KT'!L20</f>
        <v>2394234.1285347468</v>
      </c>
      <c r="J16" s="3948"/>
    </row>
    <row r="17" spans="1:10" s="2561" customFormat="1" ht="12" customHeight="1">
      <c r="A17" s="2963" t="s">
        <v>23</v>
      </c>
      <c r="B17" s="2547"/>
      <c r="C17" s="2547"/>
      <c r="D17" s="2551"/>
      <c r="E17" s="2564"/>
      <c r="F17" s="2963" t="s">
        <v>23</v>
      </c>
      <c r="G17" s="2547"/>
      <c r="H17" s="2547"/>
      <c r="I17" s="2551"/>
      <c r="J17" s="3948"/>
    </row>
    <row r="18" spans="1:10" s="2565" customFormat="1" ht="12" customHeight="1">
      <c r="A18" s="2552" t="s">
        <v>1285</v>
      </c>
      <c r="B18" s="2547"/>
      <c r="C18" s="2547"/>
      <c r="D18" s="2551"/>
      <c r="E18" s="2560"/>
      <c r="F18" s="2552" t="s">
        <v>1285</v>
      </c>
      <c r="G18" s="2547"/>
      <c r="H18" s="2547"/>
      <c r="I18" s="2551"/>
      <c r="J18" s="3948"/>
    </row>
    <row r="19" spans="1:10" s="2561" customFormat="1" ht="12" customHeight="1">
      <c r="A19" s="2553" t="s">
        <v>1286</v>
      </c>
      <c r="B19" s="2547"/>
      <c r="C19" s="2554"/>
      <c r="D19" s="2998"/>
      <c r="E19" s="2566"/>
      <c r="F19" s="2553" t="s">
        <v>1286</v>
      </c>
      <c r="G19" s="2547"/>
      <c r="H19" s="2554"/>
      <c r="I19" s="2549">
        <f>SUM(I18)</f>
        <v>0</v>
      </c>
      <c r="J19" s="3948"/>
    </row>
    <row r="20" spans="1:10" s="2561" customFormat="1" ht="12" customHeight="1">
      <c r="A20" s="2555" t="s">
        <v>1287</v>
      </c>
      <c r="B20" s="2556"/>
      <c r="C20" s="2557"/>
      <c r="D20" s="2558">
        <f>(D14+D15+D16+D17)-D19</f>
        <v>6628983.5476039788</v>
      </c>
      <c r="E20" s="2563"/>
      <c r="F20" s="2555" t="s">
        <v>1287</v>
      </c>
      <c r="G20" s="2556"/>
      <c r="H20" s="2557"/>
      <c r="I20" s="2558">
        <f>(I14+I15+I16)-I19</f>
        <v>3819958.9285347466</v>
      </c>
      <c r="J20" s="3948"/>
    </row>
    <row r="21" spans="1:10" ht="6.75" customHeight="1">
      <c r="A21" s="2567"/>
      <c r="B21" s="2568"/>
      <c r="C21" s="2560"/>
      <c r="D21" s="2563"/>
      <c r="E21" s="2563"/>
      <c r="F21" s="2567"/>
      <c r="G21" s="2568"/>
      <c r="H21" s="2560"/>
      <c r="I21" s="2563"/>
      <c r="J21" s="3948"/>
    </row>
    <row r="22" spans="1:10" ht="12" customHeight="1">
      <c r="A22" s="3944" t="str">
        <f>F12</f>
        <v xml:space="preserve">LƯƠNG THÁNG 12/2024   </v>
      </c>
      <c r="B22" s="3945"/>
      <c r="C22" s="3945"/>
      <c r="D22" s="3946"/>
      <c r="E22" s="2563"/>
      <c r="F22" s="3944" t="str">
        <f>F12</f>
        <v xml:space="preserve">LƯƠNG THÁNG 12/2024   </v>
      </c>
      <c r="G22" s="3945"/>
      <c r="H22" s="3945"/>
      <c r="I22" s="3946"/>
      <c r="J22" s="3948"/>
    </row>
    <row r="23" spans="1:10" ht="12" customHeight="1">
      <c r="A23" s="2539" t="s">
        <v>20</v>
      </c>
      <c r="B23" s="3949" t="str">
        <f>'BẢNG LƯƠNG KT'!C21</f>
        <v>Thảo Pheng</v>
      </c>
      <c r="C23" s="3950"/>
      <c r="D23" s="2540">
        <v>5</v>
      </c>
      <c r="E23" s="2563"/>
      <c r="F23" s="2539" t="s">
        <v>20</v>
      </c>
      <c r="G23" s="3947" t="str">
        <f>'BẢNG LƯƠNG KT'!C22</f>
        <v>Nàng Chay</v>
      </c>
      <c r="H23" s="3947"/>
      <c r="I23" s="2650">
        <v>6</v>
      </c>
      <c r="J23" s="3948"/>
    </row>
    <row r="24" spans="1:10" ht="12" customHeight="1">
      <c r="A24" s="2541" t="s">
        <v>1282</v>
      </c>
      <c r="B24" s="2542"/>
      <c r="C24" s="2543">
        <f>'BẢNG LƯƠNG KT'!G21</f>
        <v>0</v>
      </c>
      <c r="D24" s="2544">
        <f>C24*25000</f>
        <v>0</v>
      </c>
      <c r="E24" s="2568"/>
      <c r="F24" s="2541" t="s">
        <v>1282</v>
      </c>
      <c r="G24" s="2542"/>
      <c r="H24" s="2543">
        <f>'BẢNG LƯƠNG KT'!G22</f>
        <v>0</v>
      </c>
      <c r="I24" s="2544">
        <f>H24*25000</f>
        <v>0</v>
      </c>
      <c r="J24" s="3948"/>
    </row>
    <row r="25" spans="1:10" ht="12" customHeight="1">
      <c r="A25" s="2546" t="s">
        <v>1283</v>
      </c>
      <c r="B25" s="2547"/>
      <c r="C25" s="2548">
        <f>SUM('BẢNG LƯƠNG KT'!M21:P21)</f>
        <v>28</v>
      </c>
      <c r="D25" s="2549">
        <f>'BẢNG LƯƠNG KT'!S21</f>
        <v>2329532.7999999998</v>
      </c>
      <c r="E25" s="2568"/>
      <c r="F25" s="2546" t="s">
        <v>1283</v>
      </c>
      <c r="G25" s="2547"/>
      <c r="H25" s="2548">
        <f>SUM('BẢNG LƯƠNG KT'!M22:P22)</f>
        <v>31</v>
      </c>
      <c r="I25" s="2549">
        <f>'BẢNG LƯƠNG KT'!S22</f>
        <v>2580536</v>
      </c>
      <c r="J25" s="3948"/>
    </row>
    <row r="26" spans="1:10" ht="12" customHeight="1">
      <c r="A26" s="2546" t="s">
        <v>1284</v>
      </c>
      <c r="B26" s="2547"/>
      <c r="C26" s="2548">
        <f>'BẢNG LƯƠNG KT'!J21</f>
        <v>948.36150229965654</v>
      </c>
      <c r="D26" s="2549">
        <f>'BẢNG LƯƠNG KT'!L21</f>
        <v>3421688.3002971606</v>
      </c>
      <c r="E26" s="2560"/>
      <c r="F26" s="2546" t="s">
        <v>1284</v>
      </c>
      <c r="G26" s="2547"/>
      <c r="H26" s="2548">
        <f>'BẢNG LƯƠNG KT'!J22</f>
        <v>1049.0611779470664</v>
      </c>
      <c r="I26" s="2549">
        <f>'BẢNG LƯƠNG KT'!L22</f>
        <v>3991467.9698529979</v>
      </c>
      <c r="J26" s="3948"/>
    </row>
    <row r="27" spans="1:10" ht="12" customHeight="1">
      <c r="A27" s="2550" t="s">
        <v>23</v>
      </c>
      <c r="B27" s="2547"/>
      <c r="C27" s="2547"/>
      <c r="D27" s="2551"/>
      <c r="E27" s="2569"/>
      <c r="F27" s="2963" t="s">
        <v>23</v>
      </c>
      <c r="G27" s="2547"/>
      <c r="H27" s="2547"/>
      <c r="I27" s="2551"/>
      <c r="J27" s="2570"/>
    </row>
    <row r="28" spans="1:10" ht="12" customHeight="1">
      <c r="A28" s="2552" t="s">
        <v>1285</v>
      </c>
      <c r="B28" s="2547"/>
      <c r="C28" s="2547"/>
      <c r="D28" s="2551"/>
      <c r="E28" s="2568"/>
      <c r="F28" s="2552" t="s">
        <v>1285</v>
      </c>
      <c r="G28" s="2547"/>
      <c r="H28" s="2547"/>
      <c r="I28" s="2551"/>
      <c r="J28" s="3948"/>
    </row>
    <row r="29" spans="1:10" ht="12" customHeight="1">
      <c r="A29" s="2553" t="s">
        <v>1286</v>
      </c>
      <c r="B29" s="2547"/>
      <c r="C29" s="2554"/>
      <c r="D29" s="2998"/>
      <c r="E29" s="2560"/>
      <c r="F29" s="2553" t="s">
        <v>1286</v>
      </c>
      <c r="G29" s="2547"/>
      <c r="H29" s="2554"/>
      <c r="I29" s="2549">
        <f>SUM(I28)</f>
        <v>0</v>
      </c>
      <c r="J29" s="3948"/>
    </row>
    <row r="30" spans="1:10" ht="12" customHeight="1">
      <c r="A30" s="2555" t="s">
        <v>1287</v>
      </c>
      <c r="B30" s="2556"/>
      <c r="C30" s="2557"/>
      <c r="D30" s="2558">
        <f>(D24+D25+D26)-D29</f>
        <v>5751221.1002971604</v>
      </c>
      <c r="E30" s="2566"/>
      <c r="F30" s="2555" t="s">
        <v>1287</v>
      </c>
      <c r="G30" s="2556"/>
      <c r="H30" s="2557"/>
      <c r="I30" s="2558">
        <f>(I24+I25+I26)-I29</f>
        <v>6572003.9698529979</v>
      </c>
      <c r="J30" s="3948"/>
    </row>
    <row r="31" spans="1:10" ht="8.25" customHeight="1">
      <c r="A31" s="2563"/>
      <c r="B31" s="2568"/>
      <c r="C31" s="2568"/>
      <c r="D31" s="2568"/>
      <c r="E31" s="2568"/>
      <c r="F31" s="2563"/>
      <c r="G31" s="2568"/>
      <c r="H31" s="2568"/>
      <c r="I31" s="2568"/>
      <c r="J31" s="3948"/>
    </row>
    <row r="32" spans="1:10" ht="12" customHeight="1">
      <c r="A32" s="3944" t="str">
        <f>F22</f>
        <v xml:space="preserve">LƯƠNG THÁNG 12/2024   </v>
      </c>
      <c r="B32" s="3945"/>
      <c r="C32" s="3945"/>
      <c r="D32" s="3946"/>
      <c r="E32" s="2560"/>
      <c r="F32" s="3944" t="str">
        <f>F22</f>
        <v xml:space="preserve">LƯƠNG THÁNG 12/2024   </v>
      </c>
      <c r="G32" s="3945"/>
      <c r="H32" s="3945"/>
      <c r="I32" s="3946"/>
      <c r="J32" s="3948"/>
    </row>
    <row r="33" spans="1:10" ht="12" customHeight="1">
      <c r="A33" s="2539" t="s">
        <v>20</v>
      </c>
      <c r="B33" s="3947" t="str">
        <f>'BẢNG LƯƠNG KT'!C23</f>
        <v>Nàng Hđao</v>
      </c>
      <c r="C33" s="3947"/>
      <c r="D33" s="2650">
        <v>7</v>
      </c>
      <c r="E33" s="2569"/>
      <c r="F33" s="2539" t="s">
        <v>20</v>
      </c>
      <c r="G33" s="3947" t="str">
        <f>'BẢNG LƯƠNG KT'!C24</f>
        <v xml:space="preserve">Thảo Ken </v>
      </c>
      <c r="H33" s="3947"/>
      <c r="I33" s="2650">
        <v>8</v>
      </c>
      <c r="J33" s="3948"/>
    </row>
    <row r="34" spans="1:10" ht="12" customHeight="1">
      <c r="A34" s="2541" t="s">
        <v>1282</v>
      </c>
      <c r="B34" s="2542"/>
      <c r="C34" s="2543">
        <f>VLOOKUP(B33,'BẢNG LƯƠNG KT'!C17:S53,5,0)</f>
        <v>0</v>
      </c>
      <c r="D34" s="2544">
        <f>C34*25000</f>
        <v>0</v>
      </c>
      <c r="E34" s="2569"/>
      <c r="F34" s="2541" t="s">
        <v>1282</v>
      </c>
      <c r="G34" s="2542"/>
      <c r="H34" s="2543">
        <f>'BẢNG LƯƠNG KT'!G24</f>
        <v>0</v>
      </c>
      <c r="I34" s="2544">
        <f>H34*25000</f>
        <v>0</v>
      </c>
      <c r="J34" s="2570"/>
    </row>
    <row r="35" spans="1:10" ht="12" customHeight="1">
      <c r="A35" s="2546" t="s">
        <v>1283</v>
      </c>
      <c r="B35" s="2547"/>
      <c r="C35" s="2717">
        <f>SUM('BẢNG LƯƠNG KT'!M23:P23)</f>
        <v>25</v>
      </c>
      <c r="D35" s="2717">
        <f>'BẢNG LƯƠNG KT'!S23</f>
        <v>2078529.6</v>
      </c>
      <c r="E35" s="2568"/>
      <c r="F35" s="2546" t="s">
        <v>1283</v>
      </c>
      <c r="G35" s="2547"/>
      <c r="H35" s="2548">
        <f>SUM('BẢNG LƯƠNG KT'!M24:P24)</f>
        <v>31</v>
      </c>
      <c r="I35" s="2549">
        <f>'BẢNG LƯƠNG KT'!S24</f>
        <v>2560396.7999999998</v>
      </c>
      <c r="J35" s="3948"/>
    </row>
    <row r="36" spans="1:10" ht="12" customHeight="1">
      <c r="A36" s="2546" t="s">
        <v>1284</v>
      </c>
      <c r="B36" s="2547"/>
      <c r="C36" s="2548">
        <f>'BẢNG LƯƠNG KT'!J23</f>
        <v>896.09964531808942</v>
      </c>
      <c r="D36" s="2549">
        <f>'BẢNG LƯƠNG KT'!L23</f>
        <v>3409479.9305062662</v>
      </c>
      <c r="E36" s="2560"/>
      <c r="F36" s="2546" t="s">
        <v>1284</v>
      </c>
      <c r="G36" s="2547"/>
      <c r="H36" s="2548">
        <f>'BẢNG LƯƠNG KT'!J24</f>
        <v>1054.1598957013657</v>
      </c>
      <c r="I36" s="2549">
        <f>'BẢNG LƯƠNG KT'!L24</f>
        <v>4218326.2386385845</v>
      </c>
      <c r="J36" s="3948"/>
    </row>
    <row r="37" spans="1:10" ht="12" customHeight="1">
      <c r="A37" s="2963" t="s">
        <v>23</v>
      </c>
      <c r="B37" s="2547"/>
      <c r="C37" s="2547"/>
      <c r="D37" s="2551"/>
      <c r="E37" s="2563"/>
      <c r="F37" s="2963" t="s">
        <v>23</v>
      </c>
      <c r="G37" s="2547"/>
      <c r="H37" s="2547"/>
      <c r="I37" s="2551"/>
      <c r="J37" s="3948"/>
    </row>
    <row r="38" spans="1:10" ht="12" customHeight="1">
      <c r="A38" s="2552" t="s">
        <v>1285</v>
      </c>
      <c r="B38" s="2547"/>
      <c r="C38" s="2547"/>
      <c r="D38" s="3280"/>
      <c r="E38" s="2563"/>
      <c r="F38" s="2552" t="s">
        <v>1285</v>
      </c>
      <c r="G38" s="2547"/>
      <c r="H38" s="2547"/>
      <c r="I38" s="2551"/>
      <c r="J38" s="3948"/>
    </row>
    <row r="39" spans="1:10" ht="12" customHeight="1">
      <c r="A39" s="2553" t="s">
        <v>1286</v>
      </c>
      <c r="B39" s="2547"/>
      <c r="C39" s="2554"/>
      <c r="D39" s="2549">
        <f>SUM(D38)</f>
        <v>0</v>
      </c>
      <c r="E39" s="2563"/>
      <c r="F39" s="2553" t="s">
        <v>1286</v>
      </c>
      <c r="G39" s="2547"/>
      <c r="H39" s="2554"/>
      <c r="I39" s="2549">
        <f>SUM(I38)</f>
        <v>0</v>
      </c>
      <c r="J39" s="3948"/>
    </row>
    <row r="40" spans="1:10" ht="12" customHeight="1">
      <c r="A40" s="2555" t="s">
        <v>1287</v>
      </c>
      <c r="B40" s="2556"/>
      <c r="C40" s="2557"/>
      <c r="D40" s="2558">
        <f>(D34+D35+D36)-D39</f>
        <v>5488009.5305062663</v>
      </c>
      <c r="E40" s="2563"/>
      <c r="F40" s="2555" t="s">
        <v>1287</v>
      </c>
      <c r="G40" s="2556"/>
      <c r="H40" s="2557"/>
      <c r="I40" s="2558">
        <f>(I34+I35+I36)-I39</f>
        <v>6778723.0386385843</v>
      </c>
      <c r="J40" s="3948"/>
    </row>
    <row r="41" spans="1:10" ht="12" customHeight="1">
      <c r="A41" s="2568"/>
      <c r="B41" s="2568"/>
      <c r="C41" s="2568"/>
      <c r="D41" s="2568"/>
      <c r="E41" s="2568"/>
      <c r="F41" s="2568"/>
      <c r="G41" s="2568"/>
      <c r="H41" s="2568"/>
      <c r="I41" s="2568"/>
      <c r="J41" s="3948"/>
    </row>
    <row r="42" spans="1:10" ht="12" customHeight="1">
      <c r="A42" s="3944" t="str">
        <f>F32</f>
        <v xml:space="preserve">LƯƠNG THÁNG 12/2024   </v>
      </c>
      <c r="B42" s="3945"/>
      <c r="C42" s="3945"/>
      <c r="D42" s="3946"/>
      <c r="E42" s="2560"/>
      <c r="F42" s="3944" t="str">
        <f>A42</f>
        <v xml:space="preserve">LƯƠNG THÁNG 12/2024   </v>
      </c>
      <c r="G42" s="3945"/>
      <c r="H42" s="3945"/>
      <c r="I42" s="3946"/>
      <c r="J42" s="3948"/>
    </row>
    <row r="43" spans="1:10" ht="12" customHeight="1">
      <c r="A43" s="2539" t="s">
        <v>20</v>
      </c>
      <c r="B43" s="3947" t="str">
        <f>'BẢNG LƯƠNG KT'!C25</f>
        <v>Thảo Cợt</v>
      </c>
      <c r="C43" s="3947"/>
      <c r="D43" s="2650">
        <v>9</v>
      </c>
      <c r="E43" s="2566"/>
      <c r="F43" s="2539" t="s">
        <v>20</v>
      </c>
      <c r="G43" s="3949" t="str">
        <f>'BẢNG LƯƠNG KT'!C26</f>
        <v>Thảo Mi</v>
      </c>
      <c r="H43" s="3953"/>
      <c r="I43" s="2650">
        <v>10</v>
      </c>
      <c r="J43" s="3948"/>
    </row>
    <row r="44" spans="1:10" ht="12" customHeight="1">
      <c r="A44" s="2541" t="s">
        <v>1282</v>
      </c>
      <c r="B44" s="2542"/>
      <c r="C44" s="2543">
        <f>'BẢNG LƯƠNG KT'!G25</f>
        <v>0</v>
      </c>
      <c r="D44" s="2544">
        <f>C44*25000</f>
        <v>0</v>
      </c>
      <c r="E44" s="2563"/>
      <c r="F44" s="2541" t="s">
        <v>1282</v>
      </c>
      <c r="G44" s="2542"/>
      <c r="H44" s="2543">
        <f>'BẢNG LƯƠNG KT'!G26</f>
        <v>0</v>
      </c>
      <c r="I44" s="2544">
        <f>H44*25000</f>
        <v>0</v>
      </c>
      <c r="J44" s="3948"/>
    </row>
    <row r="45" spans="1:10" ht="12" customHeight="1">
      <c r="A45" s="2546" t="s">
        <v>1283</v>
      </c>
      <c r="B45" s="2547"/>
      <c r="C45" s="2548">
        <f>SUM('BẢNG LƯƠNG KT'!M25:P25)</f>
        <v>23</v>
      </c>
      <c r="D45" s="2549">
        <f>'BẢNG LƯƠNG KT'!S25</f>
        <v>1937980.7999999998</v>
      </c>
      <c r="E45" s="2563"/>
      <c r="F45" s="2546" t="s">
        <v>1283</v>
      </c>
      <c r="G45" s="2547"/>
      <c r="H45" s="2548">
        <f>SUM('BẢNG LƯƠNG KT'!M26:P26)</f>
        <v>19</v>
      </c>
      <c r="I45" s="2549">
        <f>'BẢNG LƯƠNG KT'!S26</f>
        <v>1576457.6</v>
      </c>
      <c r="J45" s="3948"/>
    </row>
    <row r="46" spans="1:10" ht="12" customHeight="1">
      <c r="A46" s="2546" t="s">
        <v>1284</v>
      </c>
      <c r="B46" s="2547"/>
      <c r="C46" s="2548">
        <f>'BẢNG LƯƠNG KT'!J25</f>
        <v>929.66620386722605</v>
      </c>
      <c r="D46" s="2549">
        <f>'BẢNG LƯƠNG KT'!L25</f>
        <v>3537193.9724740214</v>
      </c>
      <c r="E46" s="2563"/>
      <c r="F46" s="2546" t="s">
        <v>1284</v>
      </c>
      <c r="G46" s="2547"/>
      <c r="H46" s="2548">
        <f>'BẢNG LƯƠNG KT'!J26</f>
        <v>624.59292490165546</v>
      </c>
      <c r="I46" s="2549">
        <f>'BẢNG LƯƠNG KT'!L26</f>
        <v>2376451.1606658185</v>
      </c>
      <c r="J46" s="3948"/>
    </row>
    <row r="47" spans="1:10" ht="12" customHeight="1">
      <c r="A47" s="2963" t="s">
        <v>23</v>
      </c>
      <c r="B47" s="2547"/>
      <c r="C47" s="2547"/>
      <c r="D47" s="2551"/>
      <c r="E47" s="2568"/>
      <c r="F47" s="2963" t="s">
        <v>23</v>
      </c>
      <c r="G47" s="2547"/>
      <c r="H47" s="2547"/>
      <c r="I47" s="2551"/>
      <c r="J47" s="3948"/>
    </row>
    <row r="48" spans="1:10" ht="12" customHeight="1">
      <c r="A48" s="2552" t="s">
        <v>1285</v>
      </c>
      <c r="B48" s="2547"/>
      <c r="C48" s="2547"/>
      <c r="D48" s="3280"/>
      <c r="E48" s="2568"/>
      <c r="F48" s="2552" t="s">
        <v>1285</v>
      </c>
      <c r="G48" s="2547"/>
      <c r="H48" s="2547"/>
      <c r="I48" s="2551"/>
      <c r="J48" s="3948"/>
    </row>
    <row r="49" spans="1:10" ht="12" customHeight="1">
      <c r="A49" s="2553" t="s">
        <v>1286</v>
      </c>
      <c r="B49" s="2547"/>
      <c r="C49" s="2554"/>
      <c r="D49" s="2549">
        <f>SUM(D48)</f>
        <v>0</v>
      </c>
      <c r="E49" s="2560"/>
      <c r="F49" s="2553" t="s">
        <v>1286</v>
      </c>
      <c r="G49" s="2547"/>
      <c r="H49" s="2554"/>
      <c r="I49" s="2549">
        <f>SUM(I48)</f>
        <v>0</v>
      </c>
      <c r="J49" s="3948"/>
    </row>
    <row r="50" spans="1:10" ht="12" customHeight="1">
      <c r="A50" s="2555" t="s">
        <v>1287</v>
      </c>
      <c r="B50" s="2556"/>
      <c r="C50" s="2557"/>
      <c r="D50" s="2558">
        <f>(D44+D45+D46)-D49</f>
        <v>5475174.7724740207</v>
      </c>
      <c r="E50" s="2569"/>
      <c r="F50" s="2555" t="s">
        <v>1287</v>
      </c>
      <c r="G50" s="2556"/>
      <c r="H50" s="2557"/>
      <c r="I50" s="2558">
        <f>(I44+I45+I46)-I49</f>
        <v>3952908.7606658186</v>
      </c>
      <c r="J50" s="3948"/>
    </row>
    <row r="51" spans="1:10" ht="12" customHeight="1">
      <c r="A51" s="2567"/>
      <c r="B51" s="2568"/>
      <c r="C51" s="2560"/>
      <c r="D51" s="2563"/>
      <c r="E51" s="2563"/>
      <c r="F51" s="2567"/>
      <c r="G51" s="2568"/>
      <c r="H51" s="2560"/>
      <c r="I51" s="2563"/>
      <c r="J51" s="3948"/>
    </row>
    <row r="52" spans="1:10" ht="12" customHeight="1">
      <c r="A52" s="3944" t="str">
        <f>F42</f>
        <v xml:space="preserve">LƯƠNG THÁNG 12/2024   </v>
      </c>
      <c r="B52" s="3945"/>
      <c r="C52" s="3945"/>
      <c r="D52" s="3946"/>
      <c r="E52" s="2563"/>
      <c r="F52" s="3944" t="str">
        <f>A52</f>
        <v xml:space="preserve">LƯƠNG THÁNG 12/2024   </v>
      </c>
      <c r="G52" s="3945"/>
      <c r="H52" s="3945"/>
      <c r="I52" s="3946"/>
      <c r="J52" s="3948"/>
    </row>
    <row r="53" spans="1:10" ht="12" customHeight="1">
      <c r="A53" s="2539" t="s">
        <v>20</v>
      </c>
      <c r="B53" s="3947" t="str">
        <f>'BẢNG LƯƠNG KT'!C27</f>
        <v>Thảo Phét</v>
      </c>
      <c r="C53" s="3947"/>
      <c r="D53" s="2650">
        <v>11</v>
      </c>
      <c r="E53" s="2568"/>
      <c r="F53" s="2539" t="s">
        <v>20</v>
      </c>
      <c r="G53" s="3947" t="str">
        <f>'BẢNG LƯƠNG KT'!C28</f>
        <v>Thảo Hăm</v>
      </c>
      <c r="H53" s="3947"/>
      <c r="I53" s="2650">
        <v>12</v>
      </c>
      <c r="J53" s="3948"/>
    </row>
    <row r="54" spans="1:10" ht="12" customHeight="1">
      <c r="A54" s="2541" t="s">
        <v>1282</v>
      </c>
      <c r="B54" s="2542"/>
      <c r="C54" s="2543">
        <f>'BẢNG LƯƠNG KT'!G27</f>
        <v>0</v>
      </c>
      <c r="D54" s="2544">
        <f>C54*25000</f>
        <v>0</v>
      </c>
      <c r="E54" s="2568"/>
      <c r="F54" s="2541" t="s">
        <v>1282</v>
      </c>
      <c r="G54" s="2542"/>
      <c r="H54" s="2543">
        <f>'BẢNG LƯƠNG KT'!G28</f>
        <v>0</v>
      </c>
      <c r="I54" s="2544">
        <f>H54*25000</f>
        <v>0</v>
      </c>
      <c r="J54" s="3948"/>
    </row>
    <row r="55" spans="1:10" ht="12" customHeight="1">
      <c r="A55" s="2546" t="s">
        <v>1283</v>
      </c>
      <c r="B55" s="2547"/>
      <c r="C55" s="2548">
        <f>SUM('BẢNG LƯƠNG KT'!M27:P27)</f>
        <v>28</v>
      </c>
      <c r="D55" s="2549">
        <f>'BẢNG LƯƠNG KT'!S27</f>
        <v>2027379.2</v>
      </c>
      <c r="E55" s="2560"/>
      <c r="F55" s="2546" t="s">
        <v>1283</v>
      </c>
      <c r="G55" s="2547"/>
      <c r="H55" s="2548">
        <f>SUM('BẢNG LƯƠNG KT'!M28:P28)</f>
        <v>28</v>
      </c>
      <c r="I55" s="2549">
        <f>'BẢNG LƯƠNG KT'!S28</f>
        <v>2047584</v>
      </c>
      <c r="J55" s="3948"/>
    </row>
    <row r="56" spans="1:10" ht="12" customHeight="1">
      <c r="A56" s="2546" t="s">
        <v>1284</v>
      </c>
      <c r="B56" s="2547"/>
      <c r="C56" s="2548">
        <f>'BẢNG LƯƠNG KT'!J27</f>
        <v>939.0138530834414</v>
      </c>
      <c r="D56" s="2549">
        <f>'BẢNG LƯƠNG KT'!L27</f>
        <v>3757557.8344986988</v>
      </c>
      <c r="E56" s="2569"/>
      <c r="F56" s="2546" t="s">
        <v>1284</v>
      </c>
      <c r="G56" s="2547"/>
      <c r="H56" s="2548">
        <f>'BẢNG LƯƠNG KT'!J28</f>
        <v>1085.6019885195442</v>
      </c>
      <c r="I56" s="2549">
        <f>'BẢNG LƯƠNG KT'!L28</f>
        <v>4344144.9172598077</v>
      </c>
      <c r="J56" s="3948"/>
    </row>
    <row r="57" spans="1:10" ht="12" customHeight="1">
      <c r="A57" s="2963" t="s">
        <v>23</v>
      </c>
      <c r="B57" s="2547"/>
      <c r="C57" s="2547"/>
      <c r="D57" s="2551"/>
      <c r="E57" s="2569"/>
      <c r="F57" s="2963" t="s">
        <v>23</v>
      </c>
      <c r="G57" s="2547"/>
      <c r="H57" s="2547"/>
      <c r="I57" s="2551"/>
      <c r="J57" s="2570"/>
    </row>
    <row r="58" spans="1:10" ht="12" customHeight="1">
      <c r="A58" s="2552" t="s">
        <v>1285</v>
      </c>
      <c r="B58" s="2547"/>
      <c r="C58" s="2547"/>
      <c r="D58" s="2551"/>
      <c r="E58" s="2569"/>
      <c r="F58" s="2552" t="s">
        <v>1285</v>
      </c>
      <c r="G58" s="2547"/>
      <c r="H58" s="2547"/>
      <c r="I58" s="3280"/>
      <c r="J58" s="2570"/>
    </row>
    <row r="59" spans="1:10" ht="12" customHeight="1">
      <c r="A59" s="2553" t="s">
        <v>1286</v>
      </c>
      <c r="B59" s="2547"/>
      <c r="C59" s="2554"/>
      <c r="D59" s="2549">
        <f>SUM(D58)</f>
        <v>0</v>
      </c>
      <c r="E59" s="2569"/>
      <c r="F59" s="2553" t="s">
        <v>1286</v>
      </c>
      <c r="G59" s="2547"/>
      <c r="H59" s="2554"/>
      <c r="I59" s="2549">
        <f>SUM(I58)</f>
        <v>0</v>
      </c>
      <c r="J59" s="2570"/>
    </row>
    <row r="60" spans="1:10" ht="12" customHeight="1">
      <c r="A60" s="2555" t="s">
        <v>1287</v>
      </c>
      <c r="B60" s="2556"/>
      <c r="C60" s="2557"/>
      <c r="D60" s="2558">
        <f>(D54+D55+D56)-D59</f>
        <v>5784937.034498699</v>
      </c>
      <c r="E60" s="2569"/>
      <c r="F60" s="2555" t="s">
        <v>1287</v>
      </c>
      <c r="G60" s="2556"/>
      <c r="H60" s="2557"/>
      <c r="I60" s="2558">
        <f>(I54+I55+I56)-I59</f>
        <v>6391728.9172598077</v>
      </c>
      <c r="J60" s="2570"/>
    </row>
    <row r="61" spans="1:10" ht="12" customHeight="1">
      <c r="A61" s="2563"/>
      <c r="B61" s="2577"/>
      <c r="C61" s="2578"/>
      <c r="D61" s="2569"/>
      <c r="E61" s="2569"/>
      <c r="F61" s="2563"/>
      <c r="G61" s="2577"/>
      <c r="H61" s="2578"/>
      <c r="I61" s="2569"/>
      <c r="J61" s="2999"/>
    </row>
    <row r="62" spans="1:10" ht="12" customHeight="1">
      <c r="A62" s="2563"/>
      <c r="B62" s="2577"/>
      <c r="C62" s="2578"/>
      <c r="D62" s="2569"/>
      <c r="E62" s="2569"/>
      <c r="F62" s="2563"/>
      <c r="G62" s="2577"/>
      <c r="H62" s="2578"/>
      <c r="I62" s="2569"/>
      <c r="J62" s="2999"/>
    </row>
    <row r="63" spans="1:10" ht="16.5" customHeight="1">
      <c r="A63" s="2567"/>
      <c r="B63" s="2568"/>
      <c r="C63" s="2560"/>
      <c r="D63" s="2563"/>
      <c r="E63" s="2563"/>
      <c r="F63" s="2567"/>
      <c r="G63" s="2568"/>
      <c r="H63" s="2560"/>
      <c r="I63" s="2563"/>
      <c r="J63" s="3952"/>
    </row>
    <row r="64" spans="1:10" ht="12" customHeight="1">
      <c r="A64" s="3944" t="str">
        <f>F52</f>
        <v xml:space="preserve">LƯƠNG THÁNG 12/2024   </v>
      </c>
      <c r="B64" s="3945"/>
      <c r="C64" s="3945"/>
      <c r="D64" s="3946"/>
      <c r="E64" s="2563"/>
      <c r="F64" s="3944" t="str">
        <f>A64</f>
        <v xml:space="preserve">LƯƠNG THÁNG 12/2024   </v>
      </c>
      <c r="G64" s="3945"/>
      <c r="H64" s="3945"/>
      <c r="I64" s="3946"/>
      <c r="J64" s="3952"/>
    </row>
    <row r="65" spans="1:10" ht="12" customHeight="1">
      <c r="A65" s="2539" t="s">
        <v>20</v>
      </c>
      <c r="B65" s="3947" t="str">
        <f>'BẢNG LƯƠNG KT'!C29</f>
        <v>Nang Lon</v>
      </c>
      <c r="C65" s="3947"/>
      <c r="D65" s="2650">
        <v>13</v>
      </c>
      <c r="E65" s="2568"/>
      <c r="F65" s="2539" t="s">
        <v>20</v>
      </c>
      <c r="G65" s="3947" t="str">
        <f>'BẢNG LƯƠNG KT'!C30</f>
        <v>Thảo Phết</v>
      </c>
      <c r="H65" s="3947"/>
      <c r="I65" s="2650">
        <v>14</v>
      </c>
      <c r="J65" s="3952"/>
    </row>
    <row r="66" spans="1:10" ht="12" customHeight="1">
      <c r="A66" s="2541" t="s">
        <v>1282</v>
      </c>
      <c r="B66" s="2542"/>
      <c r="C66" s="2543">
        <f>'BẢNG LƯƠNG KT'!G29</f>
        <v>0</v>
      </c>
      <c r="D66" s="2544">
        <f>C66*25000</f>
        <v>0</v>
      </c>
      <c r="E66" s="2568"/>
      <c r="F66" s="2541" t="s">
        <v>1282</v>
      </c>
      <c r="G66" s="2542"/>
      <c r="H66" s="2543">
        <f>'BẢNG LƯƠNG KT'!G30</f>
        <v>0</v>
      </c>
      <c r="I66" s="2544">
        <f>H66*25000</f>
        <v>0</v>
      </c>
      <c r="J66" s="3952"/>
    </row>
    <row r="67" spans="1:10" ht="12" customHeight="1">
      <c r="A67" s="2546" t="s">
        <v>1283</v>
      </c>
      <c r="B67" s="2547"/>
      <c r="C67" s="2548">
        <f>SUM('BẢNG LƯƠNG KT'!M29:P29)</f>
        <v>29</v>
      </c>
      <c r="D67" s="2549">
        <f>'BẢNG LƯƠNG KT'!S29</f>
        <v>2117825.6</v>
      </c>
      <c r="E67" s="2560"/>
      <c r="F67" s="2546" t="s">
        <v>1283</v>
      </c>
      <c r="G67" s="2547"/>
      <c r="H67" s="2548">
        <f>SUM('BẢNG LƯƠNG KT'!M30:P30)</f>
        <v>23</v>
      </c>
      <c r="I67" s="2549">
        <f>'BẢNG LƯƠNG KT'!S30</f>
        <v>1676171.2</v>
      </c>
      <c r="J67" s="3952"/>
    </row>
    <row r="68" spans="1:10" ht="12" customHeight="1">
      <c r="A68" s="2546" t="s">
        <v>1284</v>
      </c>
      <c r="B68" s="2547"/>
      <c r="C68" s="2548">
        <f>'BẢNG LƯƠNG KT'!J29</f>
        <v>1086.876667958119</v>
      </c>
      <c r="D68" s="2549">
        <f>'BẢNG LƯƠNG KT'!L29</f>
        <v>4349245.6745012086</v>
      </c>
      <c r="E68" s="2569"/>
      <c r="F68" s="2546" t="s">
        <v>1284</v>
      </c>
      <c r="G68" s="2547"/>
      <c r="H68" s="2548">
        <f>'BẢNG LƯƠNG KT'!J30</f>
        <v>1041.4131013156175</v>
      </c>
      <c r="I68" s="2549">
        <f>'BẢNG LƯƠNG KT'!L30</f>
        <v>3962368.567885661</v>
      </c>
      <c r="J68" s="3952"/>
    </row>
    <row r="69" spans="1:10" ht="12" customHeight="1">
      <c r="A69" s="2963" t="s">
        <v>23</v>
      </c>
      <c r="B69" s="2547"/>
      <c r="C69" s="2547"/>
      <c r="D69" s="2551"/>
      <c r="E69" s="2569"/>
      <c r="F69" s="2963" t="s">
        <v>23</v>
      </c>
      <c r="G69" s="2547"/>
      <c r="H69" s="2547"/>
      <c r="I69" s="2551"/>
      <c r="J69" s="2570"/>
    </row>
    <row r="70" spans="1:10" ht="12" customHeight="1">
      <c r="A70" s="2552" t="s">
        <v>1285</v>
      </c>
      <c r="B70" s="2547"/>
      <c r="C70" s="2547"/>
      <c r="D70" s="2551"/>
      <c r="E70" s="2560"/>
      <c r="F70" s="2552" t="s">
        <v>1285</v>
      </c>
      <c r="G70" s="2547"/>
      <c r="H70" s="2547"/>
      <c r="I70" s="2551"/>
      <c r="J70" s="3948"/>
    </row>
    <row r="71" spans="1:10" ht="12" customHeight="1">
      <c r="A71" s="2553" t="s">
        <v>1286</v>
      </c>
      <c r="B71" s="2547"/>
      <c r="C71" s="2554"/>
      <c r="D71" s="2549">
        <f>SUM(D70)</f>
        <v>0</v>
      </c>
      <c r="E71" s="2566"/>
      <c r="F71" s="2553" t="s">
        <v>1286</v>
      </c>
      <c r="G71" s="2547"/>
      <c r="H71" s="2554"/>
      <c r="I71" s="2549">
        <f>SUM(I70)</f>
        <v>0</v>
      </c>
      <c r="J71" s="3948"/>
    </row>
    <row r="72" spans="1:10" ht="12" customHeight="1">
      <c r="A72" s="2555" t="s">
        <v>1287</v>
      </c>
      <c r="B72" s="2556"/>
      <c r="C72" s="2557"/>
      <c r="D72" s="2558">
        <f>(D66+D67+D68)-D71</f>
        <v>6467071.2745012082</v>
      </c>
      <c r="E72" s="2563"/>
      <c r="F72" s="2555" t="s">
        <v>1287</v>
      </c>
      <c r="G72" s="2556"/>
      <c r="H72" s="2557"/>
      <c r="I72" s="2558">
        <f>(I66+I67+I68)-I71</f>
        <v>5638539.7678856608</v>
      </c>
      <c r="J72" s="3948"/>
    </row>
    <row r="73" spans="1:10" ht="21.75" customHeight="1">
      <c r="A73" s="2571"/>
      <c r="B73" s="2568"/>
      <c r="C73" s="2568"/>
      <c r="D73" s="2568"/>
      <c r="E73" s="2560"/>
      <c r="F73" s="2571"/>
      <c r="G73" s="2568"/>
      <c r="H73" s="2568"/>
      <c r="I73" s="2568"/>
      <c r="J73" s="3948"/>
    </row>
    <row r="74" spans="1:10" ht="12" customHeight="1">
      <c r="A74" s="3944" t="str">
        <f>F64</f>
        <v xml:space="preserve">LƯƠNG THÁNG 12/2024   </v>
      </c>
      <c r="B74" s="3945"/>
      <c r="C74" s="3945"/>
      <c r="D74" s="3946"/>
      <c r="E74" s="2569"/>
      <c r="F74" s="3944" t="str">
        <f>A74</f>
        <v xml:space="preserve">LƯƠNG THÁNG 12/2024   </v>
      </c>
      <c r="G74" s="3945"/>
      <c r="H74" s="3945"/>
      <c r="I74" s="3946"/>
      <c r="J74" s="3948"/>
    </row>
    <row r="75" spans="1:10" ht="12" customHeight="1">
      <c r="A75" s="2539" t="s">
        <v>20</v>
      </c>
      <c r="B75" s="3947" t="str">
        <f>'BẢNG LƯƠNG KT'!C31</f>
        <v>Vĩ Lay</v>
      </c>
      <c r="C75" s="3947"/>
      <c r="D75" s="2650">
        <v>15</v>
      </c>
      <c r="E75" s="2569"/>
      <c r="F75" s="2539" t="s">
        <v>20</v>
      </c>
      <c r="G75" s="3947" t="str">
        <f>'BẢNG LƯƠNG KT'!C32</f>
        <v>Pha Xúc</v>
      </c>
      <c r="H75" s="3947"/>
      <c r="I75" s="2650">
        <v>16</v>
      </c>
      <c r="J75" s="3948"/>
    </row>
    <row r="76" spans="1:10" ht="12" customHeight="1">
      <c r="A76" s="2541" t="s">
        <v>1282</v>
      </c>
      <c r="B76" s="2542"/>
      <c r="C76" s="2543">
        <f>'BẢNG LƯƠNG KT'!G31</f>
        <v>0</v>
      </c>
      <c r="D76" s="2544">
        <f>C76*25000</f>
        <v>0</v>
      </c>
      <c r="E76" s="2569"/>
      <c r="F76" s="2541" t="s">
        <v>1282</v>
      </c>
      <c r="G76" s="2542"/>
      <c r="H76" s="2543">
        <f>'BẢNG LƯƠNG KT'!G32</f>
        <v>0</v>
      </c>
      <c r="I76" s="2544">
        <f>H76*25000</f>
        <v>0</v>
      </c>
      <c r="J76" s="3948"/>
    </row>
    <row r="77" spans="1:10" ht="12" customHeight="1">
      <c r="A77" s="2546" t="s">
        <v>1283</v>
      </c>
      <c r="B77" s="2547"/>
      <c r="C77" s="2548">
        <f>SUM('BẢNG LƯƠNG KT'!M31:P31)</f>
        <v>31</v>
      </c>
      <c r="D77" s="2549">
        <f>'BẢNG LƯƠNG KT'!S31</f>
        <v>2258308.7999999998</v>
      </c>
      <c r="E77" s="2560"/>
      <c r="F77" s="2546" t="s">
        <v>1283</v>
      </c>
      <c r="G77" s="2547"/>
      <c r="H77" s="2548">
        <f>SUM('BẢNG LƯƠNG KT'!M32:P32)</f>
        <v>29</v>
      </c>
      <c r="I77" s="2549">
        <f>'BẢNG LƯƠNG KT'!S32</f>
        <v>2097620.7999999998</v>
      </c>
      <c r="J77" s="3948"/>
    </row>
    <row r="78" spans="1:10" ht="12" customHeight="1">
      <c r="A78" s="2546" t="s">
        <v>1284</v>
      </c>
      <c r="B78" s="2547"/>
      <c r="C78" s="2548">
        <f>('BẢNG LƯƠNG KT'!J31)</f>
        <v>1349.4606323045291</v>
      </c>
      <c r="D78" s="2549">
        <f>'BẢNG LƯƠNG KT'!L31</f>
        <v>5400001.6662298031</v>
      </c>
      <c r="E78" s="2566"/>
      <c r="F78" s="2546" t="s">
        <v>1284</v>
      </c>
      <c r="G78" s="2547"/>
      <c r="H78" s="2548">
        <f>'BẢNG LƯƠNG KT'!J32</f>
        <v>980.65338141021823</v>
      </c>
      <c r="I78" s="2549">
        <f>'BẢNG LƯƠNG KT'!L32</f>
        <v>3924182.5710511291</v>
      </c>
      <c r="J78" s="3948"/>
    </row>
    <row r="79" spans="1:10" ht="12" customHeight="1">
      <c r="A79" s="2963" t="s">
        <v>23</v>
      </c>
      <c r="B79" s="2547"/>
      <c r="C79" s="2547"/>
      <c r="D79" s="2551"/>
      <c r="E79" s="2563"/>
      <c r="F79" s="2963" t="s">
        <v>23</v>
      </c>
      <c r="G79" s="2547"/>
      <c r="H79" s="2547"/>
      <c r="I79" s="2551"/>
      <c r="J79" s="3948"/>
    </row>
    <row r="80" spans="1:10" ht="12" customHeight="1">
      <c r="A80" s="2552" t="s">
        <v>1285</v>
      </c>
      <c r="B80" s="2547"/>
      <c r="C80" s="2547"/>
      <c r="D80" s="2551"/>
      <c r="E80" s="2563"/>
      <c r="F80" s="2552" t="s">
        <v>1285</v>
      </c>
      <c r="G80" s="2547"/>
      <c r="H80" s="2547"/>
      <c r="I80" s="2551"/>
      <c r="J80" s="3948"/>
    </row>
    <row r="81" spans="1:10" ht="12" customHeight="1">
      <c r="A81" s="2553" t="s">
        <v>1286</v>
      </c>
      <c r="B81" s="2547"/>
      <c r="C81" s="2554"/>
      <c r="D81" s="2998"/>
      <c r="E81" s="2563"/>
      <c r="F81" s="2553" t="s">
        <v>1286</v>
      </c>
      <c r="G81" s="2547"/>
      <c r="H81" s="2554"/>
      <c r="I81" s="2549">
        <f>SUM(I80)</f>
        <v>0</v>
      </c>
      <c r="J81" s="3948"/>
    </row>
    <row r="82" spans="1:10" ht="12" customHeight="1">
      <c r="A82" s="2555" t="s">
        <v>1287</v>
      </c>
      <c r="B82" s="2556"/>
      <c r="C82" s="2557"/>
      <c r="D82" s="2558">
        <f>(D76+D77+D78)-D81</f>
        <v>7658310.4662298029</v>
      </c>
      <c r="E82" s="2568"/>
      <c r="F82" s="2555" t="s">
        <v>1287</v>
      </c>
      <c r="G82" s="2556"/>
      <c r="H82" s="2557"/>
      <c r="I82" s="2558">
        <f>(I76+I77+I78)-I81</f>
        <v>6021803.371051129</v>
      </c>
      <c r="J82" s="3948"/>
    </row>
    <row r="83" spans="1:10" ht="12" customHeight="1">
      <c r="A83" s="3954"/>
      <c r="B83" s="3954"/>
      <c r="C83" s="3954"/>
      <c r="D83" s="3954"/>
      <c r="E83" s="2560"/>
      <c r="F83" s="3954"/>
      <c r="G83" s="3954"/>
      <c r="H83" s="3954"/>
      <c r="I83" s="3954"/>
      <c r="J83" s="3948"/>
    </row>
    <row r="84" spans="1:10" ht="12" customHeight="1">
      <c r="A84" s="3944" t="str">
        <f>F74</f>
        <v xml:space="preserve">LƯƠNG THÁNG 12/2024   </v>
      </c>
      <c r="B84" s="3945"/>
      <c r="C84" s="3945"/>
      <c r="D84" s="3946"/>
      <c r="E84" s="2566"/>
      <c r="F84" s="3944" t="str">
        <f>A84</f>
        <v xml:space="preserve">LƯƠNG THÁNG 12/2024   </v>
      </c>
      <c r="G84" s="3945"/>
      <c r="H84" s="3945"/>
      <c r="I84" s="3946"/>
      <c r="J84" s="3948"/>
    </row>
    <row r="85" spans="1:10" ht="12" customHeight="1">
      <c r="A85" s="2539" t="s">
        <v>20</v>
      </c>
      <c r="B85" s="3949" t="str">
        <f>'BẢNG LƯƠNG KT'!C33</f>
        <v>Nàng Đao</v>
      </c>
      <c r="C85" s="3950"/>
      <c r="D85" s="2540">
        <v>17</v>
      </c>
      <c r="E85" s="2563"/>
      <c r="F85" s="2539" t="s">
        <v>20</v>
      </c>
      <c r="G85" s="3949" t="str">
        <f>'BẢNG LƯƠNG KT'!C34</f>
        <v>Nàng Kiên</v>
      </c>
      <c r="H85" s="3950"/>
      <c r="I85" s="2540">
        <v>18</v>
      </c>
      <c r="J85" s="3948"/>
    </row>
    <row r="86" spans="1:10" ht="12" customHeight="1">
      <c r="A86" s="2541" t="s">
        <v>1282</v>
      </c>
      <c r="B86" s="2542"/>
      <c r="C86" s="2543">
        <f>'BẢNG LƯƠNG KT'!G33</f>
        <v>0</v>
      </c>
      <c r="D86" s="2544">
        <f>C86*25000</f>
        <v>0</v>
      </c>
      <c r="E86" s="2563"/>
      <c r="F86" s="2541" t="s">
        <v>1282</v>
      </c>
      <c r="G86" s="2542"/>
      <c r="H86" s="2543">
        <f>'BẢNG LƯƠNG KT'!G34</f>
        <v>0</v>
      </c>
      <c r="I86" s="2544">
        <f>H86*25000</f>
        <v>0</v>
      </c>
      <c r="J86" s="3948"/>
    </row>
    <row r="87" spans="1:10" ht="12" customHeight="1">
      <c r="A87" s="2546" t="s">
        <v>1283</v>
      </c>
      <c r="B87" s="2547"/>
      <c r="C87" s="2548">
        <f>SUM('BẢNG LƯƠNG KT'!M33:P33)</f>
        <v>30</v>
      </c>
      <c r="D87" s="2549">
        <f>'BẢNG LƯƠNG KT'!S33</f>
        <v>2188067.2000000002</v>
      </c>
      <c r="E87" s="2563"/>
      <c r="F87" s="2546" t="s">
        <v>1283</v>
      </c>
      <c r="G87" s="2547"/>
      <c r="H87" s="2548">
        <f>SUM('BẢNG LƯƠNG KT'!M34:P34)</f>
        <v>29</v>
      </c>
      <c r="I87" s="2549">
        <f>'BẢNG LƯƠNG KT'!S34</f>
        <v>2117825.6</v>
      </c>
      <c r="J87" s="3948"/>
    </row>
    <row r="88" spans="1:10" ht="12" customHeight="1">
      <c r="A88" s="2546" t="s">
        <v>1284</v>
      </c>
      <c r="B88" s="2547"/>
      <c r="C88" s="2548">
        <f>'BẢNG LƯƠNG KT'!J33</f>
        <v>981.50316770260144</v>
      </c>
      <c r="D88" s="2549">
        <f>'BẢNG LƯƠNG KT'!L33</f>
        <v>3734423.2524748575</v>
      </c>
      <c r="E88" s="2563"/>
      <c r="F88" s="2546" t="s">
        <v>1284</v>
      </c>
      <c r="G88" s="2547"/>
      <c r="H88" s="2548">
        <f>'BẢNG LƯƠNG KT'!J34</f>
        <v>904.59750824192145</v>
      </c>
      <c r="I88" s="2549">
        <f>'BẢNG LƯƠNG KT'!L34</f>
        <v>3619837.3889808729</v>
      </c>
      <c r="J88" s="3948"/>
    </row>
    <row r="89" spans="1:10" ht="12" customHeight="1">
      <c r="A89" s="2963" t="s">
        <v>23</v>
      </c>
      <c r="B89" s="2547"/>
      <c r="C89" s="2547"/>
      <c r="D89" s="2551"/>
      <c r="E89" s="2568"/>
      <c r="F89" s="2963" t="s">
        <v>23</v>
      </c>
      <c r="G89" s="2547"/>
      <c r="H89" s="2547"/>
      <c r="I89" s="2551"/>
      <c r="J89" s="3948"/>
    </row>
    <row r="90" spans="1:10" ht="12" customHeight="1">
      <c r="A90" s="2552" t="s">
        <v>1285</v>
      </c>
      <c r="B90" s="2547"/>
      <c r="C90" s="2547"/>
      <c r="D90" s="2551"/>
      <c r="E90" s="2560"/>
      <c r="F90" s="2552" t="s">
        <v>1285</v>
      </c>
      <c r="G90" s="2547"/>
      <c r="H90" s="2547"/>
      <c r="I90" s="2551"/>
      <c r="J90" s="3948"/>
    </row>
    <row r="91" spans="1:10" ht="12" customHeight="1">
      <c r="A91" s="2553" t="s">
        <v>1286</v>
      </c>
      <c r="B91" s="2547"/>
      <c r="C91" s="2554"/>
      <c r="D91" s="2998"/>
      <c r="E91" s="2569"/>
      <c r="F91" s="2553" t="s">
        <v>1286</v>
      </c>
      <c r="G91" s="2547"/>
      <c r="H91" s="2554"/>
      <c r="I91" s="2998"/>
      <c r="J91" s="3948"/>
    </row>
    <row r="92" spans="1:10" ht="12" customHeight="1">
      <c r="A92" s="2555" t="s">
        <v>1287</v>
      </c>
      <c r="B92" s="2556"/>
      <c r="C92" s="2557"/>
      <c r="D92" s="2558">
        <f>(D86+D87+D88)-D91</f>
        <v>5922490.4524748577</v>
      </c>
      <c r="E92" s="2569"/>
      <c r="F92" s="2555" t="s">
        <v>1287</v>
      </c>
      <c r="G92" s="2556"/>
      <c r="H92" s="2557"/>
      <c r="I92" s="2558">
        <f>(I86+I87+I88)-I91</f>
        <v>5737662.9889808726</v>
      </c>
      <c r="J92" s="2570"/>
    </row>
    <row r="93" spans="1:10" ht="5.25" customHeight="1">
      <c r="A93" s="2567"/>
      <c r="B93" s="2568"/>
      <c r="C93" s="2560"/>
      <c r="D93" s="2563"/>
      <c r="E93" s="2563"/>
      <c r="F93" s="2567"/>
      <c r="G93" s="2568"/>
      <c r="H93" s="2560"/>
      <c r="I93" s="2563"/>
      <c r="J93" s="3948"/>
    </row>
    <row r="94" spans="1:10" ht="12" customHeight="1">
      <c r="A94" s="3944" t="str">
        <f>F84</f>
        <v xml:space="preserve">LƯƠNG THÁNG 12/2024   </v>
      </c>
      <c r="B94" s="3945"/>
      <c r="C94" s="3945"/>
      <c r="D94" s="3946"/>
      <c r="E94" s="2563"/>
      <c r="F94" s="3944" t="str">
        <f>A94</f>
        <v xml:space="preserve">LƯƠNG THÁNG 12/2024   </v>
      </c>
      <c r="G94" s="3945"/>
      <c r="H94" s="3945"/>
      <c r="I94" s="3946"/>
      <c r="J94" s="3948"/>
    </row>
    <row r="95" spans="1:10" ht="12" customHeight="1">
      <c r="A95" s="2539" t="s">
        <v>20</v>
      </c>
      <c r="B95" s="3947" t="str">
        <f>'BẢNG LƯƠNG KT'!C35</f>
        <v>Nàng Túc 2</v>
      </c>
      <c r="C95" s="3947"/>
      <c r="D95" s="2650">
        <v>19</v>
      </c>
      <c r="E95" s="2568"/>
      <c r="F95" s="2539" t="s">
        <v>20</v>
      </c>
      <c r="G95" s="3949" t="str">
        <f>'BẢNG LƯƠNG KT'!C36</f>
        <v>Nàng Phon</v>
      </c>
      <c r="H95" s="3950"/>
      <c r="I95" s="2540">
        <v>20</v>
      </c>
      <c r="J95" s="3948"/>
    </row>
    <row r="96" spans="1:10" ht="12" customHeight="1">
      <c r="A96" s="2541" t="s">
        <v>1282</v>
      </c>
      <c r="B96" s="2542"/>
      <c r="C96" s="2543">
        <f>'BẢNG LƯƠNG KT'!G35</f>
        <v>0</v>
      </c>
      <c r="D96" s="2544">
        <f>C96*25000</f>
        <v>0</v>
      </c>
      <c r="E96" s="2568"/>
      <c r="F96" s="2541" t="s">
        <v>1282</v>
      </c>
      <c r="G96" s="2542"/>
      <c r="H96" s="2543">
        <f>'BẢNG LƯƠNG KT'!G36</f>
        <v>0</v>
      </c>
      <c r="I96" s="2544">
        <f>H96*25000</f>
        <v>0</v>
      </c>
      <c r="J96" s="3948"/>
    </row>
    <row r="97" spans="1:10" ht="12" customHeight="1">
      <c r="A97" s="2546" t="s">
        <v>1283</v>
      </c>
      <c r="B97" s="2547"/>
      <c r="C97" s="2548">
        <f>SUM('BẢNG LƯƠNG KT'!M35:P35)</f>
        <v>29</v>
      </c>
      <c r="D97" s="2549">
        <f>'BẢNG LƯƠNG KT'!S35</f>
        <v>2097620.7999999998</v>
      </c>
      <c r="E97" s="2560"/>
      <c r="F97" s="2546" t="s">
        <v>1283</v>
      </c>
      <c r="G97" s="2547"/>
      <c r="H97" s="2548">
        <f>SUM('BẢNG LƯƠNG KT'!M36:P36)</f>
        <v>29</v>
      </c>
      <c r="I97" s="2549">
        <f>'BẢNG LƯƠNG KT'!S36</f>
        <v>2278939.2000000002</v>
      </c>
      <c r="J97" s="3948"/>
    </row>
    <row r="98" spans="1:10" ht="12" customHeight="1">
      <c r="A98" s="2546" t="s">
        <v>1284</v>
      </c>
      <c r="B98" s="2547"/>
      <c r="C98" s="2548">
        <f>'BẢNG LƯƠNG KT'!J35</f>
        <v>982.35295399498466</v>
      </c>
      <c r="D98" s="2549">
        <f>'BẢNG LƯƠNG KT'!L35</f>
        <v>3737656.5193601171</v>
      </c>
      <c r="E98" s="2569"/>
      <c r="F98" s="2546" t="s">
        <v>1284</v>
      </c>
      <c r="G98" s="2547"/>
      <c r="H98" s="2548">
        <f>'BẢNG LƯƠNG KT'!J36</f>
        <v>928.81641757484283</v>
      </c>
      <c r="I98" s="2549">
        <f>'BẢNG LƯƠNG KT'!L36</f>
        <v>3351169.6346100331</v>
      </c>
      <c r="J98" s="3948"/>
    </row>
    <row r="99" spans="1:10" ht="12" customHeight="1">
      <c r="A99" s="2963" t="s">
        <v>23</v>
      </c>
      <c r="B99" s="2547"/>
      <c r="C99" s="2547"/>
      <c r="D99" s="2551"/>
      <c r="E99" s="2568"/>
      <c r="F99" s="2963" t="s">
        <v>23</v>
      </c>
      <c r="G99" s="2547"/>
      <c r="H99" s="2547"/>
      <c r="I99" s="2551"/>
      <c r="J99" s="3948"/>
    </row>
    <row r="100" spans="1:10" ht="12" customHeight="1">
      <c r="A100" s="2552" t="s">
        <v>1285</v>
      </c>
      <c r="B100" s="2547"/>
      <c r="C100" s="2547"/>
      <c r="D100" s="2551"/>
      <c r="E100" s="2560"/>
      <c r="F100" s="2552" t="s">
        <v>1285</v>
      </c>
      <c r="G100" s="2547"/>
      <c r="H100" s="2547"/>
      <c r="I100" s="2551"/>
      <c r="J100" s="3948"/>
    </row>
    <row r="101" spans="1:10" ht="12" customHeight="1">
      <c r="A101" s="2553" t="s">
        <v>1286</v>
      </c>
      <c r="B101" s="2547"/>
      <c r="C101" s="2554"/>
      <c r="D101" s="2998"/>
      <c r="E101" s="2566"/>
      <c r="F101" s="2553" t="s">
        <v>1286</v>
      </c>
      <c r="G101" s="2547"/>
      <c r="H101" s="2554"/>
      <c r="I101" s="2998"/>
      <c r="J101" s="3948"/>
    </row>
    <row r="102" spans="1:10" ht="12" customHeight="1">
      <c r="A102" s="2555" t="s">
        <v>1287</v>
      </c>
      <c r="B102" s="2556"/>
      <c r="C102" s="2557"/>
      <c r="D102" s="2558">
        <f>(D96+D97+D98)-D101</f>
        <v>5835277.3193601165</v>
      </c>
      <c r="E102" s="2563"/>
      <c r="F102" s="2555" t="s">
        <v>1287</v>
      </c>
      <c r="G102" s="2556"/>
      <c r="H102" s="2557"/>
      <c r="I102" s="2558">
        <f>(I96+I97+I98)-I101</f>
        <v>5630108.8346100338</v>
      </c>
      <c r="J102" s="3948"/>
    </row>
    <row r="103" spans="1:10" ht="7.5" customHeight="1">
      <c r="A103" s="2571"/>
      <c r="B103" s="2568"/>
      <c r="C103" s="2568"/>
      <c r="D103" s="2568"/>
      <c r="E103" s="2560"/>
      <c r="F103" s="2571"/>
      <c r="G103" s="2568"/>
      <c r="H103" s="2568"/>
      <c r="I103" s="2568"/>
      <c r="J103" s="3948"/>
    </row>
    <row r="104" spans="1:10" ht="12" customHeight="1">
      <c r="A104" s="3944" t="str">
        <f>F94</f>
        <v xml:space="preserve">LƯƠNG THÁNG 12/2024   </v>
      </c>
      <c r="B104" s="3945"/>
      <c r="C104" s="3945"/>
      <c r="D104" s="3946"/>
      <c r="E104" s="2569"/>
      <c r="F104" s="3944" t="str">
        <f>A104</f>
        <v xml:space="preserve">LƯƠNG THÁNG 12/2024   </v>
      </c>
      <c r="G104" s="3945"/>
      <c r="H104" s="3945"/>
      <c r="I104" s="3946"/>
      <c r="J104" s="3948"/>
    </row>
    <row r="105" spans="1:10" ht="12" customHeight="1">
      <c r="A105" s="2539" t="s">
        <v>20</v>
      </c>
      <c r="B105" s="3947" t="str">
        <f>'BẢNG LƯƠNG KT'!C37</f>
        <v>Thảo Chòi</v>
      </c>
      <c r="C105" s="3947"/>
      <c r="D105" s="2650">
        <v>21</v>
      </c>
      <c r="E105" s="2569"/>
      <c r="F105" s="2539" t="s">
        <v>20</v>
      </c>
      <c r="G105" s="3947" t="str">
        <f>'BẢNG LƯƠNG KT'!C38</f>
        <v>Thong La</v>
      </c>
      <c r="H105" s="3947"/>
      <c r="I105" s="2650">
        <v>22</v>
      </c>
      <c r="J105" s="3948"/>
    </row>
    <row r="106" spans="1:10" ht="12" customHeight="1">
      <c r="A106" s="2541" t="s">
        <v>1282</v>
      </c>
      <c r="B106" s="2542"/>
      <c r="C106" s="2543">
        <f>'BẢNG LƯƠNG KT'!G37</f>
        <v>0</v>
      </c>
      <c r="D106" s="2544">
        <f>C106*25000</f>
        <v>0</v>
      </c>
      <c r="E106" s="2569"/>
      <c r="F106" s="2541" t="s">
        <v>1282</v>
      </c>
      <c r="G106" s="2542"/>
      <c r="H106" s="2543">
        <f>'BẢNG LƯƠNG KT'!G38</f>
        <v>0</v>
      </c>
      <c r="I106" s="2544">
        <f>H106*25000</f>
        <v>0</v>
      </c>
      <c r="J106" s="3948"/>
    </row>
    <row r="107" spans="1:10" ht="12" customHeight="1">
      <c r="A107" s="2546" t="s">
        <v>1283</v>
      </c>
      <c r="B107" s="2547"/>
      <c r="C107" s="2548">
        <f>SUM('BẢNG LƯƠNG KT'!M37:P37)</f>
        <v>30</v>
      </c>
      <c r="D107" s="2549">
        <f>'BẢNG LƯƠNG KT'!S37</f>
        <v>2349180.8000000003</v>
      </c>
      <c r="E107" s="2569"/>
      <c r="F107" s="2546" t="s">
        <v>1283</v>
      </c>
      <c r="G107" s="2547"/>
      <c r="H107" s="2548">
        <f>SUM('BẢNG LƯƠNG KT'!M38:P38)</f>
        <v>31</v>
      </c>
      <c r="I107" s="2549">
        <f>'BẢNG LƯƠNG KT'!S38</f>
        <v>2419422.4</v>
      </c>
      <c r="J107" s="2570"/>
    </row>
    <row r="108" spans="1:10" ht="12" customHeight="1">
      <c r="A108" s="2546" t="s">
        <v>1284</v>
      </c>
      <c r="B108" s="2547"/>
      <c r="C108" s="2548">
        <f>'BẢNG LƯƠNG KT'!J37</f>
        <v>1029.5160932222527</v>
      </c>
      <c r="D108" s="2549">
        <f>'BẢNG LƯƠNG KT'!L37</f>
        <v>4119711.5986381662</v>
      </c>
      <c r="E108" s="2569"/>
      <c r="F108" s="2546" t="s">
        <v>1284</v>
      </c>
      <c r="G108" s="2547"/>
      <c r="H108" s="2548">
        <f>'BẢNG LƯƠNG KT'!J38</f>
        <v>1211.3703597922583</v>
      </c>
      <c r="I108" s="2549">
        <f>'BẢNG LƯƠNG KT'!L38</f>
        <v>4847419.6317447005</v>
      </c>
      <c r="J108" s="2570"/>
    </row>
    <row r="109" spans="1:10" ht="12" customHeight="1">
      <c r="A109" s="2963" t="s">
        <v>23</v>
      </c>
      <c r="B109" s="2547"/>
      <c r="C109" s="2547"/>
      <c r="D109" s="2551"/>
      <c r="E109" s="2560"/>
      <c r="F109" s="2963" t="s">
        <v>23</v>
      </c>
      <c r="G109" s="2547"/>
      <c r="H109" s="2547"/>
      <c r="I109" s="2551"/>
      <c r="J109" s="3948"/>
    </row>
    <row r="110" spans="1:10" ht="12" customHeight="1">
      <c r="A110" s="2552" t="s">
        <v>1285</v>
      </c>
      <c r="B110" s="2547"/>
      <c r="C110" s="2547"/>
      <c r="D110" s="3280"/>
      <c r="E110" s="2562"/>
      <c r="F110" s="2552" t="s">
        <v>1285</v>
      </c>
      <c r="G110" s="2547"/>
      <c r="H110" s="2547"/>
      <c r="I110" s="2551"/>
      <c r="J110" s="3948"/>
    </row>
    <row r="111" spans="1:10" ht="12" customHeight="1">
      <c r="A111" s="2553" t="s">
        <v>1286</v>
      </c>
      <c r="B111" s="2547"/>
      <c r="C111" s="2554"/>
      <c r="D111" s="2549">
        <f>SUM(D110)</f>
        <v>0</v>
      </c>
      <c r="E111" s="2563"/>
      <c r="F111" s="2553" t="s">
        <v>1286</v>
      </c>
      <c r="G111" s="2547"/>
      <c r="H111" s="2554"/>
      <c r="I111" s="2549">
        <f>SUM(I110)</f>
        <v>0</v>
      </c>
      <c r="J111" s="3948"/>
    </row>
    <row r="112" spans="1:10" ht="12" customHeight="1">
      <c r="A112" s="2555" t="s">
        <v>1287</v>
      </c>
      <c r="B112" s="2556"/>
      <c r="C112" s="2557"/>
      <c r="D112" s="2558">
        <f>(D106+D107+D108)-D111</f>
        <v>6468892.3986381665</v>
      </c>
      <c r="E112" s="2563"/>
      <c r="F112" s="2555" t="s">
        <v>1287</v>
      </c>
      <c r="G112" s="2556"/>
      <c r="H112" s="2557"/>
      <c r="I112" s="2558">
        <f>(I106+I107+I108)-I111</f>
        <v>7266842.0317446999</v>
      </c>
      <c r="J112" s="3948"/>
    </row>
    <row r="113" spans="1:10" ht="12" customHeight="1">
      <c r="A113" s="2567"/>
      <c r="B113" s="2568"/>
      <c r="C113" s="2572"/>
      <c r="D113" s="2560"/>
      <c r="E113" s="2569"/>
      <c r="F113" s="2567"/>
      <c r="G113" s="2568"/>
      <c r="H113" s="2572"/>
      <c r="I113" s="2560"/>
      <c r="J113" s="3948"/>
    </row>
    <row r="114" spans="1:10" ht="12" customHeight="1">
      <c r="A114" s="3944" t="str">
        <f>F104</f>
        <v xml:space="preserve">LƯƠNG THÁNG 12/2024   </v>
      </c>
      <c r="B114" s="3945"/>
      <c r="C114" s="3945"/>
      <c r="D114" s="3946"/>
      <c r="E114" s="2569"/>
      <c r="F114" s="3944" t="str">
        <f>A114</f>
        <v xml:space="preserve">LƯƠNG THÁNG 12/2024   </v>
      </c>
      <c r="G114" s="3945"/>
      <c r="H114" s="3945"/>
      <c r="I114" s="3946"/>
      <c r="J114" s="3948"/>
    </row>
    <row r="115" spans="1:10" ht="12" customHeight="1">
      <c r="A115" s="2539" t="s">
        <v>20</v>
      </c>
      <c r="B115" s="3947" t="str">
        <f>'BẢNG LƯƠNG KT'!C39</f>
        <v>Thảo kok</v>
      </c>
      <c r="C115" s="3947"/>
      <c r="D115" s="2650">
        <v>23</v>
      </c>
      <c r="E115" s="2569"/>
      <c r="F115" s="2539" t="s">
        <v>20</v>
      </c>
      <c r="G115" s="3949" t="str">
        <f>'BẢNG LƯƠNG KT'!C40</f>
        <v>Thảo Hôm</v>
      </c>
      <c r="H115" s="3950"/>
      <c r="I115" s="2540">
        <v>24</v>
      </c>
      <c r="J115" s="3948"/>
    </row>
    <row r="116" spans="1:10" ht="12" customHeight="1">
      <c r="A116" s="2541" t="s">
        <v>1282</v>
      </c>
      <c r="B116" s="2542"/>
      <c r="C116" s="2543">
        <f>'BẢNG LƯƠNG KT'!G39</f>
        <v>0</v>
      </c>
      <c r="D116" s="2544">
        <f>C116*25000</f>
        <v>0</v>
      </c>
      <c r="E116" s="2560"/>
      <c r="F116" s="2541" t="s">
        <v>1282</v>
      </c>
      <c r="G116" s="2542"/>
      <c r="H116" s="2543">
        <f>'BẢNG LƯƠNG KT'!G40</f>
        <v>0</v>
      </c>
      <c r="I116" s="2544">
        <f>H116*25000</f>
        <v>0</v>
      </c>
      <c r="J116" s="3948"/>
    </row>
    <row r="117" spans="1:10" ht="12" customHeight="1">
      <c r="A117" s="2546" t="s">
        <v>1283</v>
      </c>
      <c r="B117" s="2547"/>
      <c r="C117" s="2548">
        <f>SUM('BẢNG LƯƠNG KT'!M39:P39)</f>
        <v>29</v>
      </c>
      <c r="D117" s="2549">
        <f>'BẢNG LƯƠNG KT'!S39</f>
        <v>2278939.2000000002</v>
      </c>
      <c r="E117" s="2566"/>
      <c r="F117" s="2546" t="s">
        <v>1283</v>
      </c>
      <c r="G117" s="2547"/>
      <c r="H117" s="2548">
        <f>SUM('BẢNG LƯƠNG KT'!M40:P40)</f>
        <v>19</v>
      </c>
      <c r="I117" s="2549">
        <f>'BẢNG LƯƠNG KT'!S40</f>
        <v>1455622.4</v>
      </c>
      <c r="J117" s="3948"/>
    </row>
    <row r="118" spans="1:10" ht="12" customHeight="1">
      <c r="A118" s="2546" t="s">
        <v>1284</v>
      </c>
      <c r="B118" s="2547"/>
      <c r="C118" s="2548">
        <f>'BẢNG LƯƠNG KT'!J39</f>
        <v>1142.9625632554105</v>
      </c>
      <c r="D118" s="2549">
        <f>'BẢNG LƯƠNG KT'!L39</f>
        <v>4573678.9931228505</v>
      </c>
      <c r="E118" s="2563"/>
      <c r="F118" s="2546" t="s">
        <v>1284</v>
      </c>
      <c r="G118" s="2547"/>
      <c r="H118" s="2548">
        <f>'BẢNG LƯƠNG KT'!J40</f>
        <v>624.16803175546386</v>
      </c>
      <c r="I118" s="2549">
        <f>'BẢNG LƯƠNG KT'!L40</f>
        <v>2251998.2585737137</v>
      </c>
      <c r="J118" s="3948"/>
    </row>
    <row r="119" spans="1:10" ht="12" customHeight="1">
      <c r="A119" s="2963" t="s">
        <v>23</v>
      </c>
      <c r="B119" s="2547"/>
      <c r="C119" s="2547"/>
      <c r="D119" s="2551"/>
      <c r="E119" s="2563"/>
      <c r="F119" s="2963" t="s">
        <v>23</v>
      </c>
      <c r="G119" s="2547"/>
      <c r="H119" s="2547"/>
      <c r="I119" s="2551"/>
      <c r="J119" s="3948"/>
    </row>
    <row r="120" spans="1:10" ht="12" customHeight="1">
      <c r="A120" s="2552" t="s">
        <v>1285</v>
      </c>
      <c r="B120" s="2547"/>
      <c r="C120" s="2547"/>
      <c r="D120" s="2551"/>
      <c r="E120" s="2563"/>
      <c r="F120" s="2552" t="s">
        <v>1285</v>
      </c>
      <c r="G120" s="2547"/>
      <c r="H120" s="2547"/>
      <c r="I120" s="2551"/>
      <c r="J120" s="3948"/>
    </row>
    <row r="121" spans="1:10" ht="12" customHeight="1">
      <c r="A121" s="2553" t="s">
        <v>1286</v>
      </c>
      <c r="B121" s="2547"/>
      <c r="C121" s="2554"/>
      <c r="D121" s="2549">
        <f>SUM(D120)</f>
        <v>0</v>
      </c>
      <c r="E121" s="2568"/>
      <c r="F121" s="2553" t="s">
        <v>1286</v>
      </c>
      <c r="G121" s="2547"/>
      <c r="H121" s="2554"/>
      <c r="I121" s="2549">
        <f>SUM(I120)</f>
        <v>0</v>
      </c>
      <c r="J121" s="3948"/>
    </row>
    <row r="122" spans="1:10" ht="12" customHeight="1">
      <c r="A122" s="2555" t="s">
        <v>1287</v>
      </c>
      <c r="B122" s="2556"/>
      <c r="C122" s="2557"/>
      <c r="D122" s="2558">
        <f>(D116+D117+D118)-D121</f>
        <v>6852618.1931228507</v>
      </c>
      <c r="E122" s="2568"/>
      <c r="F122" s="2555" t="s">
        <v>1287</v>
      </c>
      <c r="G122" s="2556"/>
      <c r="H122" s="2557"/>
      <c r="I122" s="2558">
        <f>(I116+I117+I118)-I121</f>
        <v>3707620.6585737136</v>
      </c>
      <c r="J122" s="3948"/>
    </row>
    <row r="123" spans="1:10" ht="12" customHeight="1">
      <c r="A123" s="2563"/>
      <c r="B123" s="2577"/>
      <c r="C123" s="2578"/>
      <c r="D123" s="2569"/>
      <c r="E123" s="2568"/>
      <c r="F123" s="2563"/>
      <c r="G123" s="2577"/>
      <c r="H123" s="2578"/>
      <c r="I123" s="2569"/>
      <c r="J123" s="2999"/>
    </row>
    <row r="124" spans="1:10" ht="12" customHeight="1">
      <c r="A124" s="2563"/>
      <c r="B124" s="2577"/>
      <c r="C124" s="2578"/>
      <c r="D124" s="2569"/>
      <c r="E124" s="2568"/>
      <c r="F124" s="2563"/>
      <c r="G124" s="2577"/>
      <c r="H124" s="2578"/>
      <c r="I124" s="2569"/>
      <c r="J124" s="2999"/>
    </row>
    <row r="125" spans="1:10" ht="27.75" customHeight="1">
      <c r="A125" s="2567"/>
      <c r="B125" s="2573"/>
      <c r="C125" s="2574"/>
      <c r="D125" s="2575"/>
      <c r="E125" s="2566"/>
      <c r="F125" s="2567"/>
      <c r="G125" s="2573"/>
      <c r="H125" s="2574"/>
      <c r="I125" s="2575"/>
      <c r="J125" s="3948"/>
    </row>
    <row r="126" spans="1:10" ht="12" customHeight="1">
      <c r="A126" s="3944" t="str">
        <f>F114</f>
        <v xml:space="preserve">LƯƠNG THÁNG 12/2024   </v>
      </c>
      <c r="B126" s="3945"/>
      <c r="C126" s="3945"/>
      <c r="D126" s="3946"/>
      <c r="E126" s="2563"/>
      <c r="F126" s="3944" t="str">
        <f>A126</f>
        <v xml:space="preserve">LƯƠNG THÁNG 12/2024   </v>
      </c>
      <c r="G126" s="3945"/>
      <c r="H126" s="3945"/>
      <c r="I126" s="3946"/>
      <c r="J126" s="3948"/>
    </row>
    <row r="127" spans="1:10" ht="12" customHeight="1">
      <c r="A127" s="2539" t="s">
        <v>20</v>
      </c>
      <c r="B127" s="3947" t="str">
        <f>'BẢNG LƯƠNG KT'!C41</f>
        <v>Nàng Lam</v>
      </c>
      <c r="C127" s="3947"/>
      <c r="D127" s="2650">
        <v>25</v>
      </c>
      <c r="E127" s="2563"/>
      <c r="F127" s="2539" t="s">
        <v>20</v>
      </c>
      <c r="G127" s="3949" t="str">
        <f>'BẢNG LƯƠNG KT'!C42</f>
        <v>Thảo Hơ Phơ</v>
      </c>
      <c r="H127" s="3950"/>
      <c r="I127" s="2540">
        <v>26</v>
      </c>
      <c r="J127" s="3948"/>
    </row>
    <row r="128" spans="1:10" ht="12" customHeight="1">
      <c r="A128" s="2541" t="s">
        <v>1282</v>
      </c>
      <c r="B128" s="2542"/>
      <c r="C128" s="2543">
        <f>'BẢNG LƯƠNG KT'!G41</f>
        <v>0</v>
      </c>
      <c r="D128" s="2544">
        <f>C128*25000</f>
        <v>0</v>
      </c>
      <c r="E128" s="2563"/>
      <c r="F128" s="2541" t="s">
        <v>1282</v>
      </c>
      <c r="G128" s="2542"/>
      <c r="H128" s="2543">
        <f>'BẢNG LƯƠNG KT'!G42</f>
        <v>0</v>
      </c>
      <c r="I128" s="2544">
        <f>H128*25000</f>
        <v>0</v>
      </c>
      <c r="J128" s="3948"/>
    </row>
    <row r="129" spans="1:10" ht="12" customHeight="1">
      <c r="A129" s="2546" t="s">
        <v>1283</v>
      </c>
      <c r="B129" s="2547"/>
      <c r="C129" s="2548">
        <f>'BẢNG LƯƠNG KT'!M41+'BẢNG LƯƠNG KT'!N41+'BẢNG LƯƠNG KT'!O41+'BẢNG LƯƠNG KT'!P41</f>
        <v>19</v>
      </c>
      <c r="D129" s="2549">
        <f>'BẢNG LƯƠNG KT'!S41</f>
        <v>1475827.2</v>
      </c>
      <c r="E129" s="2563"/>
      <c r="F129" s="2546" t="s">
        <v>1283</v>
      </c>
      <c r="G129" s="2547"/>
      <c r="H129" s="2548">
        <f>SUM('BẢNG LƯƠNG KT'!M42:P42)</f>
        <v>21</v>
      </c>
      <c r="I129" s="2549">
        <f>'BẢNG LƯƠNG KT'!S42</f>
        <v>1636384</v>
      </c>
      <c r="J129" s="3948"/>
    </row>
    <row r="130" spans="1:10" ht="12" customHeight="1">
      <c r="A130" s="2546" t="s">
        <v>1284</v>
      </c>
      <c r="B130" s="2547"/>
      <c r="C130" s="2548">
        <f>'BẢNG LƯƠNG KT'!J41</f>
        <v>631.39121524072118</v>
      </c>
      <c r="D130" s="2549">
        <f>'BẢNG LƯƠNG KT'!L41</f>
        <v>2402317.2957478957</v>
      </c>
      <c r="E130" s="2568"/>
      <c r="F130" s="2546" t="s">
        <v>1284</v>
      </c>
      <c r="G130" s="2547"/>
      <c r="H130" s="2548">
        <f>'BẢNG LƯƠNG KT'!J42</f>
        <v>876.55456059327582</v>
      </c>
      <c r="I130" s="2549">
        <f>'BẢNG LƯƠNG KT'!L42</f>
        <v>3507620.7296700524</v>
      </c>
      <c r="J130" s="3948"/>
    </row>
    <row r="131" spans="1:10" ht="12" customHeight="1">
      <c r="A131" s="2963" t="s">
        <v>23</v>
      </c>
      <c r="B131" s="2547"/>
      <c r="C131" s="2547"/>
      <c r="D131" s="2551"/>
      <c r="E131" s="2560"/>
      <c r="F131" s="2963" t="s">
        <v>23</v>
      </c>
      <c r="G131" s="2547"/>
      <c r="H131" s="2547"/>
      <c r="I131" s="2551"/>
      <c r="J131" s="3948"/>
    </row>
    <row r="132" spans="1:10" ht="12" customHeight="1">
      <c r="A132" s="2552" t="s">
        <v>1285</v>
      </c>
      <c r="B132" s="2547"/>
      <c r="C132" s="2547"/>
      <c r="D132" s="2551"/>
      <c r="E132" s="2569"/>
      <c r="F132" s="2552" t="s">
        <v>1285</v>
      </c>
      <c r="G132" s="2547"/>
      <c r="H132" s="2547"/>
      <c r="I132" s="2551"/>
      <c r="J132" s="3948"/>
    </row>
    <row r="133" spans="1:10" ht="12" customHeight="1">
      <c r="A133" s="2553" t="s">
        <v>1286</v>
      </c>
      <c r="B133" s="2547"/>
      <c r="C133" s="2554"/>
      <c r="D133" s="2549">
        <f>SUM(D132)</f>
        <v>0</v>
      </c>
      <c r="E133" s="2569"/>
      <c r="F133" s="2553" t="s">
        <v>1286</v>
      </c>
      <c r="G133" s="2547"/>
      <c r="H133" s="2554"/>
      <c r="I133" s="2549">
        <f>SUM(I132)</f>
        <v>0</v>
      </c>
      <c r="J133" s="3948"/>
    </row>
    <row r="134" spans="1:10" ht="12" customHeight="1">
      <c r="A134" s="2555" t="s">
        <v>1287</v>
      </c>
      <c r="B134" s="2556"/>
      <c r="C134" s="2557"/>
      <c r="D134" s="2558">
        <f>(D128+D129+D130)-D133</f>
        <v>3878144.4957478959</v>
      </c>
      <c r="E134" s="2569"/>
      <c r="F134" s="2555" t="s">
        <v>1287</v>
      </c>
      <c r="G134" s="2556"/>
      <c r="H134" s="2557"/>
      <c r="I134" s="2558">
        <f>(I128+I129+I130)-I133</f>
        <v>5144004.7296700524</v>
      </c>
      <c r="J134" s="3948"/>
    </row>
    <row r="135" spans="1:10" ht="6" customHeight="1">
      <c r="A135" s="2567"/>
      <c r="B135" s="2568"/>
      <c r="C135" s="2560"/>
      <c r="D135" s="2560"/>
      <c r="E135" s="2563"/>
      <c r="F135" s="2567"/>
      <c r="G135" s="2568"/>
      <c r="H135" s="2560"/>
      <c r="I135" s="2560"/>
      <c r="J135" s="3948"/>
    </row>
    <row r="136" spans="1:10" ht="12" customHeight="1">
      <c r="A136" s="3944" t="str">
        <f>F126</f>
        <v xml:space="preserve">LƯƠNG THÁNG 12/2024   </v>
      </c>
      <c r="B136" s="3945"/>
      <c r="C136" s="3945"/>
      <c r="D136" s="3946"/>
      <c r="E136" s="2563"/>
      <c r="F136" s="3944" t="str">
        <f>A136</f>
        <v xml:space="preserve">LƯƠNG THÁNG 12/2024   </v>
      </c>
      <c r="G136" s="3945"/>
      <c r="H136" s="3945"/>
      <c r="I136" s="3946"/>
      <c r="J136" s="3948"/>
    </row>
    <row r="137" spans="1:10" ht="12" customHeight="1">
      <c r="A137" s="2539" t="s">
        <v>20</v>
      </c>
      <c r="B137" s="3949" t="str">
        <f>'BẢNG LƯƠNG KT'!C43</f>
        <v>Thảo Lay</v>
      </c>
      <c r="C137" s="3950"/>
      <c r="D137" s="2540">
        <v>27</v>
      </c>
      <c r="E137" s="2568"/>
      <c r="F137" s="2539" t="s">
        <v>20</v>
      </c>
      <c r="G137" s="3947" t="str">
        <f>'BẢNG LƯƠNG KT'!C44</f>
        <v>Thảo Khốc</v>
      </c>
      <c r="H137" s="3947"/>
      <c r="I137" s="2650">
        <v>28</v>
      </c>
      <c r="J137" s="3948"/>
    </row>
    <row r="138" spans="1:10" ht="12" customHeight="1">
      <c r="A138" s="2541" t="s">
        <v>1282</v>
      </c>
      <c r="B138" s="2542"/>
      <c r="C138" s="2543">
        <f>'BẢNG LƯƠNG KT'!G43</f>
        <v>0</v>
      </c>
      <c r="D138" s="2544">
        <f>C138*25000</f>
        <v>0</v>
      </c>
      <c r="E138" s="2568"/>
      <c r="F138" s="2541" t="s">
        <v>1282</v>
      </c>
      <c r="G138" s="2542"/>
      <c r="H138" s="2543">
        <f>'BẢNG LƯƠNG KT'!G44</f>
        <v>0</v>
      </c>
      <c r="I138" s="2544">
        <f>H138*25000</f>
        <v>0</v>
      </c>
      <c r="J138" s="3948"/>
    </row>
    <row r="139" spans="1:10" ht="12" customHeight="1">
      <c r="A139" s="2546" t="s">
        <v>1283</v>
      </c>
      <c r="B139" s="2547"/>
      <c r="C139" s="2548">
        <f>SUM('BẢNG LƯƠNG KT'!M43:P43)</f>
        <v>31</v>
      </c>
      <c r="D139" s="2549">
        <f>'BẢNG LƯƠNG KT'!S43</f>
        <v>2258308.7999999998</v>
      </c>
      <c r="E139" s="2560"/>
      <c r="F139" s="2546" t="s">
        <v>1283</v>
      </c>
      <c r="G139" s="2547"/>
      <c r="H139" s="2548">
        <f>SUM('BẢNG LƯƠNG KT'!M44:P44)</f>
        <v>23</v>
      </c>
      <c r="I139" s="2549">
        <f>'BẢNG LƯƠNG KT'!S44</f>
        <v>1676171.2</v>
      </c>
      <c r="J139" s="3948"/>
    </row>
    <row r="140" spans="1:10" ht="12" customHeight="1">
      <c r="A140" s="2546" t="s">
        <v>1284</v>
      </c>
      <c r="B140" s="2547"/>
      <c r="C140" s="2548">
        <f>'BẢNG LƯƠNG KT'!J43</f>
        <v>1136.1642729163448</v>
      </c>
      <c r="D140" s="2549">
        <f>'BẢNG LƯƠNG KT'!L43</f>
        <v>4546474.9545020452</v>
      </c>
      <c r="E140" s="2560"/>
      <c r="F140" s="2546" t="s">
        <v>1284</v>
      </c>
      <c r="G140" s="2547"/>
      <c r="H140" s="2548">
        <f>'BẢNG LƯƠNG KT'!J44</f>
        <v>1120.0183333610639</v>
      </c>
      <c r="I140" s="2549">
        <f>'BẢNG LƯƠNG KT'!L44</f>
        <v>4481865.3627776336</v>
      </c>
      <c r="J140" s="3948"/>
    </row>
    <row r="141" spans="1:10" ht="12" customHeight="1">
      <c r="A141" s="2963" t="s">
        <v>23</v>
      </c>
      <c r="B141" s="2547"/>
      <c r="C141" s="2547"/>
      <c r="D141" s="2551"/>
      <c r="E141" s="2576"/>
      <c r="F141" s="2963" t="s">
        <v>23</v>
      </c>
      <c r="G141" s="2547"/>
      <c r="H141" s="2547"/>
      <c r="I141" s="2551"/>
      <c r="J141" s="3948"/>
    </row>
    <row r="142" spans="1:10" ht="12" customHeight="1">
      <c r="A142" s="2552" t="s">
        <v>1285</v>
      </c>
      <c r="B142" s="2547"/>
      <c r="C142" s="2547"/>
      <c r="D142" s="3280"/>
      <c r="E142" s="2560"/>
      <c r="F142" s="2552" t="s">
        <v>1285</v>
      </c>
      <c r="G142" s="2547"/>
      <c r="H142" s="2547"/>
      <c r="I142" s="2551"/>
      <c r="J142" s="3948"/>
    </row>
    <row r="143" spans="1:10" ht="12" customHeight="1">
      <c r="A143" s="2553" t="s">
        <v>1286</v>
      </c>
      <c r="B143" s="2547"/>
      <c r="C143" s="2554"/>
      <c r="D143" s="2549">
        <f>SUM(D142)</f>
        <v>0</v>
      </c>
      <c r="E143" s="2566"/>
      <c r="F143" s="2553" t="s">
        <v>1286</v>
      </c>
      <c r="G143" s="2547"/>
      <c r="H143" s="2554"/>
      <c r="I143" s="2549">
        <f>SUM(I142)</f>
        <v>0</v>
      </c>
      <c r="J143" s="3948"/>
    </row>
    <row r="144" spans="1:10" ht="12" customHeight="1">
      <c r="A144" s="2555" t="s">
        <v>1287</v>
      </c>
      <c r="B144" s="2556"/>
      <c r="C144" s="2557"/>
      <c r="D144" s="2558">
        <f>(D138+D139+D140)-D143</f>
        <v>6804783.754502045</v>
      </c>
      <c r="E144" s="2563"/>
      <c r="F144" s="2555" t="s">
        <v>1287</v>
      </c>
      <c r="G144" s="2556"/>
      <c r="H144" s="2557"/>
      <c r="I144" s="2558">
        <f>(I138+I139+I140)-I143</f>
        <v>6158036.5627776338</v>
      </c>
      <c r="J144" s="3948"/>
    </row>
    <row r="145" spans="1:10" ht="12.75" customHeight="1">
      <c r="A145" s="2567"/>
      <c r="B145" s="2568"/>
      <c r="C145" s="2572"/>
      <c r="D145" s="2560"/>
      <c r="E145" s="2560"/>
      <c r="F145" s="2567"/>
      <c r="G145" s="2568"/>
      <c r="H145" s="2572"/>
      <c r="I145" s="2560"/>
      <c r="J145" s="3948"/>
    </row>
    <row r="146" spans="1:10" ht="12" customHeight="1">
      <c r="A146" s="3944" t="str">
        <f>F136</f>
        <v xml:space="preserve">LƯƠNG THÁNG 12/2024   </v>
      </c>
      <c r="B146" s="3945"/>
      <c r="C146" s="3945"/>
      <c r="D146" s="3946"/>
      <c r="E146" s="2560"/>
      <c r="F146" s="3944" t="str">
        <f>A146</f>
        <v xml:space="preserve">LƯƠNG THÁNG 12/2024   </v>
      </c>
      <c r="G146" s="3945"/>
      <c r="H146" s="3945"/>
      <c r="I146" s="3946"/>
      <c r="J146" s="3948"/>
    </row>
    <row r="147" spans="1:10" ht="12" customHeight="1">
      <c r="A147" s="2539" t="s">
        <v>20</v>
      </c>
      <c r="B147" s="3949" t="str">
        <f>'BẢNG LƯƠNG KT'!C45</f>
        <v>Thảo Sợt</v>
      </c>
      <c r="C147" s="3950"/>
      <c r="D147" s="2540">
        <v>29</v>
      </c>
      <c r="E147" s="2560"/>
      <c r="F147" s="2539" t="s">
        <v>20</v>
      </c>
      <c r="G147" s="3949" t="str">
        <f>'BẢNG LƯƠNG KT'!C46</f>
        <v>Thảo Văn</v>
      </c>
      <c r="H147" s="3950"/>
      <c r="I147" s="2540">
        <v>30</v>
      </c>
      <c r="J147" s="3948"/>
    </row>
    <row r="148" spans="1:10" ht="12" customHeight="1">
      <c r="A148" s="2541" t="s">
        <v>1282</v>
      </c>
      <c r="B148" s="2542"/>
      <c r="C148" s="2543">
        <f>'BẢNG LƯƠNG KT'!G45</f>
        <v>0</v>
      </c>
      <c r="D148" s="2544">
        <f>C148*25000</f>
        <v>0</v>
      </c>
      <c r="E148" s="2569"/>
      <c r="F148" s="2541" t="s">
        <v>1282</v>
      </c>
      <c r="G148" s="2542"/>
      <c r="H148" s="2543">
        <f>'BẢNG LƯƠNG KT'!G46</f>
        <v>0</v>
      </c>
      <c r="I148" s="2544">
        <f>H148*25000</f>
        <v>0</v>
      </c>
      <c r="J148" s="3948"/>
    </row>
    <row r="149" spans="1:10" ht="12" customHeight="1">
      <c r="A149" s="2546" t="s">
        <v>1283</v>
      </c>
      <c r="B149" s="2547"/>
      <c r="C149" s="2548">
        <f>SUM('BẢNG LƯƠNG KT'!M45:P45)</f>
        <v>23</v>
      </c>
      <c r="D149" s="2549">
        <f>'BẢNG LƯƠNG KT'!S45</f>
        <v>1676171.2</v>
      </c>
      <c r="E149" s="2560"/>
      <c r="F149" s="2546" t="s">
        <v>1283</v>
      </c>
      <c r="G149" s="2547"/>
      <c r="H149" s="2548">
        <f>SUM('BẢNG LƯƠNG KT'!M46:P46)</f>
        <v>28</v>
      </c>
      <c r="I149" s="2549">
        <f>'BẢNG LƯƠNG KT'!S46</f>
        <v>2047584</v>
      </c>
      <c r="J149" s="3948"/>
    </row>
    <row r="150" spans="1:10" ht="12" customHeight="1">
      <c r="A150" s="2546" t="s">
        <v>1284</v>
      </c>
      <c r="B150" s="2547"/>
      <c r="C150" s="2548">
        <f>'BẢNG LƯƠNG KT'!J45</f>
        <v>1122.9925853844052</v>
      </c>
      <c r="D150" s="2549">
        <f>'BẢNG LƯƠNG KT'!L45</f>
        <v>4272762.1888705846</v>
      </c>
      <c r="E150" s="2566"/>
      <c r="F150" s="2546" t="s">
        <v>1284</v>
      </c>
      <c r="G150" s="2547"/>
      <c r="H150" s="2548">
        <f>'BẢNG LƯƠNG KT'!J46</f>
        <v>1198.6235654065104</v>
      </c>
      <c r="I150" s="2549">
        <f>'BẢNG LƯƠNG KT'!L46</f>
        <v>4560522.9416586906</v>
      </c>
      <c r="J150" s="3948"/>
    </row>
    <row r="151" spans="1:10" ht="12" customHeight="1">
      <c r="A151" s="2963" t="s">
        <v>23</v>
      </c>
      <c r="B151" s="2547"/>
      <c r="C151" s="2547"/>
      <c r="D151" s="2551"/>
      <c r="E151" s="2563"/>
      <c r="F151" s="2963" t="s">
        <v>23</v>
      </c>
      <c r="G151" s="2547"/>
      <c r="H151" s="2547"/>
      <c r="I151" s="2551"/>
      <c r="J151" s="3948"/>
    </row>
    <row r="152" spans="1:10" ht="12" customHeight="1">
      <c r="A152" s="2552" t="s">
        <v>1285</v>
      </c>
      <c r="B152" s="2547"/>
      <c r="C152" s="2547"/>
      <c r="D152" s="2551"/>
      <c r="E152" s="2563"/>
      <c r="F152" s="2552" t="s">
        <v>1285</v>
      </c>
      <c r="G152" s="2547"/>
      <c r="H152" s="2547"/>
      <c r="I152" s="2551"/>
      <c r="J152" s="3948"/>
    </row>
    <row r="153" spans="1:10" ht="12" customHeight="1">
      <c r="A153" s="2553" t="s">
        <v>1286</v>
      </c>
      <c r="B153" s="2547"/>
      <c r="C153" s="2554"/>
      <c r="D153" s="2549">
        <f>SUM(D152)</f>
        <v>0</v>
      </c>
      <c r="E153" s="2563"/>
      <c r="F153" s="2553" t="s">
        <v>1286</v>
      </c>
      <c r="G153" s="2547"/>
      <c r="H153" s="2554"/>
      <c r="I153" s="2549">
        <f>SUM(I152)</f>
        <v>0</v>
      </c>
      <c r="J153" s="3948"/>
    </row>
    <row r="154" spans="1:10" ht="12" customHeight="1">
      <c r="A154" s="2555" t="s">
        <v>1287</v>
      </c>
      <c r="B154" s="2556"/>
      <c r="C154" s="2557"/>
      <c r="D154" s="2558">
        <f>(D148+D149+D150)-D153</f>
        <v>5948933.3888705848</v>
      </c>
      <c r="E154" s="2568"/>
      <c r="F154" s="2555" t="s">
        <v>1287</v>
      </c>
      <c r="G154" s="2556"/>
      <c r="H154" s="2557"/>
      <c r="I154" s="2558">
        <f>(I148+I149+I150)-I153</f>
        <v>6608106.9416586906</v>
      </c>
      <c r="J154" s="3948"/>
    </row>
    <row r="155" spans="1:10" ht="12" customHeight="1">
      <c r="A155" s="2576"/>
      <c r="B155" s="2576"/>
      <c r="C155" s="2576"/>
      <c r="D155" s="2576"/>
      <c r="E155" s="2569"/>
      <c r="F155" s="2563"/>
      <c r="G155" s="2577"/>
      <c r="H155" s="2578"/>
      <c r="I155" s="2569"/>
      <c r="J155" s="3948"/>
    </row>
    <row r="156" spans="1:10" ht="12" customHeight="1">
      <c r="A156" s="3944" t="str">
        <f>F146</f>
        <v xml:space="preserve">LƯƠNG THÁNG 12/2024   </v>
      </c>
      <c r="B156" s="3945"/>
      <c r="C156" s="3945"/>
      <c r="D156" s="3946"/>
      <c r="E156" s="2569"/>
      <c r="F156" s="3944" t="str">
        <f>A156</f>
        <v xml:space="preserve">LƯƠNG THÁNG 12/2024   </v>
      </c>
      <c r="G156" s="3945"/>
      <c r="H156" s="3945"/>
      <c r="I156" s="3946"/>
      <c r="J156" s="3948"/>
    </row>
    <row r="157" spans="1:10" ht="12" customHeight="1">
      <c r="A157" s="2539" t="s">
        <v>20</v>
      </c>
      <c r="B157" s="3949" t="str">
        <f>'BẢNG LƯƠNG KT'!C47</f>
        <v>Thảo Thong</v>
      </c>
      <c r="C157" s="3950"/>
      <c r="D157" s="2540">
        <v>31</v>
      </c>
      <c r="E157" s="2576"/>
      <c r="F157" s="2539" t="s">
        <v>20</v>
      </c>
      <c r="G157" s="3947" t="str">
        <f>'BẢNG LƯƠNG KT'!C48</f>
        <v xml:space="preserve"> Nàng Ngột</v>
      </c>
      <c r="H157" s="3947"/>
      <c r="I157" s="2650">
        <v>32</v>
      </c>
      <c r="J157" s="3948"/>
    </row>
    <row r="158" spans="1:10" ht="12" customHeight="1">
      <c r="A158" s="2541" t="s">
        <v>1282</v>
      </c>
      <c r="B158" s="2542"/>
      <c r="C158" s="2543">
        <f>'BẢNG LƯƠNG KT'!G47</f>
        <v>0</v>
      </c>
      <c r="D158" s="2544">
        <f>C158*25000</f>
        <v>0</v>
      </c>
      <c r="E158" s="2560"/>
      <c r="F158" s="2541" t="s">
        <v>1282</v>
      </c>
      <c r="G158" s="2542"/>
      <c r="H158" s="2543">
        <f>'BẢNG LƯƠNG KT'!G48</f>
        <v>0</v>
      </c>
      <c r="I158" s="2544">
        <f>H158*25000</f>
        <v>0</v>
      </c>
      <c r="J158" s="3948"/>
    </row>
    <row r="159" spans="1:10" ht="12" customHeight="1">
      <c r="A159" s="2546" t="s">
        <v>1283</v>
      </c>
      <c r="B159" s="2547"/>
      <c r="C159" s="2548">
        <f>SUM('BẢNG LƯƠNG KT'!M47:P47)</f>
        <v>25</v>
      </c>
      <c r="D159" s="2549">
        <f>'BẢNG LƯƠNG KT'!S47</f>
        <v>1836859.2000000002</v>
      </c>
      <c r="E159" s="2566"/>
      <c r="F159" s="2546" t="s">
        <v>1283</v>
      </c>
      <c r="G159" s="2547"/>
      <c r="H159" s="2548">
        <f>SUM('BẢNG LƯƠNG KT'!M48:P48)</f>
        <v>25</v>
      </c>
      <c r="I159" s="2549">
        <f>'BẢNG LƯƠNG KT'!S48</f>
        <v>1836859.2000000002</v>
      </c>
      <c r="J159" s="3948"/>
    </row>
    <row r="160" spans="1:10" ht="12" customHeight="1">
      <c r="A160" s="2546" t="s">
        <v>1284</v>
      </c>
      <c r="B160" s="2547"/>
      <c r="C160" s="2548">
        <f>'BẢNG LƯƠNG KT'!J47</f>
        <v>949.63618173823136</v>
      </c>
      <c r="D160" s="2549">
        <f>'BẢNG LƯƠNG KT'!L47</f>
        <v>3800064.1448437064</v>
      </c>
      <c r="E160" s="2563"/>
      <c r="F160" s="2546" t="s">
        <v>1284</v>
      </c>
      <c r="G160" s="2547"/>
      <c r="H160" s="2548">
        <f>'BẢNG LƯƠNG KT'!J48</f>
        <v>950.91086117680618</v>
      </c>
      <c r="I160" s="2549">
        <f>'BẢNG LƯƠNG KT'!L48</f>
        <v>3618025.6446055118</v>
      </c>
      <c r="J160" s="3948"/>
    </row>
    <row r="161" spans="1:10" ht="12" customHeight="1">
      <c r="A161" s="2963" t="s">
        <v>23</v>
      </c>
      <c r="B161" s="2547"/>
      <c r="C161" s="2547"/>
      <c r="D161" s="2551"/>
      <c r="E161" s="2563"/>
      <c r="F161" s="2963" t="s">
        <v>23</v>
      </c>
      <c r="G161" s="2547"/>
      <c r="H161" s="2547"/>
      <c r="I161" s="2551"/>
      <c r="J161" s="3948"/>
    </row>
    <row r="162" spans="1:10" ht="12" customHeight="1">
      <c r="A162" s="2552" t="s">
        <v>1285</v>
      </c>
      <c r="B162" s="2547"/>
      <c r="C162" s="2547"/>
      <c r="D162" s="2551"/>
      <c r="E162" s="2563"/>
      <c r="F162" s="2552" t="s">
        <v>1285</v>
      </c>
      <c r="G162" s="2547"/>
      <c r="H162" s="2547"/>
      <c r="I162" s="2551"/>
      <c r="J162" s="3948"/>
    </row>
    <row r="163" spans="1:10" ht="12" customHeight="1">
      <c r="A163" s="2553" t="s">
        <v>1286</v>
      </c>
      <c r="B163" s="2547"/>
      <c r="C163" s="2554"/>
      <c r="D163" s="2549">
        <f>SUM(D162)</f>
        <v>0</v>
      </c>
      <c r="E163" s="2568"/>
      <c r="F163" s="2553" t="s">
        <v>1286</v>
      </c>
      <c r="G163" s="2547"/>
      <c r="H163" s="2554"/>
      <c r="I163" s="2549">
        <f>SUM(I162)</f>
        <v>0</v>
      </c>
      <c r="J163" s="3948"/>
    </row>
    <row r="164" spans="1:10" ht="12" customHeight="1">
      <c r="A164" s="2555" t="s">
        <v>1287</v>
      </c>
      <c r="B164" s="2556"/>
      <c r="C164" s="2557"/>
      <c r="D164" s="2558">
        <f>(D158+D159+D160)-D163</f>
        <v>5636923.3448437061</v>
      </c>
      <c r="E164" s="2568"/>
      <c r="F164" s="2555" t="s">
        <v>1287</v>
      </c>
      <c r="G164" s="2556"/>
      <c r="H164" s="2557"/>
      <c r="I164" s="2558">
        <f>(I158+I159+I160)-I163</f>
        <v>5454884.844605512</v>
      </c>
      <c r="J164" s="3948"/>
    </row>
    <row r="165" spans="1:10" ht="5.25" customHeight="1">
      <c r="A165" s="2567"/>
      <c r="B165" s="2579"/>
      <c r="C165" s="2580"/>
      <c r="D165" s="2563"/>
      <c r="E165" s="2569"/>
      <c r="F165" s="2567"/>
      <c r="G165" s="2579"/>
      <c r="H165" s="2580"/>
      <c r="I165" s="2563"/>
      <c r="J165" s="3948"/>
    </row>
    <row r="166" spans="1:10" ht="12" customHeight="1">
      <c r="A166" s="3944" t="str">
        <f>F156</f>
        <v xml:space="preserve">LƯƠNG THÁNG 12/2024   </v>
      </c>
      <c r="B166" s="3945"/>
      <c r="C166" s="3945"/>
      <c r="D166" s="3946"/>
      <c r="E166" s="2569"/>
      <c r="F166" s="3944" t="str">
        <f>A166</f>
        <v xml:space="preserve">LƯƠNG THÁNG 12/2024   </v>
      </c>
      <c r="G166" s="3945"/>
      <c r="H166" s="3945"/>
      <c r="I166" s="3946"/>
      <c r="J166" s="3948"/>
    </row>
    <row r="167" spans="1:10" ht="12" customHeight="1">
      <c r="A167" s="2539" t="s">
        <v>20</v>
      </c>
      <c r="B167" s="3949" t="str">
        <f>'BẢNG LƯƠNG KT'!C49</f>
        <v>Nàng Chon</v>
      </c>
      <c r="C167" s="3950"/>
      <c r="D167" s="2540">
        <v>33</v>
      </c>
      <c r="E167" s="2569"/>
      <c r="F167" s="2539" t="s">
        <v>20</v>
      </c>
      <c r="G167" s="3947" t="str">
        <f>'BẢNG LƯƠNG KT'!C50</f>
        <v>Bun han</v>
      </c>
      <c r="H167" s="3947"/>
      <c r="I167" s="2650">
        <v>34</v>
      </c>
      <c r="J167" s="3948"/>
    </row>
    <row r="168" spans="1:10" ht="12" customHeight="1">
      <c r="A168" s="2541" t="s">
        <v>1282</v>
      </c>
      <c r="B168" s="2542"/>
      <c r="C168" s="2543">
        <f>'BẢNG LƯƠNG KT'!G49</f>
        <v>0</v>
      </c>
      <c r="D168" s="2544">
        <f>C168*25000</f>
        <v>0</v>
      </c>
      <c r="E168" s="2569"/>
      <c r="F168" s="2541" t="s">
        <v>1282</v>
      </c>
      <c r="G168" s="2542"/>
      <c r="H168" s="2543">
        <f>'BẢNG LƯƠNG KT'!G50</f>
        <v>0</v>
      </c>
      <c r="I168" s="2544">
        <f>H168*25000</f>
        <v>0</v>
      </c>
      <c r="J168" s="3948"/>
    </row>
    <row r="169" spans="1:10" ht="12" customHeight="1">
      <c r="A169" s="2546" t="s">
        <v>1283</v>
      </c>
      <c r="B169" s="2547"/>
      <c r="C169" s="2548">
        <f>SUM('BẢNG LƯƠNG KT'!M49:P49)</f>
        <v>21</v>
      </c>
      <c r="D169" s="2549">
        <f>'BẢNG LƯƠNG KT'!S49</f>
        <v>1535688</v>
      </c>
      <c r="E169" s="2569"/>
      <c r="F169" s="2546" t="s">
        <v>1283</v>
      </c>
      <c r="G169" s="2547"/>
      <c r="H169" s="2548">
        <f>SUM('BẢNG LƯƠNG KT'!M50:P50)</f>
        <v>26</v>
      </c>
      <c r="I169" s="2549">
        <f>'BẢNG LƯƠNG KT'!S50</f>
        <v>1907100.8</v>
      </c>
      <c r="J169" s="3948"/>
    </row>
    <row r="170" spans="1:10" ht="12" customHeight="1">
      <c r="A170" s="2546" t="s">
        <v>1284</v>
      </c>
      <c r="B170" s="2547"/>
      <c r="C170" s="2548">
        <f>'BẢNG LƯƠNG KT'!J49</f>
        <v>876.97945373946732</v>
      </c>
      <c r="D170" s="2549">
        <f>'BẢNG LƯƠNG KT'!L49</f>
        <v>3336731.4255879251</v>
      </c>
      <c r="E170" s="2569"/>
      <c r="F170" s="2546" t="s">
        <v>1284</v>
      </c>
      <c r="G170" s="2547"/>
      <c r="H170" s="2548">
        <f>'BẢNG LƯƠNG KT'!J50</f>
        <v>937.73917364486658</v>
      </c>
      <c r="I170" s="2549">
        <f>'BẢNG LƯƠNG KT'!L50</f>
        <v>3567910.0078839883</v>
      </c>
      <c r="J170" s="3948"/>
    </row>
    <row r="171" spans="1:10" ht="12" customHeight="1">
      <c r="A171" s="2963" t="s">
        <v>23</v>
      </c>
      <c r="B171" s="2547"/>
      <c r="C171" s="2547"/>
      <c r="D171" s="2551"/>
      <c r="E171" s="2569"/>
      <c r="F171" s="2963" t="s">
        <v>23</v>
      </c>
      <c r="G171" s="2547"/>
      <c r="H171" s="2547"/>
      <c r="I171" s="2551"/>
      <c r="J171" s="3948"/>
    </row>
    <row r="172" spans="1:10" ht="12" customHeight="1">
      <c r="A172" s="2552" t="s">
        <v>1285</v>
      </c>
      <c r="B172" s="2547"/>
      <c r="C172" s="2547"/>
      <c r="D172" s="2551"/>
      <c r="E172" s="2569"/>
      <c r="F172" s="2552" t="s">
        <v>1285</v>
      </c>
      <c r="G172" s="2547"/>
      <c r="H172" s="2547"/>
      <c r="I172" s="2551"/>
      <c r="J172" s="2570"/>
    </row>
    <row r="173" spans="1:10" ht="12" customHeight="1">
      <c r="A173" s="2553" t="s">
        <v>1286</v>
      </c>
      <c r="B173" s="2547"/>
      <c r="C173" s="2554"/>
      <c r="D173" s="2549">
        <f>SUM(D172)</f>
        <v>0</v>
      </c>
      <c r="E173" s="2569"/>
      <c r="F173" s="2553" t="s">
        <v>1286</v>
      </c>
      <c r="G173" s="2547"/>
      <c r="H173" s="2554"/>
      <c r="I173" s="2549">
        <f>SUM(I172)</f>
        <v>0</v>
      </c>
      <c r="J173" s="2581"/>
    </row>
    <row r="174" spans="1:10" ht="12" customHeight="1">
      <c r="A174" s="2555" t="s">
        <v>1287</v>
      </c>
      <c r="B174" s="2556"/>
      <c r="C174" s="2557"/>
      <c r="D174" s="2558">
        <f>(D168+D169+D170)-D173</f>
        <v>4872419.4255879251</v>
      </c>
      <c r="E174" s="2569"/>
      <c r="F174" s="2555" t="s">
        <v>1287</v>
      </c>
      <c r="G174" s="2556"/>
      <c r="H174" s="2557"/>
      <c r="I174" s="2558">
        <f>(I168+I169+I170)-I173</f>
        <v>5475010.8078839881</v>
      </c>
      <c r="J174" s="2581"/>
    </row>
    <row r="175" spans="1:10" ht="4.5" customHeight="1">
      <c r="A175" s="2567"/>
      <c r="B175" s="2568"/>
      <c r="C175" s="2560"/>
      <c r="D175" s="2560"/>
      <c r="E175" s="2563"/>
      <c r="F175" s="2567"/>
      <c r="G175" s="2568"/>
      <c r="H175" s="2560"/>
      <c r="I175" s="2560"/>
      <c r="J175" s="3948"/>
    </row>
    <row r="176" spans="1:10" ht="12" customHeight="1">
      <c r="A176" s="3944" t="str">
        <f>F166</f>
        <v xml:space="preserve">LƯƠNG THÁNG 12/2024   </v>
      </c>
      <c r="B176" s="3945"/>
      <c r="C176" s="3945"/>
      <c r="D176" s="3946"/>
      <c r="E176" s="2568"/>
      <c r="F176" s="3944" t="str">
        <f>A176</f>
        <v xml:space="preserve">LƯƠNG THÁNG 12/2024   </v>
      </c>
      <c r="G176" s="3945"/>
      <c r="H176" s="3945"/>
      <c r="I176" s="3946"/>
      <c r="J176" s="3948"/>
    </row>
    <row r="177" spans="1:11" s="2227" customFormat="1" ht="12" customHeight="1">
      <c r="A177" s="2653" t="s">
        <v>20</v>
      </c>
      <c r="B177" s="3949" t="str">
        <f>'BẢNG LƯƠNG KT'!C51</f>
        <v>Hăn</v>
      </c>
      <c r="C177" s="3953"/>
      <c r="D177" s="2654">
        <v>35</v>
      </c>
      <c r="E177" s="2649"/>
      <c r="F177" s="2653" t="s">
        <v>20</v>
      </c>
      <c r="G177" s="3949" t="str">
        <f>'BẢNG LƯƠNG KT'!C52</f>
        <v>Thảo Tuỳ</v>
      </c>
      <c r="H177" s="3953"/>
      <c r="I177" s="2655">
        <v>36</v>
      </c>
      <c r="J177" s="3948"/>
    </row>
    <row r="178" spans="1:11" ht="12" customHeight="1">
      <c r="A178" s="2541" t="s">
        <v>1282</v>
      </c>
      <c r="B178" s="2542"/>
      <c r="C178" s="2543">
        <f>'BẢNG LƯƠNG KT'!G51</f>
        <v>0</v>
      </c>
      <c r="D178" s="2544">
        <f>C178*25000</f>
        <v>0</v>
      </c>
      <c r="E178" s="2560"/>
      <c r="F178" s="2541" t="s">
        <v>1282</v>
      </c>
      <c r="G178" s="2542"/>
      <c r="H178" s="2543">
        <f>'BẢNG LƯƠNG KT'!G52</f>
        <v>0</v>
      </c>
      <c r="I178" s="2544">
        <f>H178*25000</f>
        <v>0</v>
      </c>
      <c r="J178" s="3948"/>
    </row>
    <row r="179" spans="1:11" ht="12" customHeight="1">
      <c r="A179" s="2546" t="s">
        <v>1283</v>
      </c>
      <c r="B179" s="2547"/>
      <c r="C179" s="2548">
        <f>SUM('BẢNG LƯƠNG KT'!M51:P51)</f>
        <v>25</v>
      </c>
      <c r="D179" s="2549">
        <f>'BẢNG LƯƠNG KT'!S51</f>
        <v>1836859.2000000002</v>
      </c>
      <c r="E179" s="2560"/>
      <c r="F179" s="2546" t="s">
        <v>1283</v>
      </c>
      <c r="G179" s="2547"/>
      <c r="H179" s="2548">
        <f>SUM('BẢNG LƯƠNG KT'!M52:P52)</f>
        <v>31</v>
      </c>
      <c r="I179" s="2549">
        <f>'BẢNG LƯƠNG KT'!S52</f>
        <v>2258308.7999999998</v>
      </c>
      <c r="J179" s="3948"/>
    </row>
    <row r="180" spans="1:11" ht="12" customHeight="1">
      <c r="A180" s="2546" t="s">
        <v>1284</v>
      </c>
      <c r="B180" s="2547"/>
      <c r="C180" s="2548">
        <f>'BẢNG LƯƠNG KT'!J51</f>
        <v>936.46449420629176</v>
      </c>
      <c r="D180" s="2549">
        <f>'BẢNG LƯƠNG KT'!L51</f>
        <v>3747356.320015897</v>
      </c>
      <c r="E180" s="2569"/>
      <c r="F180" s="2546" t="s">
        <v>1284</v>
      </c>
      <c r="G180" s="2547"/>
      <c r="H180" s="2548">
        <f>'BẢNG LƯƠNG KT'!J52</f>
        <v>1127.6664099925129</v>
      </c>
      <c r="I180" s="2549">
        <f>'BẢNG LƯƠNG KT'!L52</f>
        <v>4512469.9062260389</v>
      </c>
      <c r="J180" s="3948"/>
    </row>
    <row r="181" spans="1:11" ht="12" customHeight="1">
      <c r="A181" s="2963" t="s">
        <v>23</v>
      </c>
      <c r="B181" s="2547"/>
      <c r="C181" s="2547"/>
      <c r="D181" s="2551"/>
      <c r="E181" s="2560"/>
      <c r="F181" s="2963" t="s">
        <v>23</v>
      </c>
      <c r="G181" s="2547"/>
      <c r="H181" s="2547"/>
      <c r="I181" s="2551"/>
      <c r="J181" s="3948"/>
    </row>
    <row r="182" spans="1:11" ht="12" customHeight="1">
      <c r="A182" s="2552" t="s">
        <v>1285</v>
      </c>
      <c r="B182" s="2547"/>
      <c r="C182" s="2547"/>
      <c r="D182" s="2551"/>
      <c r="E182" s="2566"/>
      <c r="F182" s="2552" t="s">
        <v>1285</v>
      </c>
      <c r="G182" s="2547"/>
      <c r="H182" s="2547"/>
      <c r="I182" s="2551"/>
      <c r="J182" s="3948"/>
    </row>
    <row r="183" spans="1:11" ht="12" customHeight="1">
      <c r="A183" s="2553" t="s">
        <v>1286</v>
      </c>
      <c r="B183" s="2547"/>
      <c r="C183" s="2554"/>
      <c r="D183" s="2549">
        <f>SUM(D182)</f>
        <v>0</v>
      </c>
      <c r="E183" s="2563"/>
      <c r="F183" s="2553" t="s">
        <v>1286</v>
      </c>
      <c r="G183" s="2547"/>
      <c r="H183" s="2554"/>
      <c r="I183" s="2549">
        <f>SUM(I182)</f>
        <v>0</v>
      </c>
      <c r="J183" s="3948"/>
    </row>
    <row r="184" spans="1:11" ht="12" customHeight="1">
      <c r="A184" s="2555" t="s">
        <v>1287</v>
      </c>
      <c r="B184" s="2556"/>
      <c r="C184" s="2557"/>
      <c r="D184" s="2558">
        <f>(D178+D179+D180)-D183</f>
        <v>5584215.5200158972</v>
      </c>
      <c r="E184" s="2563"/>
      <c r="F184" s="2555" t="s">
        <v>1287</v>
      </c>
      <c r="G184" s="2556"/>
      <c r="H184" s="2557"/>
      <c r="I184" s="2558">
        <f>(I178+I179+I180)-I183</f>
        <v>6770778.7062260387</v>
      </c>
      <c r="J184" s="3948"/>
    </row>
    <row r="185" spans="1:11" ht="30" customHeight="1">
      <c r="A185" s="2563"/>
      <c r="B185" s="2577"/>
      <c r="C185" s="2578"/>
      <c r="D185" s="2569"/>
      <c r="E185" s="2560"/>
      <c r="F185" s="2563"/>
      <c r="G185" s="2577"/>
      <c r="H185" s="2578"/>
      <c r="I185" s="2569"/>
      <c r="J185" s="3948"/>
      <c r="K185" s="2656" t="s">
        <v>322</v>
      </c>
    </row>
    <row r="186" spans="1:11" ht="30" customHeight="1">
      <c r="A186" s="2563"/>
      <c r="B186" s="2577"/>
      <c r="C186" s="2578"/>
      <c r="D186" s="2569"/>
      <c r="E186" s="3001"/>
      <c r="F186" s="2563"/>
      <c r="G186" s="2577"/>
      <c r="H186" s="2578"/>
      <c r="I186" s="2569"/>
      <c r="J186" s="2999"/>
      <c r="K186" s="2656"/>
    </row>
    <row r="187" spans="1:11" ht="30" customHeight="1">
      <c r="A187" s="2563"/>
      <c r="B187" s="2577"/>
      <c r="C187" s="2578"/>
      <c r="D187" s="2569"/>
      <c r="E187" s="2649"/>
      <c r="F187" s="2563"/>
      <c r="G187" s="2577"/>
      <c r="H187" s="2578"/>
      <c r="I187" s="2569"/>
      <c r="J187" s="2648"/>
      <c r="K187" s="2719">
        <f>D196+I196+D206+I206+D216+I216+D226+I226+D236+I236+D246+I246+D256+I256+D266+'BẢNG LƯƠNG KT'!V70</f>
        <v>94216709.503490001</v>
      </c>
    </row>
    <row r="188" spans="1:11" s="2561" customFormat="1" ht="12" customHeight="1">
      <c r="A188" s="3944" t="str">
        <f>A166</f>
        <v xml:space="preserve">LƯƠNG THÁNG 12/2024   </v>
      </c>
      <c r="B188" s="3945"/>
      <c r="C188" s="3945"/>
      <c r="D188" s="3946"/>
      <c r="E188" s="2649"/>
      <c r="F188" s="3944" t="str">
        <f>A188</f>
        <v xml:space="preserve">LƯƠNG THÁNG 12/2024   </v>
      </c>
      <c r="G188" s="3945"/>
      <c r="H188" s="3945"/>
      <c r="I188" s="3946"/>
      <c r="J188" s="2648"/>
    </row>
    <row r="189" spans="1:11" ht="18" customHeight="1">
      <c r="A189" s="2539" t="s">
        <v>20</v>
      </c>
      <c r="B189" s="3949" t="str">
        <f>'BẢNG LƯƠNG KT'!C55</f>
        <v>Thảo tít</v>
      </c>
      <c r="C189" s="3950"/>
      <c r="D189" s="2540">
        <v>1</v>
      </c>
      <c r="E189" s="2651"/>
      <c r="F189" s="2539" t="s">
        <v>20</v>
      </c>
      <c r="G189" s="3947" t="str">
        <f>'BẢNG LƯƠNG KT'!C56</f>
        <v>Thảo ớt</v>
      </c>
      <c r="H189" s="3947"/>
      <c r="I189" s="2540">
        <v>2</v>
      </c>
    </row>
    <row r="190" spans="1:11" ht="12" customHeight="1">
      <c r="A190" s="2541" t="s">
        <v>1282</v>
      </c>
      <c r="B190" s="2542"/>
      <c r="C190" s="2543">
        <f>'BẢNG LƯƠNG KT'!G55</f>
        <v>0</v>
      </c>
      <c r="D190" s="2652">
        <f>C190*25000</f>
        <v>0</v>
      </c>
      <c r="E190" s="2545"/>
      <c r="F190" s="2541" t="s">
        <v>1282</v>
      </c>
      <c r="G190" s="2542"/>
      <c r="H190" s="2543">
        <f>'BẢNG LƯƠNG KT'!G56</f>
        <v>0</v>
      </c>
      <c r="I190" s="2544">
        <f>H190*25000</f>
        <v>0</v>
      </c>
    </row>
    <row r="191" spans="1:11" ht="13.5" customHeight="1">
      <c r="A191" s="2546" t="s">
        <v>1283</v>
      </c>
      <c r="B191" s="2547"/>
      <c r="C191" s="2717">
        <f>SUM('BẢNG LƯƠNG KT'!M55:N55)</f>
        <v>30</v>
      </c>
      <c r="D191" s="2549">
        <f>'BẢNG LƯƠNG KT'!S55</f>
        <v>2188067.2000000002</v>
      </c>
      <c r="E191" s="2545"/>
      <c r="F191" s="2546" t="s">
        <v>1283</v>
      </c>
      <c r="G191" s="2547"/>
      <c r="H191" s="2548">
        <f>'BẢNG LƯƠNG KT'!M56+'BẢNG LƯƠNG KT'!N56</f>
        <v>31</v>
      </c>
      <c r="I191" s="2549">
        <f>'BẢNG LƯƠNG KT'!S56</f>
        <v>2258308.7999999998</v>
      </c>
    </row>
    <row r="192" spans="1:11" ht="12" customHeight="1">
      <c r="A192" s="2546" t="s">
        <v>1284</v>
      </c>
      <c r="B192" s="2547"/>
      <c r="C192" s="2548">
        <f>'BẢNG LƯƠNG KT'!J55</f>
        <v>991.86322513767436</v>
      </c>
      <c r="D192" s="2549">
        <f>'BẢNG LƯƠNG KT'!L55</f>
        <v>3773841.1990038231</v>
      </c>
      <c r="E192" s="2545"/>
      <c r="F192" s="2546" t="s">
        <v>1284</v>
      </c>
      <c r="G192" s="2547"/>
      <c r="H192" s="2548">
        <f>'BẢNG LƯƠNG KT'!J56</f>
        <v>1108.2750631681247</v>
      </c>
      <c r="I192" s="2549">
        <f>'BẢNG LƯƠNG KT'!L56</f>
        <v>4434873.4927735673</v>
      </c>
    </row>
    <row r="193" spans="1:10" ht="12" customHeight="1">
      <c r="A193" s="2963" t="s">
        <v>23</v>
      </c>
      <c r="B193" s="2547"/>
      <c r="C193" s="2547"/>
      <c r="D193" s="2551"/>
      <c r="E193" s="2545"/>
      <c r="F193" s="2963" t="s">
        <v>23</v>
      </c>
      <c r="G193" s="2547"/>
      <c r="H193" s="2547"/>
      <c r="I193" s="2551"/>
    </row>
    <row r="194" spans="1:10" ht="12" customHeight="1">
      <c r="A194" s="2552" t="s">
        <v>1285</v>
      </c>
      <c r="B194" s="2547"/>
      <c r="C194" s="2547"/>
      <c r="D194" s="2551"/>
      <c r="E194" s="2545"/>
      <c r="F194" s="2552" t="s">
        <v>1285</v>
      </c>
      <c r="G194" s="2547"/>
      <c r="H194" s="2547"/>
      <c r="I194" s="2551"/>
    </row>
    <row r="195" spans="1:10" ht="12" customHeight="1">
      <c r="A195" s="2553" t="s">
        <v>1286</v>
      </c>
      <c r="B195" s="2547"/>
      <c r="C195" s="2554"/>
      <c r="D195" s="2549">
        <f>SUM(D194)</f>
        <v>0</v>
      </c>
      <c r="E195" s="2545"/>
      <c r="F195" s="2553" t="s">
        <v>1286</v>
      </c>
      <c r="G195" s="2547"/>
      <c r="H195" s="2554"/>
      <c r="I195" s="2549">
        <f>SUM(I194)</f>
        <v>0</v>
      </c>
    </row>
    <row r="196" spans="1:10" ht="12" customHeight="1">
      <c r="A196" s="2555" t="s">
        <v>1287</v>
      </c>
      <c r="B196" s="2556"/>
      <c r="C196" s="2557"/>
      <c r="D196" s="2558">
        <f>(D190+D191+D192)-D195</f>
        <v>5961908.3990038233</v>
      </c>
      <c r="E196" s="2559"/>
      <c r="F196" s="2555" t="s">
        <v>1287</v>
      </c>
      <c r="G196" s="2556"/>
      <c r="H196" s="2557"/>
      <c r="I196" s="2558">
        <f>(I190+I191+I192)-I195</f>
        <v>6693182.2927735671</v>
      </c>
    </row>
    <row r="197" spans="1:10" ht="12" customHeight="1"/>
    <row r="198" spans="1:10" s="2561" customFormat="1" ht="12" customHeight="1">
      <c r="A198" s="3944" t="str">
        <f>A176</f>
        <v xml:space="preserve">LƯƠNG THÁNG 12/2024   </v>
      </c>
      <c r="B198" s="3945"/>
      <c r="C198" s="3945"/>
      <c r="D198" s="3946"/>
      <c r="E198" s="2649"/>
      <c r="F198" s="3944" t="str">
        <f>A198</f>
        <v xml:space="preserve">LƯƠNG THÁNG 12/2024   </v>
      </c>
      <c r="G198" s="3945"/>
      <c r="H198" s="3945"/>
      <c r="I198" s="3946"/>
      <c r="J198" s="3948"/>
    </row>
    <row r="199" spans="1:10" s="2561" customFormat="1" ht="12" customHeight="1">
      <c r="A199" s="2539" t="s">
        <v>20</v>
      </c>
      <c r="B199" s="3947" t="str">
        <f>'BẢNG LƯƠNG KT'!C57</f>
        <v>Nàng Ọt</v>
      </c>
      <c r="C199" s="3947"/>
      <c r="D199" s="2650">
        <v>3</v>
      </c>
      <c r="E199" s="2562"/>
      <c r="F199" s="2539" t="s">
        <v>20</v>
      </c>
      <c r="G199" s="3947" t="str">
        <f>'BẢNG LƯƠNG KT'!C58</f>
        <v>Thào Tòng</v>
      </c>
      <c r="H199" s="3947"/>
      <c r="I199" s="2650">
        <v>4</v>
      </c>
      <c r="J199" s="3948"/>
    </row>
    <row r="200" spans="1:10" s="2561" customFormat="1" ht="12" customHeight="1">
      <c r="A200" s="2541" t="s">
        <v>1282</v>
      </c>
      <c r="B200" s="2542"/>
      <c r="C200" s="2543">
        <f>'BẢNG LƯƠNG KT'!G57</f>
        <v>0</v>
      </c>
      <c r="D200" s="2544">
        <f>C200*25000</f>
        <v>0</v>
      </c>
      <c r="E200" s="2563"/>
      <c r="F200" s="2541" t="s">
        <v>1282</v>
      </c>
      <c r="G200" s="2542"/>
      <c r="H200" s="2543">
        <f>'BẢNG LƯƠNG KT'!G58</f>
        <v>0</v>
      </c>
      <c r="I200" s="2544">
        <f>H200*25000</f>
        <v>0</v>
      </c>
      <c r="J200" s="3948"/>
    </row>
    <row r="201" spans="1:10" s="2561" customFormat="1" ht="12" customHeight="1">
      <c r="A201" s="2546" t="s">
        <v>1283</v>
      </c>
      <c r="B201" s="2547"/>
      <c r="C201" s="2548">
        <f>'BẢNG LƯƠNG KT'!M57+'BẢNG LƯƠNG KT'!N57</f>
        <v>31</v>
      </c>
      <c r="D201" s="2549">
        <f>'BẢNG LƯƠNG KT'!S57</f>
        <v>2258308.7999999998</v>
      </c>
      <c r="E201" s="2563"/>
      <c r="F201" s="2546" t="s">
        <v>1283</v>
      </c>
      <c r="G201" s="2547"/>
      <c r="H201" s="2548">
        <f>'BẢNG LƯƠNG KT'!M58+'BẢNG LƯƠNG KT'!N58</f>
        <v>31</v>
      </c>
      <c r="I201" s="2549">
        <f>'BẢNG LƯƠNG KT'!S58</f>
        <v>2258308.7999999998</v>
      </c>
      <c r="J201" s="3948"/>
    </row>
    <row r="202" spans="1:10" ht="12" customHeight="1">
      <c r="A202" s="2546" t="s">
        <v>1284</v>
      </c>
      <c r="B202" s="2547"/>
      <c r="C202" s="2548">
        <f>'BẢNG LƯƠNG KT'!J57</f>
        <v>1031.3831111111112</v>
      </c>
      <c r="D202" s="2549">
        <f>'BẢNG LƯƠNG KT'!L57</f>
        <v>3924206.4611555557</v>
      </c>
      <c r="E202" s="2649"/>
      <c r="F202" s="2546" t="s">
        <v>1284</v>
      </c>
      <c r="G202" s="2547"/>
      <c r="H202" s="2548">
        <f>'BẢNG LƯƠNG KT'!J58</f>
        <v>1028.3761632653063</v>
      </c>
      <c r="I202" s="2549">
        <f>'BẢNG LƯƠNG KT'!L58</f>
        <v>3912765.6259918371</v>
      </c>
      <c r="J202" s="3948"/>
    </row>
    <row r="203" spans="1:10" s="2561" customFormat="1" ht="12" customHeight="1">
      <c r="A203" s="2963" t="s">
        <v>23</v>
      </c>
      <c r="B203" s="2547"/>
      <c r="C203" s="2547"/>
      <c r="D203" s="2551"/>
      <c r="E203" s="2564"/>
      <c r="F203" s="2963" t="s">
        <v>23</v>
      </c>
      <c r="G203" s="2547"/>
      <c r="H203" s="2547"/>
      <c r="I203" s="2551"/>
      <c r="J203" s="3948"/>
    </row>
    <row r="204" spans="1:10" s="2565" customFormat="1" ht="12" customHeight="1">
      <c r="A204" s="2552" t="s">
        <v>1285</v>
      </c>
      <c r="B204" s="2547"/>
      <c r="C204" s="2547"/>
      <c r="D204" s="2551"/>
      <c r="E204" s="2649"/>
      <c r="F204" s="2552" t="s">
        <v>1285</v>
      </c>
      <c r="G204" s="2547"/>
      <c r="H204" s="2547"/>
      <c r="I204" s="2551"/>
      <c r="J204" s="3948"/>
    </row>
    <row r="205" spans="1:10" s="2561" customFormat="1" ht="12" customHeight="1">
      <c r="A205" s="2553" t="s">
        <v>1286</v>
      </c>
      <c r="B205" s="2547"/>
      <c r="C205" s="2554"/>
      <c r="D205" s="2549">
        <f>SUM(D204)</f>
        <v>0</v>
      </c>
      <c r="E205" s="2566"/>
      <c r="F205" s="2553" t="s">
        <v>1286</v>
      </c>
      <c r="G205" s="2547"/>
      <c r="H205" s="2554"/>
      <c r="I205" s="2549">
        <f>SUM(I204)</f>
        <v>0</v>
      </c>
      <c r="J205" s="3948"/>
    </row>
    <row r="206" spans="1:10" s="2561" customFormat="1" ht="12" customHeight="1">
      <c r="A206" s="2555" t="s">
        <v>1287</v>
      </c>
      <c r="B206" s="2556"/>
      <c r="C206" s="2557"/>
      <c r="D206" s="2558">
        <f>(D200+D201+D202)-D205</f>
        <v>6182515.261155555</v>
      </c>
      <c r="E206" s="2563"/>
      <c r="F206" s="2555" t="s">
        <v>1287</v>
      </c>
      <c r="G206" s="2556"/>
      <c r="H206" s="2557"/>
      <c r="I206" s="2558">
        <f>(I200+I201+I202)-I205</f>
        <v>6171074.4259918369</v>
      </c>
      <c r="J206" s="3948"/>
    </row>
    <row r="207" spans="1:10" ht="6.75" customHeight="1">
      <c r="A207" s="2567"/>
      <c r="B207" s="2568"/>
      <c r="C207" s="2649"/>
      <c r="D207" s="2563"/>
      <c r="E207" s="2563"/>
      <c r="F207" s="2567"/>
      <c r="G207" s="2568"/>
      <c r="H207" s="2649"/>
      <c r="I207" s="2563"/>
      <c r="J207" s="3948"/>
    </row>
    <row r="208" spans="1:10" ht="12" customHeight="1">
      <c r="A208" s="3944" t="str">
        <f>F198</f>
        <v xml:space="preserve">LƯƠNG THÁNG 12/2024   </v>
      </c>
      <c r="B208" s="3945"/>
      <c r="C208" s="3945"/>
      <c r="D208" s="3946"/>
      <c r="E208" s="2563"/>
      <c r="F208" s="3944" t="str">
        <f>F198</f>
        <v xml:space="preserve">LƯƠNG THÁNG 12/2024   </v>
      </c>
      <c r="G208" s="3945"/>
      <c r="H208" s="3945"/>
      <c r="I208" s="3946"/>
      <c r="J208" s="3948"/>
    </row>
    <row r="209" spans="1:12" ht="12" customHeight="1">
      <c r="A209" s="2539" t="s">
        <v>20</v>
      </c>
      <c r="B209" s="3949" t="str">
        <f>'BẢNG LƯƠNG KT'!C59</f>
        <v>Nàng Nơm</v>
      </c>
      <c r="C209" s="3950"/>
      <c r="D209" s="2540">
        <v>5</v>
      </c>
      <c r="E209" s="2563"/>
      <c r="F209" s="2539" t="s">
        <v>20</v>
      </c>
      <c r="G209" s="3947" t="str">
        <f>'BẢNG LƯƠNG KT'!C60</f>
        <v>Thảo Ây</v>
      </c>
      <c r="H209" s="3947"/>
      <c r="I209" s="2650">
        <v>6</v>
      </c>
      <c r="J209" s="3948"/>
      <c r="K209" s="2715"/>
    </row>
    <row r="210" spans="1:12" ht="12" customHeight="1">
      <c r="A210" s="2541" t="s">
        <v>1282</v>
      </c>
      <c r="B210" s="2542"/>
      <c r="C210" s="2543">
        <f>'BẢNG LƯƠNG KT'!G59</f>
        <v>0</v>
      </c>
      <c r="D210" s="2544">
        <f>C210*25000</f>
        <v>0</v>
      </c>
      <c r="E210" s="2568"/>
      <c r="F210" s="2541" t="s">
        <v>1282</v>
      </c>
      <c r="G210" s="2542"/>
      <c r="H210" s="2543">
        <f>'BẢNG LƯƠNG KT'!G60</f>
        <v>0</v>
      </c>
      <c r="I210" s="2544">
        <f>H210*25000</f>
        <v>0</v>
      </c>
      <c r="J210" s="3948"/>
    </row>
    <row r="211" spans="1:12" ht="12" customHeight="1">
      <c r="A211" s="2546" t="s">
        <v>1283</v>
      </c>
      <c r="B211" s="2547"/>
      <c r="C211" s="2548">
        <f>'BẢNG LƯƠNG KT'!M59+'BẢNG LƯƠNG KT'!N59</f>
        <v>31</v>
      </c>
      <c r="D211" s="2549">
        <f>'BẢNG LƯƠNG KT'!S59</f>
        <v>2258308.7999999998</v>
      </c>
      <c r="E211" s="2568"/>
      <c r="F211" s="2546" t="s">
        <v>1283</v>
      </c>
      <c r="G211" s="2547"/>
      <c r="H211" s="2548">
        <f>'BẢNG LƯƠNG KT'!M60+'BẢNG LƯƠNG KT'!N60</f>
        <v>31</v>
      </c>
      <c r="I211" s="2549">
        <f>'BẢNG LƯƠNG KT'!S60</f>
        <v>2258308.7999999998</v>
      </c>
      <c r="J211" s="3948"/>
      <c r="K211" s="2715"/>
    </row>
    <row r="212" spans="1:12" ht="12" customHeight="1">
      <c r="A212" s="2546" t="s">
        <v>1284</v>
      </c>
      <c r="B212" s="2547"/>
      <c r="C212" s="2548">
        <f>'BẢNG LƯƠNG KT'!J59</f>
        <v>1026.2283433754455</v>
      </c>
      <c r="D212" s="2549">
        <f>'BẢNG LƯƠNG KT'!L59</f>
        <v>4106555.3388511827</v>
      </c>
      <c r="E212" s="2649"/>
      <c r="F212" s="2546" t="s">
        <v>1284</v>
      </c>
      <c r="G212" s="2547"/>
      <c r="H212" s="2548">
        <f>'BẢNG LƯƠNG KT'!J60</f>
        <v>1021.503139617752</v>
      </c>
      <c r="I212" s="2549">
        <f>'BẢNG LƯƠNG KT'!L60</f>
        <v>4087646.9634943963</v>
      </c>
      <c r="J212" s="3948"/>
    </row>
    <row r="213" spans="1:12" ht="12" customHeight="1">
      <c r="A213" s="2963" t="s">
        <v>23</v>
      </c>
      <c r="B213" s="2547"/>
      <c r="C213" s="2547"/>
      <c r="D213" s="2551"/>
      <c r="E213" s="2569"/>
      <c r="F213" s="2963" t="s">
        <v>23</v>
      </c>
      <c r="G213" s="2547"/>
      <c r="H213" s="2547"/>
      <c r="I213" s="2551"/>
      <c r="J213" s="2648"/>
    </row>
    <row r="214" spans="1:12" ht="12" customHeight="1">
      <c r="A214" s="2552" t="s">
        <v>1285</v>
      </c>
      <c r="B214" s="2547"/>
      <c r="C214" s="2547"/>
      <c r="D214" s="2551"/>
      <c r="E214" s="2568"/>
      <c r="F214" s="2552" t="s">
        <v>1285</v>
      </c>
      <c r="G214" s="2547"/>
      <c r="H214" s="2547"/>
      <c r="I214" s="2551"/>
      <c r="J214" s="3948"/>
      <c r="L214" s="2715"/>
    </row>
    <row r="215" spans="1:12" ht="12" customHeight="1">
      <c r="A215" s="2553" t="s">
        <v>1286</v>
      </c>
      <c r="B215" s="2547"/>
      <c r="C215" s="2554"/>
      <c r="D215" s="2549">
        <f>SUM(D214)</f>
        <v>0</v>
      </c>
      <c r="E215" s="2649"/>
      <c r="F215" s="2553" t="s">
        <v>1286</v>
      </c>
      <c r="G215" s="2547"/>
      <c r="H215" s="2554"/>
      <c r="I215" s="2549">
        <f>SUM(I214)</f>
        <v>0</v>
      </c>
      <c r="J215" s="3948"/>
    </row>
    <row r="216" spans="1:12" ht="12" customHeight="1">
      <c r="A216" s="2555" t="s">
        <v>1287</v>
      </c>
      <c r="B216" s="2556"/>
      <c r="C216" s="2557"/>
      <c r="D216" s="2558">
        <f>(D210+D211+D212)-D215</f>
        <v>6364864.1388511825</v>
      </c>
      <c r="E216" s="2566"/>
      <c r="F216" s="2555" t="s">
        <v>1287</v>
      </c>
      <c r="G216" s="2556"/>
      <c r="H216" s="2557"/>
      <c r="I216" s="2558">
        <f>(I210+I211+I212)-I215</f>
        <v>6345955.7634943966</v>
      </c>
      <c r="J216" s="3948"/>
    </row>
    <row r="217" spans="1:12" ht="8.25" customHeight="1">
      <c r="A217" s="2563"/>
      <c r="B217" s="2568"/>
      <c r="C217" s="2568"/>
      <c r="D217" s="2568"/>
      <c r="E217" s="2568"/>
      <c r="F217" s="2563"/>
      <c r="G217" s="2568"/>
      <c r="H217" s="2568"/>
      <c r="I217" s="2568"/>
      <c r="J217" s="3948"/>
    </row>
    <row r="218" spans="1:12" ht="12" customHeight="1">
      <c r="A218" s="3944" t="str">
        <f>F208</f>
        <v xml:space="preserve">LƯƠNG THÁNG 12/2024   </v>
      </c>
      <c r="B218" s="3945"/>
      <c r="C218" s="3945"/>
      <c r="D218" s="3946"/>
      <c r="E218" s="2649"/>
      <c r="F218" s="3944" t="str">
        <f>F208</f>
        <v xml:space="preserve">LƯƠNG THÁNG 12/2024   </v>
      </c>
      <c r="G218" s="3945"/>
      <c r="H218" s="3945"/>
      <c r="I218" s="3946"/>
      <c r="J218" s="3948"/>
    </row>
    <row r="219" spans="1:12" ht="12" customHeight="1">
      <c r="A219" s="2539" t="s">
        <v>20</v>
      </c>
      <c r="B219" s="3947" t="str">
        <f>'BẢNG LƯƠNG KT'!C61</f>
        <v>Thảo Âm Thong</v>
      </c>
      <c r="C219" s="3947"/>
      <c r="D219" s="2650">
        <v>7</v>
      </c>
      <c r="E219" s="2569"/>
      <c r="F219" s="2539" t="s">
        <v>20</v>
      </c>
      <c r="G219" s="3947" t="str">
        <f>'BẢNG LƯƠNG KT'!C62</f>
        <v>Nàng phon</v>
      </c>
      <c r="H219" s="3947"/>
      <c r="I219" s="2650">
        <v>8</v>
      </c>
      <c r="J219" s="3948"/>
    </row>
    <row r="220" spans="1:12" ht="12" customHeight="1">
      <c r="A220" s="2541" t="s">
        <v>1282</v>
      </c>
      <c r="B220" s="2542"/>
      <c r="C220" s="2543">
        <f>'BẢNG LƯƠNG KT'!G61</f>
        <v>0</v>
      </c>
      <c r="D220" s="2544">
        <f>C220*25000</f>
        <v>0</v>
      </c>
      <c r="E220" s="2569"/>
      <c r="F220" s="2541" t="s">
        <v>1282</v>
      </c>
      <c r="G220" s="2542"/>
      <c r="H220" s="2543">
        <f>'BẢNG LƯƠNG KT'!G62</f>
        <v>0</v>
      </c>
      <c r="I220" s="2544">
        <f>H220*25000</f>
        <v>0</v>
      </c>
      <c r="J220" s="2648"/>
    </row>
    <row r="221" spans="1:12" ht="12" customHeight="1">
      <c r="A221" s="2546" t="s">
        <v>1283</v>
      </c>
      <c r="B221" s="2547"/>
      <c r="C221" s="2717">
        <f>'BẢNG LƯƠNG KT'!M61+'BẢNG LƯƠNG KT'!N60</f>
        <v>28</v>
      </c>
      <c r="D221" s="2718">
        <f>'BẢNG LƯƠNG KT'!S61</f>
        <v>1957137.6</v>
      </c>
      <c r="E221" s="2568"/>
      <c r="F221" s="2546" t="s">
        <v>1283</v>
      </c>
      <c r="G221" s="2547"/>
      <c r="H221" s="2548">
        <f>'BẢNG LƯƠNG KT'!M62+'BẢNG LƯƠNG KT'!N62</f>
        <v>28</v>
      </c>
      <c r="I221" s="2549">
        <f>'BẢNG LƯƠNG KT'!S62</f>
        <v>2047584</v>
      </c>
      <c r="J221" s="3948"/>
    </row>
    <row r="222" spans="1:12" ht="12" customHeight="1">
      <c r="A222" s="2546" t="s">
        <v>1284</v>
      </c>
      <c r="B222" s="2547"/>
      <c r="C222" s="2548">
        <f>'BẢNG LƯƠNG KT'!J61</f>
        <v>863.42359572400392</v>
      </c>
      <c r="D222" s="2549">
        <f>'BẢNG LƯƠNG KT'!L61</f>
        <v>3115232.333372206</v>
      </c>
      <c r="E222" s="2649"/>
      <c r="F222" s="2546" t="s">
        <v>1284</v>
      </c>
      <c r="G222" s="2547"/>
      <c r="H222" s="2548">
        <f>'BẢNG LƯƠNG KT'!J62</f>
        <v>951.05464723032082</v>
      </c>
      <c r="I222" s="2549">
        <f>'BẢNG LƯƠNG KT'!L62</f>
        <v>3618572.7217819244</v>
      </c>
      <c r="J222" s="3948"/>
    </row>
    <row r="223" spans="1:12" ht="12" customHeight="1">
      <c r="A223" s="2963" t="s">
        <v>23</v>
      </c>
      <c r="B223" s="2547"/>
      <c r="C223" s="2547"/>
      <c r="D223" s="2551"/>
      <c r="E223" s="2563"/>
      <c r="F223" s="2963" t="s">
        <v>23</v>
      </c>
      <c r="G223" s="2547"/>
      <c r="H223" s="2547"/>
      <c r="I223" s="2551"/>
      <c r="J223" s="3948"/>
    </row>
    <row r="224" spans="1:12" ht="12" customHeight="1">
      <c r="A224" s="2552" t="s">
        <v>1285</v>
      </c>
      <c r="B224" s="2547"/>
      <c r="C224" s="2547"/>
      <c r="D224" s="2551"/>
      <c r="E224" s="2563"/>
      <c r="F224" s="2552" t="s">
        <v>1285</v>
      </c>
      <c r="G224" s="2547"/>
      <c r="H224" s="2547"/>
      <c r="I224" s="2551"/>
      <c r="J224" s="3948"/>
    </row>
    <row r="225" spans="1:10" ht="12" customHeight="1">
      <c r="A225" s="2553" t="s">
        <v>1286</v>
      </c>
      <c r="B225" s="2547"/>
      <c r="C225" s="2554"/>
      <c r="D225" s="2549">
        <f>SUM(D224)</f>
        <v>0</v>
      </c>
      <c r="E225" s="2563"/>
      <c r="F225" s="2553" t="s">
        <v>1286</v>
      </c>
      <c r="G225" s="2547"/>
      <c r="H225" s="2554"/>
      <c r="I225" s="2549">
        <f>SUM(I224)</f>
        <v>0</v>
      </c>
      <c r="J225" s="3948"/>
    </row>
    <row r="226" spans="1:10" ht="12" customHeight="1">
      <c r="A226" s="2555" t="s">
        <v>1287</v>
      </c>
      <c r="B226" s="2556"/>
      <c r="C226" s="2557"/>
      <c r="D226" s="2558">
        <f>(D220+D221+D222)-D225</f>
        <v>5072369.9333722061</v>
      </c>
      <c r="E226" s="2563"/>
      <c r="F226" s="2555" t="s">
        <v>1287</v>
      </c>
      <c r="G226" s="2556"/>
      <c r="H226" s="2557"/>
      <c r="I226" s="2558">
        <f>(I220+I221+I222)-I225</f>
        <v>5666156.7217819244</v>
      </c>
      <c r="J226" s="3948"/>
    </row>
    <row r="227" spans="1:10" ht="12" customHeight="1">
      <c r="A227" s="2568"/>
      <c r="B227" s="2568"/>
      <c r="C227" s="2568"/>
      <c r="D227" s="2568"/>
      <c r="E227" s="2568"/>
      <c r="F227" s="2568"/>
      <c r="G227" s="2568"/>
      <c r="H227" s="2568"/>
      <c r="I227" s="2568"/>
      <c r="J227" s="3948"/>
    </row>
    <row r="228" spans="1:10" ht="12" customHeight="1">
      <c r="A228" s="3944" t="str">
        <f>F218</f>
        <v xml:space="preserve">LƯƠNG THÁNG 12/2024   </v>
      </c>
      <c r="B228" s="3945"/>
      <c r="C228" s="3945"/>
      <c r="D228" s="3946"/>
      <c r="E228" s="2649"/>
      <c r="F228" s="3944" t="str">
        <f>A228</f>
        <v xml:space="preserve">LƯƠNG THÁNG 12/2024   </v>
      </c>
      <c r="G228" s="3945"/>
      <c r="H228" s="3945"/>
      <c r="I228" s="3946"/>
      <c r="J228" s="3948"/>
    </row>
    <row r="229" spans="1:10" ht="12" customHeight="1">
      <c r="A229" s="2539" t="s">
        <v>20</v>
      </c>
      <c r="B229" s="3947" t="str">
        <f>'BẢNG LƯƠNG KT'!C63</f>
        <v>Thảo phắt</v>
      </c>
      <c r="C229" s="3947"/>
      <c r="D229" s="2650">
        <v>9</v>
      </c>
      <c r="E229" s="2566"/>
      <c r="F229" s="2539" t="s">
        <v>20</v>
      </c>
      <c r="G229" s="3949" t="str">
        <f>'BẢNG LƯƠNG KT'!C64</f>
        <v>Thảo Phon Say</v>
      </c>
      <c r="H229" s="3953"/>
      <c r="I229" s="2650">
        <v>10</v>
      </c>
      <c r="J229" s="3948"/>
    </row>
    <row r="230" spans="1:10" ht="12" customHeight="1">
      <c r="A230" s="2541" t="s">
        <v>1282</v>
      </c>
      <c r="B230" s="2542"/>
      <c r="C230" s="2543">
        <f>'BẢNG LƯƠNG KT'!G63</f>
        <v>0</v>
      </c>
      <c r="D230" s="2544">
        <f>C230*25000</f>
        <v>0</v>
      </c>
      <c r="E230" s="2563"/>
      <c r="F230" s="2541" t="s">
        <v>1282</v>
      </c>
      <c r="G230" s="2542"/>
      <c r="H230" s="2543">
        <f>'BẢNG LƯƠNG KT'!G64</f>
        <v>0</v>
      </c>
      <c r="I230" s="2544">
        <f>H230*25000</f>
        <v>0</v>
      </c>
      <c r="J230" s="3948"/>
    </row>
    <row r="231" spans="1:10" ht="12" customHeight="1">
      <c r="A231" s="2546" t="s">
        <v>1283</v>
      </c>
      <c r="B231" s="2547"/>
      <c r="C231" s="2548">
        <f>'BẢNG LƯƠNG KT'!M63+'BẢNG LƯƠNG KT'!N63</f>
        <v>31</v>
      </c>
      <c r="D231" s="2549">
        <f>'BẢNG LƯƠNG KT'!S63</f>
        <v>2258308.7999999998</v>
      </c>
      <c r="E231" s="2563"/>
      <c r="F231" s="2546" t="s">
        <v>1283</v>
      </c>
      <c r="G231" s="2547"/>
      <c r="H231" s="2548">
        <f>'BẢNG LƯƠNG KT'!M64+'BẢNG LƯƠNG KT'!N64</f>
        <v>31</v>
      </c>
      <c r="I231" s="2549">
        <f>'BẢNG LƯƠNG KT'!S64</f>
        <v>2258308.7999999998</v>
      </c>
      <c r="J231" s="3948"/>
    </row>
    <row r="232" spans="1:10" ht="12" customHeight="1">
      <c r="A232" s="2546" t="s">
        <v>1284</v>
      </c>
      <c r="B232" s="2547"/>
      <c r="C232" s="2548">
        <f>'BẢNG LƯƠNG KT'!J63</f>
        <v>1103.1202954324588</v>
      </c>
      <c r="D232" s="2549">
        <f>'BẢNG LƯƠNG KT'!L63</f>
        <v>4197152.1000614185</v>
      </c>
      <c r="E232" s="2563"/>
      <c r="F232" s="2546" t="s">
        <v>1284</v>
      </c>
      <c r="G232" s="2547"/>
      <c r="H232" s="2548">
        <f>'BẢNG LƯƠNG KT'!J64</f>
        <v>1143.9288733398123</v>
      </c>
      <c r="I232" s="2549">
        <f>'BẢNG LƯƠNG KT'!L64</f>
        <v>4352420.5772833172</v>
      </c>
      <c r="J232" s="3948"/>
    </row>
    <row r="233" spans="1:10" ht="12" customHeight="1">
      <c r="A233" s="2963" t="s">
        <v>23</v>
      </c>
      <c r="B233" s="2547"/>
      <c r="C233" s="2547"/>
      <c r="D233" s="2551"/>
      <c r="E233" s="2568"/>
      <c r="F233" s="2963" t="s">
        <v>23</v>
      </c>
      <c r="G233" s="2547"/>
      <c r="H233" s="2547"/>
      <c r="I233" s="2551"/>
      <c r="J233" s="3948"/>
    </row>
    <row r="234" spans="1:10" ht="12" customHeight="1">
      <c r="A234" s="2552" t="s">
        <v>1285</v>
      </c>
      <c r="B234" s="2547"/>
      <c r="C234" s="2547"/>
      <c r="D234" s="2551"/>
      <c r="E234" s="2568"/>
      <c r="F234" s="2552" t="s">
        <v>1285</v>
      </c>
      <c r="G234" s="2547"/>
      <c r="H234" s="2547"/>
      <c r="I234" s="2551"/>
      <c r="J234" s="3948"/>
    </row>
    <row r="235" spans="1:10" ht="12" customHeight="1">
      <c r="A235" s="2553" t="s">
        <v>1286</v>
      </c>
      <c r="B235" s="2547"/>
      <c r="C235" s="2554"/>
      <c r="D235" s="2549">
        <f>SUM(D234)</f>
        <v>0</v>
      </c>
      <c r="E235" s="2649"/>
      <c r="F235" s="2553" t="s">
        <v>1286</v>
      </c>
      <c r="G235" s="2547"/>
      <c r="H235" s="2554"/>
      <c r="I235" s="2549">
        <f>SUM(I234)</f>
        <v>0</v>
      </c>
      <c r="J235" s="3948"/>
    </row>
    <row r="236" spans="1:10" ht="12" customHeight="1">
      <c r="A236" s="2555" t="s">
        <v>1287</v>
      </c>
      <c r="B236" s="2556"/>
      <c r="C236" s="2557"/>
      <c r="D236" s="2558">
        <f>(D230+D231+D232)-D235</f>
        <v>6455460.9000614183</v>
      </c>
      <c r="E236" s="2569"/>
      <c r="F236" s="2555" t="s">
        <v>1287</v>
      </c>
      <c r="G236" s="2556"/>
      <c r="H236" s="2557"/>
      <c r="I236" s="2558">
        <f>(I230+I231+I232)-I235</f>
        <v>6610729.377283317</v>
      </c>
      <c r="J236" s="3948"/>
    </row>
    <row r="237" spans="1:10" ht="12" customHeight="1">
      <c r="A237" s="2567"/>
      <c r="B237" s="2568"/>
      <c r="C237" s="2649"/>
      <c r="D237" s="2563"/>
      <c r="E237" s="2563"/>
      <c r="F237" s="2567"/>
      <c r="G237" s="2568"/>
      <c r="H237" s="2649"/>
      <c r="I237" s="2563"/>
      <c r="J237" s="3948"/>
    </row>
    <row r="238" spans="1:10" ht="12" customHeight="1">
      <c r="A238" s="3944" t="str">
        <f>F228</f>
        <v xml:space="preserve">LƯƠNG THÁNG 12/2024   </v>
      </c>
      <c r="B238" s="3945"/>
      <c r="C238" s="3945"/>
      <c r="D238" s="3946"/>
      <c r="E238" s="2563"/>
      <c r="F238" s="3944" t="str">
        <f>A238</f>
        <v xml:space="preserve">LƯƠNG THÁNG 12/2024   </v>
      </c>
      <c r="G238" s="3945"/>
      <c r="H238" s="3945"/>
      <c r="I238" s="3946"/>
      <c r="J238" s="3948"/>
    </row>
    <row r="239" spans="1:10" ht="12" customHeight="1">
      <c r="A239" s="2539" t="s">
        <v>20</v>
      </c>
      <c r="B239" s="3947" t="str">
        <f>'BẢNG LƯƠNG KT'!C65</f>
        <v>Nàng Pít</v>
      </c>
      <c r="C239" s="3947"/>
      <c r="D239" s="2650">
        <v>11</v>
      </c>
      <c r="E239" s="2568"/>
      <c r="F239" s="2539" t="s">
        <v>20</v>
      </c>
      <c r="G239" s="3947" t="str">
        <f>'BẢNG LƯƠNG KT'!C66</f>
        <v>Thảo út</v>
      </c>
      <c r="H239" s="3947"/>
      <c r="I239" s="2650">
        <v>12</v>
      </c>
      <c r="J239" s="3948"/>
    </row>
    <row r="240" spans="1:10" ht="12" customHeight="1">
      <c r="A240" s="2541" t="s">
        <v>1282</v>
      </c>
      <c r="B240" s="2542"/>
      <c r="C240" s="2543">
        <f>'BẢNG LƯƠNG KT'!G65</f>
        <v>0</v>
      </c>
      <c r="D240" s="2544">
        <f>C240*25000</f>
        <v>0</v>
      </c>
      <c r="E240" s="2568"/>
      <c r="F240" s="2541" t="s">
        <v>1282</v>
      </c>
      <c r="G240" s="2542"/>
      <c r="H240" s="2543">
        <f>'BẢNG LƯƠNG KT'!G66</f>
        <v>0</v>
      </c>
      <c r="I240" s="2544">
        <f>H240*25000</f>
        <v>0</v>
      </c>
      <c r="J240" s="3948"/>
    </row>
    <row r="241" spans="1:10" ht="12" customHeight="1">
      <c r="A241" s="2546" t="s">
        <v>1283</v>
      </c>
      <c r="B241" s="2547"/>
      <c r="C241" s="2548">
        <f>'BẢNG LƯƠNG KT'!M65+'BẢNG LƯƠNG KT'!N65</f>
        <v>30</v>
      </c>
      <c r="D241" s="2549">
        <f>'BẢNG LƯƠNG KT'!S65</f>
        <v>2188067.2000000002</v>
      </c>
      <c r="E241" s="2649"/>
      <c r="F241" s="2546" t="s">
        <v>1283</v>
      </c>
      <c r="G241" s="2547"/>
      <c r="H241" s="2548">
        <f>'BẢNG LƯƠNG KT'!M66+'BẢNG LƯƠNG KT'!N66</f>
        <v>31</v>
      </c>
      <c r="I241" s="2549">
        <f>'BẢNG LƯƠNG KT'!S66</f>
        <v>2258308.7999999998</v>
      </c>
      <c r="J241" s="3948"/>
    </row>
    <row r="242" spans="1:10" ht="12" customHeight="1">
      <c r="A242" s="2546" t="s">
        <v>1284</v>
      </c>
      <c r="B242" s="2547"/>
      <c r="C242" s="2548">
        <f>'BẢNG LƯƠNG KT'!J65</f>
        <v>983.27194557823134</v>
      </c>
      <c r="D242" s="2549">
        <f>'BẢNG LƯƠNG KT'!L65</f>
        <v>3547645.1796462587</v>
      </c>
      <c r="E242" s="2569"/>
      <c r="F242" s="2546" t="s">
        <v>1284</v>
      </c>
      <c r="G242" s="2547"/>
      <c r="H242" s="2548">
        <f>'BẢNG LƯƠNG KT'!J66</f>
        <v>1125.028058309038</v>
      </c>
      <c r="I242" s="2549">
        <f>'BẢNG LƯƠNG KT'!L66</f>
        <v>4501912.2781294463</v>
      </c>
      <c r="J242" s="3948"/>
    </row>
    <row r="243" spans="1:10" ht="12" customHeight="1">
      <c r="A243" s="2963" t="s">
        <v>23</v>
      </c>
      <c r="B243" s="2547"/>
      <c r="C243" s="2547"/>
      <c r="D243" s="2551"/>
      <c r="E243" s="2569"/>
      <c r="F243" s="2963" t="s">
        <v>23</v>
      </c>
      <c r="G243" s="2547"/>
      <c r="H243" s="2547"/>
      <c r="I243" s="2551"/>
      <c r="J243" s="2648"/>
    </row>
    <row r="244" spans="1:10" ht="12" customHeight="1">
      <c r="A244" s="2552" t="s">
        <v>1285</v>
      </c>
      <c r="B244" s="2547"/>
      <c r="C244" s="2547"/>
      <c r="D244" s="2551"/>
      <c r="E244" s="2569"/>
      <c r="F244" s="2552" t="s">
        <v>1285</v>
      </c>
      <c r="G244" s="2547"/>
      <c r="H244" s="2547"/>
      <c r="I244" s="2551"/>
      <c r="J244" s="2648"/>
    </row>
    <row r="245" spans="1:10" ht="12" customHeight="1">
      <c r="A245" s="2553" t="s">
        <v>1286</v>
      </c>
      <c r="B245" s="2547"/>
      <c r="C245" s="2554"/>
      <c r="D245" s="2549">
        <f>SUM(D244)</f>
        <v>0</v>
      </c>
      <c r="E245" s="2569"/>
      <c r="F245" s="2553" t="s">
        <v>1286</v>
      </c>
      <c r="G245" s="2547"/>
      <c r="H245" s="2554"/>
      <c r="I245" s="2549">
        <f>SUM(I244)</f>
        <v>0</v>
      </c>
      <c r="J245" s="2648"/>
    </row>
    <row r="246" spans="1:10" ht="12" customHeight="1">
      <c r="A246" s="2555" t="s">
        <v>1287</v>
      </c>
      <c r="B246" s="2556"/>
      <c r="C246" s="2557"/>
      <c r="D246" s="2558">
        <f>(D240+D241+D242)-D245</f>
        <v>5735712.3796462584</v>
      </c>
      <c r="E246" s="2569"/>
      <c r="F246" s="2555" t="s">
        <v>1287</v>
      </c>
      <c r="G246" s="2556"/>
      <c r="H246" s="2557"/>
      <c r="I246" s="2558">
        <f>(I240+I241+I242)-I245</f>
        <v>6760221.0781294461</v>
      </c>
      <c r="J246" s="2648"/>
    </row>
    <row r="247" spans="1:10" ht="16.5" customHeight="1">
      <c r="A247" s="2567"/>
      <c r="B247" s="2568"/>
      <c r="C247" s="2649"/>
      <c r="D247" s="2563"/>
      <c r="E247" s="2563"/>
      <c r="F247" s="2567"/>
      <c r="G247" s="2568"/>
      <c r="H247" s="2649"/>
      <c r="I247" s="2563"/>
      <c r="J247" s="3952"/>
    </row>
    <row r="248" spans="1:10" ht="12" customHeight="1">
      <c r="A248" s="3944" t="str">
        <f>F238</f>
        <v xml:space="preserve">LƯƠNG THÁNG 12/2024   </v>
      </c>
      <c r="B248" s="3945"/>
      <c r="C248" s="3945"/>
      <c r="D248" s="3946"/>
      <c r="E248" s="2563"/>
      <c r="F248" s="3944" t="str">
        <f>A248</f>
        <v xml:space="preserve">LƯƠNG THÁNG 12/2024   </v>
      </c>
      <c r="G248" s="3945"/>
      <c r="H248" s="3945"/>
      <c r="I248" s="3946"/>
      <c r="J248" s="3952"/>
    </row>
    <row r="249" spans="1:10" ht="12" customHeight="1">
      <c r="A249" s="2539" t="s">
        <v>20</v>
      </c>
      <c r="B249" s="3947" t="str">
        <f>'BẢNG LƯƠNG KT'!C67</f>
        <v>Nàng ăm</v>
      </c>
      <c r="C249" s="3947"/>
      <c r="D249" s="2650">
        <v>13</v>
      </c>
      <c r="E249" s="2568"/>
      <c r="F249" s="2539" t="s">
        <v>20</v>
      </c>
      <c r="G249" s="3947" t="str">
        <f>'BẢNG LƯƠNG KT'!C68</f>
        <v>Nàng Phìn</v>
      </c>
      <c r="H249" s="3947"/>
      <c r="I249" s="2650">
        <v>14</v>
      </c>
      <c r="J249" s="3952"/>
    </row>
    <row r="250" spans="1:10" ht="12" customHeight="1">
      <c r="A250" s="2541" t="s">
        <v>1282</v>
      </c>
      <c r="B250" s="2542"/>
      <c r="C250" s="2543">
        <f>'BẢNG LƯƠNG KT'!G67</f>
        <v>0</v>
      </c>
      <c r="D250" s="2544">
        <f>C250*25000</f>
        <v>0</v>
      </c>
      <c r="E250" s="2568"/>
      <c r="F250" s="2541" t="s">
        <v>1282</v>
      </c>
      <c r="G250" s="2542"/>
      <c r="H250" s="2543">
        <f>'BẢNG LƯƠNG KT'!G68</f>
        <v>0</v>
      </c>
      <c r="I250" s="2544">
        <f>H250*25000</f>
        <v>0</v>
      </c>
      <c r="J250" s="3952"/>
    </row>
    <row r="251" spans="1:10" ht="12" customHeight="1">
      <c r="A251" s="2546" t="s">
        <v>1283</v>
      </c>
      <c r="B251" s="2547"/>
      <c r="C251" s="2548">
        <f>'BẢNG LƯƠNG KT'!M67+'BẢNG LƯƠNG KT'!N67</f>
        <v>27</v>
      </c>
      <c r="D251" s="2549">
        <f>'BẢNG LƯƠNG KT'!S67</f>
        <v>1977342.4</v>
      </c>
      <c r="E251" s="2649"/>
      <c r="F251" s="2546" t="s">
        <v>1283</v>
      </c>
      <c r="G251" s="2547"/>
      <c r="H251" s="2548">
        <f>'BẢNG LƯƠNG KT'!M68+'BẢNG LƯƠNG KT'!N68</f>
        <v>31</v>
      </c>
      <c r="I251" s="2549">
        <f>'BẢNG LƯƠNG KT'!S68</f>
        <v>2258308.7999999998</v>
      </c>
      <c r="J251" s="3952"/>
    </row>
    <row r="252" spans="1:10" ht="12" customHeight="1">
      <c r="A252" s="2546" t="s">
        <v>1284</v>
      </c>
      <c r="B252" s="2547"/>
      <c r="C252" s="2548">
        <f>'BẢNG LƯƠNG KT'!J67</f>
        <v>1186.8852711370264</v>
      </c>
      <c r="D252" s="2549">
        <f>'BẢNG LƯƠNG KT'!L67</f>
        <v>4515861.0796221578</v>
      </c>
      <c r="E252" s="2569"/>
      <c r="F252" s="2546" t="s">
        <v>1284</v>
      </c>
      <c r="G252" s="2547"/>
      <c r="H252" s="2548">
        <f>'BẢNG LƯƠNG KT'!J68</f>
        <v>1140.9219254940074</v>
      </c>
      <c r="I252" s="2549">
        <f>'BẢNG LƯƠNG KT'!L68</f>
        <v>4565513.1770568201</v>
      </c>
      <c r="J252" s="3952"/>
    </row>
    <row r="253" spans="1:10" ht="12" customHeight="1">
      <c r="A253" s="2963" t="s">
        <v>23</v>
      </c>
      <c r="B253" s="2547"/>
      <c r="C253" s="2547"/>
      <c r="D253" s="2551"/>
      <c r="E253" s="2569"/>
      <c r="F253" s="2963" t="s">
        <v>23</v>
      </c>
      <c r="G253" s="2547"/>
      <c r="H253" s="2547"/>
      <c r="I253" s="2551"/>
      <c r="J253" s="2648"/>
    </row>
    <row r="254" spans="1:10" ht="12" customHeight="1">
      <c r="A254" s="2552" t="s">
        <v>1285</v>
      </c>
      <c r="B254" s="2547"/>
      <c r="C254" s="2547"/>
      <c r="D254" s="2551"/>
      <c r="E254" s="2649"/>
      <c r="F254" s="2552" t="s">
        <v>1285</v>
      </c>
      <c r="G254" s="2547"/>
      <c r="H254" s="2547"/>
      <c r="I254" s="2551"/>
      <c r="J254" s="3948"/>
    </row>
    <row r="255" spans="1:10" ht="12" customHeight="1">
      <c r="A255" s="2553" t="s">
        <v>1286</v>
      </c>
      <c r="B255" s="2547"/>
      <c r="C255" s="2554"/>
      <c r="D255" s="2549">
        <f>SUM(D254)</f>
        <v>0</v>
      </c>
      <c r="E255" s="2566"/>
      <c r="F255" s="2553" t="s">
        <v>1286</v>
      </c>
      <c r="G255" s="2547"/>
      <c r="H255" s="2554"/>
      <c r="I255" s="2549">
        <f>SUM(I254)</f>
        <v>0</v>
      </c>
      <c r="J255" s="3948"/>
    </row>
    <row r="256" spans="1:10" ht="12" customHeight="1">
      <c r="A256" s="2555" t="s">
        <v>1287</v>
      </c>
      <c r="B256" s="2556"/>
      <c r="C256" s="2557"/>
      <c r="D256" s="2558">
        <f>(D250+D251+D252)-D255</f>
        <v>6493203.4796221573</v>
      </c>
      <c r="E256" s="2563"/>
      <c r="F256" s="2555" t="s">
        <v>1287</v>
      </c>
      <c r="G256" s="2556"/>
      <c r="H256" s="2557"/>
      <c r="I256" s="2558">
        <f>(I250+I251+I252)-I255</f>
        <v>6823821.9770568199</v>
      </c>
      <c r="J256" s="3948"/>
    </row>
    <row r="257" spans="1:12" ht="21.75" customHeight="1">
      <c r="A257" s="2571"/>
      <c r="B257" s="2568"/>
      <c r="C257" s="2568"/>
      <c r="D257" s="2568"/>
      <c r="E257" s="2649"/>
      <c r="F257" s="2571"/>
      <c r="G257" s="2568"/>
      <c r="H257" s="2568"/>
      <c r="I257" s="2568"/>
      <c r="J257" s="3948"/>
    </row>
    <row r="258" spans="1:12" ht="12" customHeight="1">
      <c r="A258" s="3944" t="str">
        <f>F248</f>
        <v xml:space="preserve">LƯƠNG THÁNG 12/2024   </v>
      </c>
      <c r="B258" s="3945"/>
      <c r="C258" s="3945"/>
      <c r="D258" s="3946"/>
      <c r="E258" s="2569"/>
      <c r="F258" s="3944"/>
      <c r="G258" s="3945"/>
      <c r="H258" s="3945"/>
      <c r="I258" s="3946"/>
      <c r="J258" s="3948"/>
    </row>
    <row r="259" spans="1:12" ht="12" customHeight="1">
      <c r="A259" s="2539" t="s">
        <v>20</v>
      </c>
      <c r="B259" s="3947" t="str">
        <f>'BẢNG LƯƠNG KT'!C69</f>
        <v>May</v>
      </c>
      <c r="C259" s="3947"/>
      <c r="D259" s="2650">
        <v>15</v>
      </c>
      <c r="E259" s="2569"/>
      <c r="F259" s="2539"/>
      <c r="G259" s="3947"/>
      <c r="H259" s="3947"/>
      <c r="I259" s="2650"/>
      <c r="J259" s="3948"/>
    </row>
    <row r="260" spans="1:12" ht="12" customHeight="1">
      <c r="A260" s="2541" t="s">
        <v>1282</v>
      </c>
      <c r="B260" s="2542"/>
      <c r="C260" s="2543">
        <f>'BẢNG LƯƠNG KT'!G69</f>
        <v>0</v>
      </c>
      <c r="D260" s="2544">
        <f>C260*25000</f>
        <v>0</v>
      </c>
      <c r="E260" s="2569"/>
      <c r="F260" s="2541"/>
      <c r="G260" s="2542"/>
      <c r="H260" s="2543"/>
      <c r="I260" s="2544"/>
      <c r="J260" s="3948"/>
    </row>
    <row r="261" spans="1:12" ht="12" customHeight="1">
      <c r="A261" s="2546" t="s">
        <v>1283</v>
      </c>
      <c r="B261" s="2547"/>
      <c r="C261" s="2548">
        <f>'BẢNG LƯƠNG KT'!M69+'BẢNG LƯƠNG KT'!N69</f>
        <v>28</v>
      </c>
      <c r="D261" s="2549">
        <f>'BẢNG LƯƠNG KT'!S69</f>
        <v>2047584</v>
      </c>
      <c r="E261" s="2649"/>
      <c r="F261" s="2546"/>
      <c r="G261" s="2547"/>
      <c r="H261" s="2548"/>
      <c r="I261" s="2549"/>
      <c r="J261" s="3948"/>
    </row>
    <row r="262" spans="1:12" ht="12" customHeight="1">
      <c r="A262" s="2546" t="s">
        <v>1284</v>
      </c>
      <c r="B262" s="2547"/>
      <c r="C262" s="2548">
        <f>'BẢNG LƯƠNG KT'!J69</f>
        <v>1207.5043420796892</v>
      </c>
      <c r="D262" s="2549">
        <f>'BẢNG LƯƠNG KT'!L69</f>
        <v>4831949.3752660844</v>
      </c>
      <c r="E262" s="2566"/>
      <c r="F262" s="2546"/>
      <c r="G262" s="2547"/>
      <c r="H262" s="2548"/>
      <c r="I262" s="2549"/>
      <c r="J262" s="3948"/>
    </row>
    <row r="263" spans="1:12" ht="12" customHeight="1">
      <c r="A263" s="2963" t="s">
        <v>23</v>
      </c>
      <c r="B263" s="2547"/>
      <c r="C263" s="2547"/>
      <c r="D263" s="2551"/>
      <c r="E263" s="2563"/>
      <c r="F263" s="2550"/>
      <c r="G263" s="2547"/>
      <c r="H263" s="2547"/>
      <c r="I263" s="2551"/>
      <c r="J263" s="3948"/>
    </row>
    <row r="264" spans="1:12" ht="12" customHeight="1">
      <c r="A264" s="2552" t="s">
        <v>1285</v>
      </c>
      <c r="B264" s="2547"/>
      <c r="C264" s="2547"/>
      <c r="D264" s="2551"/>
      <c r="E264" s="2563"/>
      <c r="F264" s="2552"/>
      <c r="G264" s="2547"/>
      <c r="H264" s="2547"/>
      <c r="I264" s="2551"/>
      <c r="J264" s="3948"/>
    </row>
    <row r="265" spans="1:12" ht="12" customHeight="1">
      <c r="A265" s="2553" t="s">
        <v>1286</v>
      </c>
      <c r="B265" s="2547"/>
      <c r="C265" s="2554"/>
      <c r="D265" s="2549">
        <f>SUM(D264)</f>
        <v>0</v>
      </c>
      <c r="E265" s="2563"/>
      <c r="F265" s="2553"/>
      <c r="G265" s="2547"/>
      <c r="H265" s="2554"/>
      <c r="I265" s="2549"/>
      <c r="J265" s="3948"/>
    </row>
    <row r="266" spans="1:12" ht="12" customHeight="1">
      <c r="A266" s="2555" t="s">
        <v>1287</v>
      </c>
      <c r="B266" s="2556"/>
      <c r="C266" s="2557"/>
      <c r="D266" s="2558">
        <f>(D260+D261+D262)-D265</f>
        <v>6879533.3752660844</v>
      </c>
      <c r="E266" s="2568"/>
      <c r="F266" s="2555"/>
      <c r="G266" s="2556"/>
      <c r="H266" s="2557"/>
      <c r="I266" s="2558"/>
      <c r="J266" s="3948"/>
    </row>
    <row r="267" spans="1:12" ht="45" customHeight="1">
      <c r="K267" s="2656" t="s">
        <v>371</v>
      </c>
    </row>
    <row r="268" spans="1:12" ht="12" customHeight="1">
      <c r="A268" s="3944" t="str">
        <f>A258</f>
        <v xml:space="preserve">LƯƠNG THÁNG 12/2024   </v>
      </c>
      <c r="B268" s="3945"/>
      <c r="C268" s="3945"/>
      <c r="D268" s="3946"/>
      <c r="E268" s="2569"/>
      <c r="F268" s="3944" t="str">
        <f>A268</f>
        <v xml:space="preserve">LƯƠNG THÁNG 12/2024   </v>
      </c>
      <c r="G268" s="3945"/>
      <c r="H268" s="3945"/>
      <c r="I268" s="3946"/>
      <c r="K268" s="2716">
        <f>D276+I276+D286+I286+D296+I296+D306+I306+D316+I316+D326+I326+D336+I336+D346+I346+'BẢNG LƯƠNG KT'!V88</f>
        <v>91311285.896097392</v>
      </c>
    </row>
    <row r="269" spans="1:12" ht="18" customHeight="1">
      <c r="A269" s="2539" t="s">
        <v>20</v>
      </c>
      <c r="B269" s="3949" t="str">
        <f>'BẢNG LƯƠNG KT'!C72</f>
        <v>Phò Đăm</v>
      </c>
      <c r="C269" s="3950"/>
      <c r="D269" s="2540">
        <v>1</v>
      </c>
      <c r="E269" s="2651"/>
      <c r="F269" s="2539" t="s">
        <v>20</v>
      </c>
      <c r="G269" s="3947" t="str">
        <f>'BẢNG LƯƠNG KT'!C73</f>
        <v>Thảo Mai</v>
      </c>
      <c r="H269" s="3947"/>
      <c r="I269" s="2540">
        <v>2</v>
      </c>
    </row>
    <row r="270" spans="1:12" ht="12" customHeight="1">
      <c r="A270" s="2541" t="s">
        <v>1282</v>
      </c>
      <c r="B270" s="2542"/>
      <c r="C270" s="2543">
        <f>'BẢNG LƯƠNG KT'!G72</f>
        <v>0</v>
      </c>
      <c r="D270" s="2652">
        <f>C270*25000</f>
        <v>0</v>
      </c>
      <c r="E270" s="2545"/>
      <c r="F270" s="2541" t="s">
        <v>1282</v>
      </c>
      <c r="G270" s="2542"/>
      <c r="H270" s="2543">
        <f>'BẢNG LƯƠNG KT'!G73</f>
        <v>0</v>
      </c>
      <c r="I270" s="2544">
        <f>H270*25000</f>
        <v>0</v>
      </c>
      <c r="L270" s="3219"/>
    </row>
    <row r="271" spans="1:12" ht="13.5" customHeight="1">
      <c r="A271" s="2546" t="s">
        <v>1283</v>
      </c>
      <c r="B271" s="2547"/>
      <c r="C271" s="2717">
        <f>'BẢNG LƯƠNG KT'!M72+'BẢNG LƯƠNG KT'!N72</f>
        <v>20</v>
      </c>
      <c r="D271" s="2549">
        <f>'BẢNG LƯƠNG KT'!S72</f>
        <v>2400000</v>
      </c>
      <c r="E271" s="2545"/>
      <c r="F271" s="2546" t="s">
        <v>1283</v>
      </c>
      <c r="G271" s="2547"/>
      <c r="H271" s="2548">
        <f>'BẢNG LƯƠNG KT'!M73+'BẢNG LƯƠNG KT'!N73</f>
        <v>7</v>
      </c>
      <c r="I271" s="2549">
        <f>'BẢNG LƯƠNG KT'!S73</f>
        <v>840000</v>
      </c>
      <c r="L271" s="3278"/>
    </row>
    <row r="272" spans="1:12" ht="12" customHeight="1">
      <c r="A272" s="2546" t="s">
        <v>1284</v>
      </c>
      <c r="B272" s="2547"/>
      <c r="C272" s="2548">
        <f>'BẢNG LƯƠNG KT'!J72</f>
        <v>1217.8110870101059</v>
      </c>
      <c r="D272" s="2549">
        <f>'BẢNG LƯƠNG KT'!L72</f>
        <v>5352523.2896268172</v>
      </c>
      <c r="E272" s="2545"/>
      <c r="F272" s="2546" t="s">
        <v>1284</v>
      </c>
      <c r="G272" s="2547"/>
      <c r="H272" s="2548">
        <f>'BẢNG LƯƠNG KT'!J73</f>
        <v>229.87364316818667</v>
      </c>
      <c r="I272" s="2549">
        <f>'BẢNG LƯƠNG KT'!L73</f>
        <v>965101.50347731484</v>
      </c>
    </row>
    <row r="273" spans="1:12" ht="12" customHeight="1">
      <c r="A273" s="2963" t="s">
        <v>23</v>
      </c>
      <c r="B273" s="2547"/>
      <c r="C273" s="2547"/>
      <c r="D273" s="2551">
        <f>'BẢNG LƯƠNG KT'!T72</f>
        <v>0</v>
      </c>
      <c r="E273" s="2545"/>
      <c r="F273" s="2963" t="s">
        <v>23</v>
      </c>
      <c r="G273" s="2547"/>
      <c r="H273" s="2547"/>
      <c r="I273" s="2551">
        <f>'BẢNG LƯƠNG KT'!T73</f>
        <v>0</v>
      </c>
      <c r="K273" s="2223"/>
      <c r="L273" s="3219"/>
    </row>
    <row r="274" spans="1:12" ht="12" customHeight="1">
      <c r="A274" s="2552" t="s">
        <v>1285</v>
      </c>
      <c r="B274" s="2547"/>
      <c r="C274" s="2547"/>
      <c r="D274" s="2551"/>
      <c r="E274" s="2545"/>
      <c r="F274" s="2552" t="s">
        <v>1285</v>
      </c>
      <c r="G274" s="2547"/>
      <c r="H274" s="2547"/>
      <c r="I274" s="2551"/>
      <c r="K274" s="2715"/>
      <c r="L274" s="3219"/>
    </row>
    <row r="275" spans="1:12" ht="12" customHeight="1">
      <c r="A275" s="2553" t="s">
        <v>1286</v>
      </c>
      <c r="B275" s="2547"/>
      <c r="C275" s="2554"/>
      <c r="D275" s="2549"/>
      <c r="E275" s="2545"/>
      <c r="F275" s="2553" t="s">
        <v>1286</v>
      </c>
      <c r="G275" s="2547"/>
      <c r="H275" s="2554"/>
      <c r="I275" s="2549"/>
      <c r="K275" s="2223"/>
    </row>
    <row r="276" spans="1:12" ht="12" customHeight="1">
      <c r="A276" s="2555" t="s">
        <v>1287</v>
      </c>
      <c r="B276" s="2556"/>
      <c r="C276" s="2557"/>
      <c r="D276" s="2558">
        <f>(D270+D271+D272+D273)+D274</f>
        <v>7752523.2896268172</v>
      </c>
      <c r="E276" s="2559"/>
      <c r="F276" s="2555" t="s">
        <v>1287</v>
      </c>
      <c r="G276" s="2556"/>
      <c r="H276" s="2557"/>
      <c r="I276" s="2558">
        <f>(I270+I271+I272+I273)+I274</f>
        <v>1805101.503477315</v>
      </c>
      <c r="K276" s="2223"/>
    </row>
    <row r="277" spans="1:12" ht="12" customHeight="1">
      <c r="K277" s="3278"/>
      <c r="L277" s="3219"/>
    </row>
    <row r="278" spans="1:12" s="2561" customFormat="1" ht="12" customHeight="1">
      <c r="A278" s="3944" t="str">
        <f>F268</f>
        <v xml:space="preserve">LƯƠNG THÁNG 12/2024   </v>
      </c>
      <c r="B278" s="3945"/>
      <c r="C278" s="3945"/>
      <c r="D278" s="3946"/>
      <c r="E278" s="2649"/>
      <c r="F278" s="3944" t="str">
        <f>A278</f>
        <v xml:space="preserve">LƯƠNG THÁNG 12/2024   </v>
      </c>
      <c r="G278" s="3945"/>
      <c r="H278" s="3945"/>
      <c r="I278" s="3946"/>
      <c r="J278" s="3948"/>
      <c r="K278" s="3277"/>
    </row>
    <row r="279" spans="1:12" s="2561" customFormat="1" ht="12" customHeight="1">
      <c r="A279" s="2539" t="s">
        <v>20</v>
      </c>
      <c r="B279" s="3947" t="str">
        <f>'BẢNG LƯƠNG KT'!C74</f>
        <v>Thảo Tưng</v>
      </c>
      <c r="C279" s="3947"/>
      <c r="D279" s="2650">
        <v>3</v>
      </c>
      <c r="E279" s="2562"/>
      <c r="F279" s="2539" t="s">
        <v>20</v>
      </c>
      <c r="G279" s="3947" t="str">
        <f>'BẢNG LƯƠNG KT'!C75</f>
        <v>Thảo Xay</v>
      </c>
      <c r="H279" s="3947"/>
      <c r="I279" s="2650">
        <v>4</v>
      </c>
      <c r="J279" s="3948"/>
      <c r="K279" s="3277"/>
    </row>
    <row r="280" spans="1:12" s="2561" customFormat="1" ht="12" customHeight="1">
      <c r="A280" s="2541" t="s">
        <v>1282</v>
      </c>
      <c r="B280" s="2542"/>
      <c r="C280" s="2543">
        <f>'BẢNG LƯƠNG KT'!G74</f>
        <v>0</v>
      </c>
      <c r="D280" s="2544">
        <f>C280*25000</f>
        <v>0</v>
      </c>
      <c r="E280" s="2563"/>
      <c r="F280" s="2541" t="s">
        <v>1282</v>
      </c>
      <c r="G280" s="2542"/>
      <c r="H280" s="2543">
        <f>'BẢNG LƯƠNG KT'!G75</f>
        <v>0</v>
      </c>
      <c r="I280" s="2544">
        <f>H280*25000</f>
        <v>0</v>
      </c>
      <c r="J280" s="3948"/>
    </row>
    <row r="281" spans="1:12" s="2561" customFormat="1" ht="12" customHeight="1">
      <c r="A281" s="2546" t="s">
        <v>1283</v>
      </c>
      <c r="B281" s="2547"/>
      <c r="C281" s="2548">
        <f>'BẢNG LƯƠNG KT'!M74+'BẢNG LƯƠNG KT'!N74</f>
        <v>21</v>
      </c>
      <c r="D281" s="2549">
        <f>'BẢNG LƯƠNG KT'!S74</f>
        <v>2520000</v>
      </c>
      <c r="E281" s="2563"/>
      <c r="F281" s="2546" t="s">
        <v>1283</v>
      </c>
      <c r="G281" s="2547"/>
      <c r="H281" s="2548">
        <f>'BẢNG LƯƠNG KT'!M75+'BẢNG LƯƠNG KT'!N75</f>
        <v>25</v>
      </c>
      <c r="I281" s="2549">
        <f>'BẢNG LƯƠNG KT'!S75</f>
        <v>3000000</v>
      </c>
      <c r="J281" s="3948"/>
    </row>
    <row r="282" spans="1:12" ht="12" customHeight="1">
      <c r="A282" s="2546" t="s">
        <v>1284</v>
      </c>
      <c r="B282" s="2547"/>
      <c r="C282" s="2548">
        <f>'BẢNG LƯƠNG KT'!J74</f>
        <v>497.9808902308767</v>
      </c>
      <c r="D282" s="2549">
        <f>'BẢNG LƯƠNG KT'!L74</f>
        <v>2090722.9695453125</v>
      </c>
      <c r="E282" s="2649"/>
      <c r="F282" s="2546" t="s">
        <v>1284</v>
      </c>
      <c r="G282" s="2547"/>
      <c r="H282" s="2548">
        <f>'BẢNG LƯƠNG KT'!J75</f>
        <v>811.8740580067373</v>
      </c>
      <c r="I282" s="2549">
        <f>'BẢNG LƯƠNG KT'!L75</f>
        <v>3568348.8597512115</v>
      </c>
      <c r="J282" s="3948"/>
    </row>
    <row r="283" spans="1:12" s="2561" customFormat="1" ht="12" customHeight="1">
      <c r="A283" s="2963" t="s">
        <v>23</v>
      </c>
      <c r="B283" s="2547"/>
      <c r="C283" s="2547"/>
      <c r="D283" s="2551">
        <f>'BẢNG LƯƠNG KT'!T74</f>
        <v>0</v>
      </c>
      <c r="E283" s="2564"/>
      <c r="F283" s="2963" t="s">
        <v>23</v>
      </c>
      <c r="G283" s="2547"/>
      <c r="H283" s="2547"/>
      <c r="I283" s="2551">
        <f>'BẢNG LƯƠNG KT'!T75</f>
        <v>0</v>
      </c>
      <c r="J283" s="3948"/>
    </row>
    <row r="284" spans="1:12" s="2565" customFormat="1" ht="12" customHeight="1">
      <c r="A284" s="2552" t="s">
        <v>1285</v>
      </c>
      <c r="B284" s="2547"/>
      <c r="C284" s="2547"/>
      <c r="D284" s="2551"/>
      <c r="E284" s="2649"/>
      <c r="F284" s="2552" t="s">
        <v>1285</v>
      </c>
      <c r="G284" s="2547"/>
      <c r="H284" s="2547"/>
      <c r="I284" s="2551"/>
      <c r="J284" s="3948"/>
    </row>
    <row r="285" spans="1:12" s="2561" customFormat="1" ht="12" customHeight="1">
      <c r="A285" s="2553" t="s">
        <v>1286</v>
      </c>
      <c r="B285" s="2547"/>
      <c r="C285" s="2554"/>
      <c r="D285" s="2549"/>
      <c r="E285" s="2566"/>
      <c r="F285" s="2553" t="s">
        <v>1286</v>
      </c>
      <c r="G285" s="2547"/>
      <c r="H285" s="2554"/>
      <c r="I285" s="2549"/>
      <c r="J285" s="3948"/>
    </row>
    <row r="286" spans="1:12" s="2561" customFormat="1" ht="12" customHeight="1">
      <c r="A286" s="2555" t="s">
        <v>1287</v>
      </c>
      <c r="B286" s="2556"/>
      <c r="C286" s="2557"/>
      <c r="D286" s="2558">
        <f>(D280+D281+D282+D283)+D284</f>
        <v>4610722.9695453122</v>
      </c>
      <c r="E286" s="2563"/>
      <c r="F286" s="2555" t="s">
        <v>1287</v>
      </c>
      <c r="G286" s="2556"/>
      <c r="H286" s="2557"/>
      <c r="I286" s="2558">
        <f>(I280+I281+I282+I283)+I284</f>
        <v>6568348.8597512115</v>
      </c>
      <c r="J286" s="3948"/>
    </row>
    <row r="287" spans="1:12" ht="6.75" customHeight="1">
      <c r="A287" s="2567"/>
      <c r="B287" s="2568"/>
      <c r="C287" s="2649"/>
      <c r="D287" s="2563"/>
      <c r="E287" s="2563"/>
      <c r="F287" s="2567"/>
      <c r="G287" s="2568"/>
      <c r="H287" s="2649"/>
      <c r="I287" s="2563"/>
      <c r="J287" s="3948"/>
    </row>
    <row r="288" spans="1:12" ht="12" customHeight="1">
      <c r="A288" s="3944" t="str">
        <f>F278</f>
        <v xml:space="preserve">LƯƠNG THÁNG 12/2024   </v>
      </c>
      <c r="B288" s="3945"/>
      <c r="C288" s="3945"/>
      <c r="D288" s="3946"/>
      <c r="E288" s="2563"/>
      <c r="F288" s="3944" t="str">
        <f>F278</f>
        <v xml:space="preserve">LƯƠNG THÁNG 12/2024   </v>
      </c>
      <c r="G288" s="3945"/>
      <c r="H288" s="3945"/>
      <c r="I288" s="3946"/>
      <c r="J288" s="3948"/>
    </row>
    <row r="289" spans="1:10" ht="12" customHeight="1">
      <c r="A289" s="2539" t="s">
        <v>20</v>
      </c>
      <c r="B289" s="3949" t="str">
        <f>'BẢNG LƯƠNG KT'!C76</f>
        <v>Nàng Nọi</v>
      </c>
      <c r="C289" s="3950"/>
      <c r="D289" s="2540">
        <v>5</v>
      </c>
      <c r="E289" s="2563"/>
      <c r="F289" s="2539" t="s">
        <v>20</v>
      </c>
      <c r="G289" s="3947" t="str">
        <f>'BẢNG LƯƠNG KT'!C77</f>
        <v>Thảo Đăm</v>
      </c>
      <c r="H289" s="3947"/>
      <c r="I289" s="2650">
        <v>6</v>
      </c>
      <c r="J289" s="3948"/>
    </row>
    <row r="290" spans="1:10" ht="12" customHeight="1">
      <c r="A290" s="2541" t="s">
        <v>1282</v>
      </c>
      <c r="B290" s="2542"/>
      <c r="C290" s="2543">
        <f>'BẢNG LƯƠNG KT'!G76</f>
        <v>0</v>
      </c>
      <c r="D290" s="2544">
        <f>C290*25000</f>
        <v>0</v>
      </c>
      <c r="E290" s="2568"/>
      <c r="F290" s="2541" t="s">
        <v>1282</v>
      </c>
      <c r="G290" s="2542"/>
      <c r="H290" s="2543">
        <f>'BẢNG LƯƠNG KT'!G77</f>
        <v>0</v>
      </c>
      <c r="I290" s="2544">
        <f>H290*25000</f>
        <v>0</v>
      </c>
      <c r="J290" s="3948"/>
    </row>
    <row r="291" spans="1:10" ht="12" customHeight="1">
      <c r="A291" s="2546" t="s">
        <v>1283</v>
      </c>
      <c r="B291" s="2547"/>
      <c r="C291" s="2548">
        <f>'BẢNG LƯƠNG KT'!M76+'BẢNG LƯƠNG KT'!N76</f>
        <v>21</v>
      </c>
      <c r="D291" s="2549">
        <f>'BẢNG LƯƠNG KT'!S76</f>
        <v>2520000</v>
      </c>
      <c r="E291" s="2568"/>
      <c r="F291" s="2546" t="s">
        <v>1283</v>
      </c>
      <c r="G291" s="2547"/>
      <c r="H291" s="2548">
        <f>'BẢNG LƯƠNG KT'!M77+'BẢNG LƯƠNG KT'!N77</f>
        <v>22</v>
      </c>
      <c r="I291" s="2549">
        <f>'BẢNG LƯƠNG KT'!S77</f>
        <v>2640000</v>
      </c>
      <c r="J291" s="3948"/>
    </row>
    <row r="292" spans="1:10" ht="12" customHeight="1">
      <c r="A292" s="2546" t="s">
        <v>1284</v>
      </c>
      <c r="B292" s="2547"/>
      <c r="C292" s="2548">
        <f>'BẢNG LƯƠNG KT'!J76</f>
        <v>688.67688990222655</v>
      </c>
      <c r="D292" s="2549">
        <f>'BẢNG LƯƠNG KT'!L76</f>
        <v>2891341.0545655079</v>
      </c>
      <c r="E292" s="2649"/>
      <c r="F292" s="2546" t="s">
        <v>1284</v>
      </c>
      <c r="G292" s="2547"/>
      <c r="H292" s="2548">
        <f>'BẢNG LƯƠNG KT'!J77</f>
        <v>672.15619686139178</v>
      </c>
      <c r="I292" s="2549">
        <f>'BẢNG LƯƠNG KT'!L77</f>
        <v>2954260.9164451892</v>
      </c>
      <c r="J292" s="3948"/>
    </row>
    <row r="293" spans="1:10" ht="12" customHeight="1">
      <c r="A293" s="2963" t="s">
        <v>23</v>
      </c>
      <c r="B293" s="2547"/>
      <c r="C293" s="2547"/>
      <c r="D293" s="2551">
        <f>'BẢNG LƯƠNG KT'!T76</f>
        <v>0</v>
      </c>
      <c r="E293" s="2569"/>
      <c r="F293" s="2963" t="s">
        <v>23</v>
      </c>
      <c r="G293" s="2547"/>
      <c r="H293" s="2547"/>
      <c r="I293" s="2551"/>
      <c r="J293" s="2648"/>
    </row>
    <row r="294" spans="1:10" ht="12" customHeight="1">
      <c r="A294" s="2552" t="s">
        <v>1285</v>
      </c>
      <c r="B294" s="2547"/>
      <c r="C294" s="2547"/>
      <c r="D294" s="2551"/>
      <c r="E294" s="2568"/>
      <c r="F294" s="2552" t="s">
        <v>1285</v>
      </c>
      <c r="G294" s="2547"/>
      <c r="H294" s="2547"/>
      <c r="I294" s="2551"/>
      <c r="J294" s="3948"/>
    </row>
    <row r="295" spans="1:10" ht="12" customHeight="1">
      <c r="A295" s="2553" t="s">
        <v>1286</v>
      </c>
      <c r="B295" s="2547"/>
      <c r="C295" s="2554"/>
      <c r="D295" s="2549"/>
      <c r="E295" s="2649"/>
      <c r="F295" s="2553" t="s">
        <v>1286</v>
      </c>
      <c r="G295" s="2547"/>
      <c r="H295" s="2554"/>
      <c r="I295" s="2549"/>
      <c r="J295" s="3948"/>
    </row>
    <row r="296" spans="1:10" ht="12" customHeight="1">
      <c r="A296" s="2555" t="s">
        <v>1287</v>
      </c>
      <c r="B296" s="2556"/>
      <c r="C296" s="2557"/>
      <c r="D296" s="2558">
        <f>(D290+D291+D292+D293)+D294</f>
        <v>5411341.0545655079</v>
      </c>
      <c r="E296" s="2566"/>
      <c r="F296" s="2555" t="s">
        <v>1287</v>
      </c>
      <c r="G296" s="2556"/>
      <c r="H296" s="2557"/>
      <c r="I296" s="2558">
        <f>(I290+I291+I292)+I294</f>
        <v>5594260.9164451892</v>
      </c>
      <c r="J296" s="3948"/>
    </row>
    <row r="297" spans="1:10" ht="8.25" customHeight="1">
      <c r="A297" s="2563"/>
      <c r="B297" s="2568"/>
      <c r="C297" s="2568"/>
      <c r="D297" s="2568"/>
      <c r="E297" s="2568"/>
      <c r="F297" s="2563"/>
      <c r="G297" s="2568"/>
      <c r="H297" s="2568"/>
      <c r="I297" s="2568"/>
      <c r="J297" s="3948"/>
    </row>
    <row r="298" spans="1:10" ht="12" customHeight="1">
      <c r="A298" s="3944" t="str">
        <f>F288</f>
        <v xml:space="preserve">LƯƠNG THÁNG 12/2024   </v>
      </c>
      <c r="B298" s="3945"/>
      <c r="C298" s="3945"/>
      <c r="D298" s="3946"/>
      <c r="E298" s="2649"/>
      <c r="F298" s="3944" t="str">
        <f>F288</f>
        <v xml:space="preserve">LƯƠNG THÁNG 12/2024   </v>
      </c>
      <c r="G298" s="3945"/>
      <c r="H298" s="3945"/>
      <c r="I298" s="3946"/>
      <c r="J298" s="3948"/>
    </row>
    <row r="299" spans="1:10" ht="12" customHeight="1">
      <c r="A299" s="2539" t="s">
        <v>20</v>
      </c>
      <c r="B299" s="3947" t="str">
        <f>'BẢNG LƯƠNG KT'!C78</f>
        <v>Thảo chăn</v>
      </c>
      <c r="C299" s="3947"/>
      <c r="D299" s="2650">
        <v>7</v>
      </c>
      <c r="E299" s="2569"/>
      <c r="F299" s="2539" t="s">
        <v>20</v>
      </c>
      <c r="G299" s="3947" t="str">
        <f>'BẢNG LƯƠNG KT'!C79</f>
        <v>Hồ Văn Tăng</v>
      </c>
      <c r="H299" s="3947"/>
      <c r="I299" s="2650">
        <v>8</v>
      </c>
      <c r="J299" s="3948"/>
    </row>
    <row r="300" spans="1:10" ht="12" customHeight="1">
      <c r="A300" s="2541" t="s">
        <v>1282</v>
      </c>
      <c r="B300" s="2542"/>
      <c r="C300" s="2717">
        <f>'BẢNG LƯƠNG KT'!G78</f>
        <v>0</v>
      </c>
      <c r="D300" s="2720">
        <f>C300*25000</f>
        <v>0</v>
      </c>
      <c r="E300" s="2569"/>
      <c r="F300" s="2541" t="s">
        <v>1282</v>
      </c>
      <c r="G300" s="2542"/>
      <c r="H300" s="2543">
        <f>'BẢNG LƯƠNG KT'!G79</f>
        <v>0</v>
      </c>
      <c r="I300" s="2544">
        <f>H300*25000</f>
        <v>0</v>
      </c>
      <c r="J300" s="2648"/>
    </row>
    <row r="301" spans="1:10" ht="12" customHeight="1">
      <c r="A301" s="2546" t="s">
        <v>1283</v>
      </c>
      <c r="B301" s="2547"/>
      <c r="C301" s="2722">
        <f>'BẢNG LƯƠNG KT'!M78+'BẢNG LƯƠNG KT'!N78</f>
        <v>26</v>
      </c>
      <c r="D301" s="2723">
        <f>'BẢNG LƯƠNG KT'!S78</f>
        <v>3120000</v>
      </c>
      <c r="E301" s="2568"/>
      <c r="F301" s="2546" t="s">
        <v>1283</v>
      </c>
      <c r="G301" s="2547"/>
      <c r="H301" s="2548">
        <f>'BẢNG LƯƠNG KT'!M79+'BẢNG LƯƠNG KT'!N79</f>
        <v>21</v>
      </c>
      <c r="I301" s="2549">
        <f>'BẢNG LƯƠNG KT'!S79</f>
        <v>2520000</v>
      </c>
      <c r="J301" s="3948"/>
    </row>
    <row r="302" spans="1:10" ht="12" customHeight="1">
      <c r="A302" s="2546" t="s">
        <v>1284</v>
      </c>
      <c r="B302" s="2547"/>
      <c r="C302" s="2548">
        <f>'BẢNG LƯƠNG KT'!J78</f>
        <v>1051.6601169994249</v>
      </c>
      <c r="D302" s="2721">
        <f>'BẢNG LƯƠNG KT'!L78</f>
        <v>4622256.5462358724</v>
      </c>
      <c r="E302" s="2649"/>
      <c r="F302" s="2546" t="s">
        <v>1284</v>
      </c>
      <c r="G302" s="2547"/>
      <c r="H302" s="2548">
        <f>'BẢNG LƯƠNG KT'!J79</f>
        <v>561.23154358721547</v>
      </c>
      <c r="I302" s="2549">
        <f>'BẢNG LƯƠNG KT'!L79</f>
        <v>2356274.5125965653</v>
      </c>
      <c r="J302" s="3948"/>
    </row>
    <row r="303" spans="1:10" ht="12" customHeight="1">
      <c r="A303" s="2963" t="s">
        <v>23</v>
      </c>
      <c r="B303" s="2547"/>
      <c r="C303" s="2547"/>
      <c r="D303" s="2551"/>
      <c r="E303" s="2563"/>
      <c r="F303" s="2963" t="s">
        <v>23</v>
      </c>
      <c r="G303" s="2547"/>
      <c r="H303" s="2547"/>
      <c r="I303" s="2551"/>
      <c r="J303" s="3948"/>
    </row>
    <row r="304" spans="1:10" ht="12" customHeight="1">
      <c r="A304" s="2552" t="s">
        <v>1285</v>
      </c>
      <c r="B304" s="2547"/>
      <c r="C304" s="2547"/>
      <c r="D304" s="2551"/>
      <c r="E304" s="2563"/>
      <c r="F304" s="2552" t="s">
        <v>1285</v>
      </c>
      <c r="G304" s="2547"/>
      <c r="H304" s="2547"/>
      <c r="I304" s="2551"/>
      <c r="J304" s="3948"/>
    </row>
    <row r="305" spans="1:10" ht="12" customHeight="1">
      <c r="A305" s="2553" t="s">
        <v>1286</v>
      </c>
      <c r="B305" s="2547"/>
      <c r="C305" s="2554"/>
      <c r="D305" s="2549"/>
      <c r="E305" s="2563"/>
      <c r="F305" s="2553" t="s">
        <v>1286</v>
      </c>
      <c r="G305" s="2547"/>
      <c r="H305" s="2554"/>
      <c r="I305" s="2549">
        <f>I304</f>
        <v>0</v>
      </c>
      <c r="J305" s="3948"/>
    </row>
    <row r="306" spans="1:10" ht="12" customHeight="1">
      <c r="A306" s="2555" t="s">
        <v>1287</v>
      </c>
      <c r="B306" s="2556"/>
      <c r="C306" s="2557"/>
      <c r="D306" s="2558">
        <f>(D300+D301+D302)+D304</f>
        <v>7742256.5462358724</v>
      </c>
      <c r="E306" s="2563"/>
      <c r="F306" s="2555" t="s">
        <v>1287</v>
      </c>
      <c r="G306" s="2556"/>
      <c r="H306" s="2557"/>
      <c r="I306" s="2558">
        <f>(I300+I301+I302)+I305</f>
        <v>4876274.5125965653</v>
      </c>
      <c r="J306" s="3948"/>
    </row>
    <row r="307" spans="1:10" ht="12" customHeight="1">
      <c r="A307" s="2568"/>
      <c r="B307" s="2568"/>
      <c r="C307" s="2568"/>
      <c r="D307" s="2568"/>
      <c r="E307" s="2568"/>
      <c r="F307" s="2568"/>
      <c r="G307" s="2568"/>
      <c r="H307" s="2568"/>
      <c r="I307" s="2568"/>
      <c r="J307" s="3948"/>
    </row>
    <row r="308" spans="1:10" ht="12" customHeight="1">
      <c r="A308" s="3944" t="str">
        <f>F298</f>
        <v xml:space="preserve">LƯƠNG THÁNG 12/2024   </v>
      </c>
      <c r="B308" s="3945"/>
      <c r="C308" s="3945"/>
      <c r="D308" s="3946"/>
      <c r="E308" s="2649"/>
      <c r="F308" s="3944" t="str">
        <f>A308</f>
        <v xml:space="preserve">LƯƠNG THÁNG 12/2024   </v>
      </c>
      <c r="G308" s="3945"/>
      <c r="H308" s="3945"/>
      <c r="I308" s="3946"/>
      <c r="J308" s="3948"/>
    </row>
    <row r="309" spans="1:10" ht="12" customHeight="1">
      <c r="A309" s="2539" t="s">
        <v>20</v>
      </c>
      <c r="B309" s="3947" t="str">
        <f>'BẢNG LƯƠNG KT'!C80</f>
        <v>Hồ Văn Khoa</v>
      </c>
      <c r="C309" s="3947"/>
      <c r="D309" s="2650">
        <v>9</v>
      </c>
      <c r="E309" s="2566"/>
      <c r="F309" s="2539" t="s">
        <v>20</v>
      </c>
      <c r="G309" s="3949" t="str">
        <f>'BẢNG LƯƠNG KT'!C81</f>
        <v>Hồ Xa My</v>
      </c>
      <c r="H309" s="3953"/>
      <c r="I309" s="2650">
        <v>10</v>
      </c>
      <c r="J309" s="3948"/>
    </row>
    <row r="310" spans="1:10" ht="12" customHeight="1">
      <c r="A310" s="2541" t="s">
        <v>1282</v>
      </c>
      <c r="B310" s="2542"/>
      <c r="C310" s="2543">
        <f>'BẢNG LƯƠNG KT'!G80</f>
        <v>0</v>
      </c>
      <c r="D310" s="2544">
        <f>C310*25000</f>
        <v>0</v>
      </c>
      <c r="E310" s="2563"/>
      <c r="F310" s="2541" t="s">
        <v>1282</v>
      </c>
      <c r="G310" s="2542"/>
      <c r="H310" s="2543">
        <f>'BẢNG LƯƠNG KT'!G81</f>
        <v>0</v>
      </c>
      <c r="I310" s="2544">
        <f>H310*25000</f>
        <v>0</v>
      </c>
      <c r="J310" s="3948"/>
    </row>
    <row r="311" spans="1:10" ht="12" customHeight="1">
      <c r="A311" s="2546" t="s">
        <v>1283</v>
      </c>
      <c r="B311" s="2547"/>
      <c r="C311" s="2548">
        <f>'BẢNG LƯƠNG KT'!M80+'BẢNG LƯƠNG KT'!N80</f>
        <v>20</v>
      </c>
      <c r="D311" s="2549">
        <f>'BẢNG LƯƠNG KT'!S80</f>
        <v>2400000</v>
      </c>
      <c r="E311" s="2563"/>
      <c r="F311" s="2546" t="s">
        <v>1283</v>
      </c>
      <c r="G311" s="2547"/>
      <c r="H311" s="2548">
        <f>'BẢNG LƯƠNG KT'!M81+'BẢNG LƯƠNG KT'!N81</f>
        <v>21</v>
      </c>
      <c r="I311" s="2549">
        <f>'BẢNG LƯƠNG KT'!S81</f>
        <v>2520000</v>
      </c>
      <c r="J311" s="3948"/>
    </row>
    <row r="312" spans="1:10" ht="12" customHeight="1">
      <c r="A312" s="2546" t="s">
        <v>1284</v>
      </c>
      <c r="B312" s="2547"/>
      <c r="C312" s="2548">
        <f>'BẢNG LƯƠNG KT'!J80</f>
        <v>693.39708791389364</v>
      </c>
      <c r="D312" s="2549">
        <f>'BẢNG LƯƠNG KT'!L80</f>
        <v>3047618.8807991454</v>
      </c>
      <c r="E312" s="2563"/>
      <c r="F312" s="2546" t="s">
        <v>1284</v>
      </c>
      <c r="G312" s="2547"/>
      <c r="H312" s="2548">
        <f>'BẢNG LƯƠNG KT'!J81</f>
        <v>676.87639487305887</v>
      </c>
      <c r="I312" s="2549">
        <f>'BẢNG LƯƠNG KT'!L81</f>
        <v>2975007.1307460684</v>
      </c>
      <c r="J312" s="3948"/>
    </row>
    <row r="313" spans="1:10" ht="12" customHeight="1">
      <c r="A313" s="2963" t="s">
        <v>23</v>
      </c>
      <c r="B313" s="2547"/>
      <c r="C313" s="2547"/>
      <c r="D313" s="2551"/>
      <c r="E313" s="2568"/>
      <c r="F313" s="2963" t="s">
        <v>23</v>
      </c>
      <c r="G313" s="2547"/>
      <c r="H313" s="2547"/>
      <c r="I313" s="2551"/>
      <c r="J313" s="3948"/>
    </row>
    <row r="314" spans="1:10" ht="12" customHeight="1">
      <c r="A314" s="2552" t="s">
        <v>1285</v>
      </c>
      <c r="B314" s="2547"/>
      <c r="C314" s="2547"/>
      <c r="D314" s="2551"/>
      <c r="E314" s="2568"/>
      <c r="F314" s="2552" t="s">
        <v>1285</v>
      </c>
      <c r="G314" s="2547"/>
      <c r="H314" s="2547"/>
      <c r="I314" s="2551"/>
      <c r="J314" s="3948"/>
    </row>
    <row r="315" spans="1:10" ht="12" customHeight="1">
      <c r="A315" s="2553" t="s">
        <v>1286</v>
      </c>
      <c r="B315" s="2547"/>
      <c r="C315" s="2554"/>
      <c r="D315" s="2549"/>
      <c r="E315" s="2649"/>
      <c r="F315" s="2553" t="s">
        <v>1286</v>
      </c>
      <c r="G315" s="2547"/>
      <c r="H315" s="2554"/>
      <c r="I315" s="2549"/>
      <c r="J315" s="3948"/>
    </row>
    <row r="316" spans="1:10" ht="12" customHeight="1">
      <c r="A316" s="2555" t="s">
        <v>1287</v>
      </c>
      <c r="B316" s="2556"/>
      <c r="C316" s="2557"/>
      <c r="D316" s="2558">
        <f>(D310+D311+D312)+D314</f>
        <v>5447618.8807991454</v>
      </c>
      <c r="E316" s="2569"/>
      <c r="F316" s="2555" t="s">
        <v>1287</v>
      </c>
      <c r="G316" s="2556"/>
      <c r="H316" s="2557"/>
      <c r="I316" s="2558">
        <f>(I310+I311+I312)+I314</f>
        <v>5495007.1307460684</v>
      </c>
      <c r="J316" s="3948"/>
    </row>
    <row r="317" spans="1:10" ht="12" customHeight="1">
      <c r="A317" s="2567"/>
      <c r="B317" s="2568"/>
      <c r="C317" s="2649"/>
      <c r="D317" s="2563"/>
      <c r="E317" s="2563"/>
      <c r="F317" s="2567"/>
      <c r="G317" s="2568"/>
      <c r="H317" s="2649"/>
      <c r="I317" s="2563"/>
      <c r="J317" s="3948"/>
    </row>
    <row r="318" spans="1:10" ht="12" customHeight="1">
      <c r="A318" s="3944" t="str">
        <f>F308</f>
        <v xml:space="preserve">LƯƠNG THÁNG 12/2024   </v>
      </c>
      <c r="B318" s="3945"/>
      <c r="C318" s="3945"/>
      <c r="D318" s="3946"/>
      <c r="E318" s="2563"/>
      <c r="F318" s="3944" t="str">
        <f>A318</f>
        <v xml:space="preserve">LƯƠNG THÁNG 12/2024   </v>
      </c>
      <c r="G318" s="3945"/>
      <c r="H318" s="3945"/>
      <c r="I318" s="3946"/>
      <c r="J318" s="3948"/>
    </row>
    <row r="319" spans="1:10" ht="12" customHeight="1">
      <c r="A319" s="2539" t="s">
        <v>20</v>
      </c>
      <c r="B319" s="3947" t="str">
        <f>'BẢNG LƯƠNG KT'!C82</f>
        <v>Thảo lay</v>
      </c>
      <c r="C319" s="3947"/>
      <c r="D319" s="2650">
        <v>11</v>
      </c>
      <c r="E319" s="2568"/>
      <c r="F319" s="2539" t="s">
        <v>20</v>
      </c>
      <c r="G319" s="3947" t="str">
        <f>'BẢNG LƯƠNG KT'!C83</f>
        <v>Thảo khên</v>
      </c>
      <c r="H319" s="3947"/>
      <c r="I319" s="2650">
        <v>12</v>
      </c>
      <c r="J319" s="3948"/>
    </row>
    <row r="320" spans="1:10" ht="12" customHeight="1">
      <c r="A320" s="2541" t="s">
        <v>1282</v>
      </c>
      <c r="B320" s="2542"/>
      <c r="C320" s="2543">
        <f>'BẢNG LƯƠNG KT'!G82</f>
        <v>0</v>
      </c>
      <c r="D320" s="2544">
        <f>C320*25000</f>
        <v>0</v>
      </c>
      <c r="E320" s="2568"/>
      <c r="F320" s="2541" t="s">
        <v>1282</v>
      </c>
      <c r="G320" s="2542"/>
      <c r="H320" s="2543">
        <f>'BẢNG LƯƠNG KT'!G83</f>
        <v>0</v>
      </c>
      <c r="I320" s="2544">
        <f>H320*25000</f>
        <v>0</v>
      </c>
      <c r="J320" s="3948"/>
    </row>
    <row r="321" spans="1:10" ht="12" customHeight="1">
      <c r="A321" s="2546" t="s">
        <v>1283</v>
      </c>
      <c r="B321" s="2547"/>
      <c r="C321" s="2548">
        <f>'BẢNG LƯƠNG KT'!M82+'BẢNG LƯƠNG KT'!N82</f>
        <v>16</v>
      </c>
      <c r="D321" s="2549">
        <f>'BẢNG LƯƠNG KT'!S82</f>
        <v>1920000</v>
      </c>
      <c r="E321" s="2649"/>
      <c r="F321" s="2546" t="s">
        <v>1283</v>
      </c>
      <c r="G321" s="2547"/>
      <c r="H321" s="2548">
        <f>'BẢNG LƯƠNG KT'!M83+'BẢNG LƯƠNG KT'!N83</f>
        <v>27</v>
      </c>
      <c r="I321" s="2549">
        <f>'BẢNG LƯƠNG KT'!S83</f>
        <v>3240000</v>
      </c>
      <c r="J321" s="3948"/>
    </row>
    <row r="322" spans="1:10" ht="12" customHeight="1">
      <c r="A322" s="2546" t="s">
        <v>1284</v>
      </c>
      <c r="B322" s="2547"/>
      <c r="C322" s="2548">
        <f>'BẢNG LƯƠNG KT'!J82</f>
        <v>621.65007813655404</v>
      </c>
      <c r="D322" s="2549">
        <f>'BẢNG LƯƠNG KT'!L82</f>
        <v>2609935.6880485085</v>
      </c>
      <c r="E322" s="2569"/>
      <c r="F322" s="2546" t="s">
        <v>1284</v>
      </c>
      <c r="G322" s="2547"/>
      <c r="H322" s="2548">
        <f>'BẢNG LƯƠNG KT'!J83</f>
        <v>1398.594670856955</v>
      </c>
      <c r="I322" s="2549">
        <f>'BẢNG LƯƠNG KT'!L83</f>
        <v>6147103.2973504886</v>
      </c>
      <c r="J322" s="3948"/>
    </row>
    <row r="323" spans="1:10" ht="12" customHeight="1">
      <c r="A323" s="2963" t="s">
        <v>23</v>
      </c>
      <c r="B323" s="2547"/>
      <c r="C323" s="2547"/>
      <c r="D323" s="2551"/>
      <c r="E323" s="2569"/>
      <c r="F323" s="2963" t="s">
        <v>23</v>
      </c>
      <c r="G323" s="2547"/>
      <c r="H323" s="2547"/>
      <c r="I323" s="2551"/>
      <c r="J323" s="2648"/>
    </row>
    <row r="324" spans="1:10" ht="12" customHeight="1">
      <c r="A324" s="2552" t="s">
        <v>1285</v>
      </c>
      <c r="B324" s="2547"/>
      <c r="C324" s="2547"/>
      <c r="D324" s="2551"/>
      <c r="E324" s="2569"/>
      <c r="F324" s="2552" t="s">
        <v>1285</v>
      </c>
      <c r="G324" s="2547"/>
      <c r="H324" s="2547"/>
      <c r="I324" s="2551"/>
      <c r="J324" s="2648"/>
    </row>
    <row r="325" spans="1:10" ht="12" customHeight="1">
      <c r="A325" s="2553" t="s">
        <v>1286</v>
      </c>
      <c r="B325" s="2547"/>
      <c r="C325" s="2554"/>
      <c r="D325" s="2549">
        <f>SUM(D324)</f>
        <v>0</v>
      </c>
      <c r="E325" s="2569"/>
      <c r="F325" s="2553" t="s">
        <v>1286</v>
      </c>
      <c r="G325" s="2547"/>
      <c r="H325" s="2554"/>
      <c r="I325" s="2549">
        <f>SUM(I324)</f>
        <v>0</v>
      </c>
      <c r="J325" s="2648"/>
    </row>
    <row r="326" spans="1:10" ht="12" customHeight="1">
      <c r="A326" s="2555" t="s">
        <v>1287</v>
      </c>
      <c r="B326" s="2556"/>
      <c r="C326" s="2557"/>
      <c r="D326" s="2558">
        <f>(D320+D321+D322)+D324</f>
        <v>4529935.688048508</v>
      </c>
      <c r="E326" s="2569"/>
      <c r="F326" s="2555" t="s">
        <v>1287</v>
      </c>
      <c r="G326" s="2556"/>
      <c r="H326" s="2557"/>
      <c r="I326" s="2558">
        <f>(I320+I321+I322)+I324</f>
        <v>9387103.2973504886</v>
      </c>
      <c r="J326" s="2648"/>
    </row>
    <row r="327" spans="1:10" ht="16.5" customHeight="1">
      <c r="A327" s="2567"/>
      <c r="B327" s="2568"/>
      <c r="C327" s="2649"/>
      <c r="D327" s="2563"/>
      <c r="E327" s="2563"/>
      <c r="F327" s="2567"/>
      <c r="G327" s="2568"/>
      <c r="H327" s="2649"/>
      <c r="I327" s="2563"/>
      <c r="J327" s="3952"/>
    </row>
    <row r="328" spans="1:10" ht="12" customHeight="1">
      <c r="A328" s="3944" t="str">
        <f>F318</f>
        <v xml:space="preserve">LƯƠNG THÁNG 12/2024   </v>
      </c>
      <c r="B328" s="3945"/>
      <c r="C328" s="3945"/>
      <c r="D328" s="3946"/>
      <c r="E328" s="2563"/>
      <c r="F328" s="3944" t="str">
        <f>A328</f>
        <v xml:space="preserve">LƯƠNG THÁNG 12/2024   </v>
      </c>
      <c r="G328" s="3945"/>
      <c r="H328" s="3945"/>
      <c r="I328" s="3946"/>
      <c r="J328" s="3952"/>
    </row>
    <row r="329" spans="1:10" ht="12" customHeight="1">
      <c r="A329" s="2539" t="s">
        <v>20</v>
      </c>
      <c r="B329" s="3947" t="str">
        <f>'BẢNG LƯƠNG KT'!C84</f>
        <v>Thảo khon</v>
      </c>
      <c r="C329" s="3947"/>
      <c r="D329" s="2650">
        <v>13</v>
      </c>
      <c r="E329" s="2568"/>
      <c r="F329" s="2539" t="s">
        <v>20</v>
      </c>
      <c r="G329" s="3947" t="str">
        <f>'BẢNG LƯƠNG KT'!C85</f>
        <v>Thảo nga</v>
      </c>
      <c r="H329" s="3947"/>
      <c r="I329" s="2650">
        <v>14</v>
      </c>
      <c r="J329" s="3952"/>
    </row>
    <row r="330" spans="1:10" ht="12" customHeight="1">
      <c r="A330" s="2541" t="s">
        <v>1282</v>
      </c>
      <c r="B330" s="2542"/>
      <c r="C330" s="2543">
        <f>'BẢNG LƯƠNG KT'!G84</f>
        <v>0</v>
      </c>
      <c r="D330" s="2544">
        <f>C330*25000</f>
        <v>0</v>
      </c>
      <c r="E330" s="2568"/>
      <c r="F330" s="2541" t="s">
        <v>1282</v>
      </c>
      <c r="G330" s="2542"/>
      <c r="H330" s="2543">
        <f>'BẢNG LƯƠNG KT'!G85</f>
        <v>0</v>
      </c>
      <c r="I330" s="2544">
        <f>H330*25000</f>
        <v>0</v>
      </c>
      <c r="J330" s="3952"/>
    </row>
    <row r="331" spans="1:10" ht="12" customHeight="1">
      <c r="A331" s="2546" t="s">
        <v>1283</v>
      </c>
      <c r="B331" s="2547"/>
      <c r="C331" s="2548">
        <f>'BẢNG LƯƠNG KT'!M84+'BẢNG LƯƠNG KT'!N84</f>
        <v>25</v>
      </c>
      <c r="D331" s="2549">
        <f>'BẢNG LƯƠNG KT'!S84</f>
        <v>3000000</v>
      </c>
      <c r="E331" s="2649"/>
      <c r="F331" s="2546" t="s">
        <v>1283</v>
      </c>
      <c r="G331" s="2547"/>
      <c r="H331" s="2548">
        <f>'BẢNG LƯƠNG KT'!M85+'BẢNG LƯƠNG KT'!N85</f>
        <v>25</v>
      </c>
      <c r="I331" s="2549">
        <f>'BẢNG LƯƠNG KT'!S85</f>
        <v>3000000</v>
      </c>
      <c r="J331" s="3952"/>
    </row>
    <row r="332" spans="1:10" ht="12" customHeight="1">
      <c r="A332" s="2546" t="s">
        <v>1284</v>
      </c>
      <c r="B332" s="2547"/>
      <c r="C332" s="2548">
        <f>'BẢNG LƯƠNG KT'!J84</f>
        <v>863.79623613507511</v>
      </c>
      <c r="D332" s="2549">
        <f>'BẢNG LƯƠNG KT'!L84</f>
        <v>3626562.117789499</v>
      </c>
      <c r="E332" s="2569"/>
      <c r="F332" s="2546" t="s">
        <v>1284</v>
      </c>
      <c r="G332" s="2547"/>
      <c r="H332" s="2548">
        <f>'BẢNG LƯƠNG KT'!J85</f>
        <v>868.98845394790897</v>
      </c>
      <c r="I332" s="2549">
        <f>'BẢNG LƯƠNG KT'!L85</f>
        <v>3819378.0527918492</v>
      </c>
      <c r="J332" s="3952"/>
    </row>
    <row r="333" spans="1:10" ht="12" customHeight="1">
      <c r="A333" s="2963" t="s">
        <v>23</v>
      </c>
      <c r="B333" s="2547"/>
      <c r="C333" s="2547"/>
      <c r="D333" s="2551"/>
      <c r="E333" s="2569"/>
      <c r="F333" s="2963" t="s">
        <v>23</v>
      </c>
      <c r="G333" s="2547"/>
      <c r="H333" s="2547"/>
      <c r="I333" s="2551"/>
      <c r="J333" s="2648"/>
    </row>
    <row r="334" spans="1:10" ht="12" customHeight="1">
      <c r="A334" s="2552" t="s">
        <v>1285</v>
      </c>
      <c r="B334" s="2547"/>
      <c r="C334" s="2547"/>
      <c r="D334" s="2551"/>
      <c r="E334" s="2649"/>
      <c r="F334" s="2552" t="s">
        <v>1285</v>
      </c>
      <c r="G334" s="2547"/>
      <c r="H334" s="2547"/>
      <c r="I334" s="2551"/>
      <c r="J334" s="3948"/>
    </row>
    <row r="335" spans="1:10" ht="12" customHeight="1">
      <c r="A335" s="2553" t="s">
        <v>1286</v>
      </c>
      <c r="B335" s="2547"/>
      <c r="C335" s="2554"/>
      <c r="D335" s="2549">
        <f>SUM(D334)</f>
        <v>0</v>
      </c>
      <c r="E335" s="2566"/>
      <c r="F335" s="2553" t="s">
        <v>1286</v>
      </c>
      <c r="G335" s="2547"/>
      <c r="H335" s="2554"/>
      <c r="I335" s="2549"/>
      <c r="J335" s="3948"/>
    </row>
    <row r="336" spans="1:10" ht="12" customHeight="1">
      <c r="A336" s="2555" t="s">
        <v>1287</v>
      </c>
      <c r="B336" s="2556"/>
      <c r="C336" s="2557"/>
      <c r="D336" s="2558">
        <f>(D330+D331+D332)+D334</f>
        <v>6626562.1177894995</v>
      </c>
      <c r="E336" s="2563"/>
      <c r="F336" s="2555" t="s">
        <v>1287</v>
      </c>
      <c r="G336" s="2556"/>
      <c r="H336" s="2557"/>
      <c r="I336" s="2558">
        <f>(I330+I331+I332)+I334</f>
        <v>6819378.0527918488</v>
      </c>
      <c r="J336" s="3948"/>
    </row>
    <row r="337" spans="1:10" ht="21.75" customHeight="1">
      <c r="A337" s="2571"/>
      <c r="B337" s="2568"/>
      <c r="C337" s="2568"/>
      <c r="D337" s="2568"/>
      <c r="E337" s="2649"/>
      <c r="F337" s="2571"/>
      <c r="G337" s="2568"/>
      <c r="H337" s="2568"/>
      <c r="I337" s="2568"/>
      <c r="J337" s="3948"/>
    </row>
    <row r="338" spans="1:10" ht="12" customHeight="1">
      <c r="A338" s="3944" t="str">
        <f>F328</f>
        <v xml:space="preserve">LƯƠNG THÁNG 12/2024   </v>
      </c>
      <c r="B338" s="3945"/>
      <c r="C338" s="3945"/>
      <c r="D338" s="3946"/>
      <c r="E338" s="2569"/>
      <c r="F338" s="3944" t="str">
        <f>A338</f>
        <v xml:space="preserve">LƯƠNG THÁNG 12/2024   </v>
      </c>
      <c r="G338" s="3945"/>
      <c r="H338" s="3945"/>
      <c r="I338" s="3946"/>
      <c r="J338" s="3948"/>
    </row>
    <row r="339" spans="1:10" ht="12" customHeight="1">
      <c r="A339" s="2539" t="s">
        <v>20</v>
      </c>
      <c r="B339" s="3947" t="str">
        <f>'BẢNG LƯƠNG KT'!C86</f>
        <v>Thảo lăm ma</v>
      </c>
      <c r="C339" s="3947"/>
      <c r="D339" s="2650">
        <v>15</v>
      </c>
      <c r="E339" s="2569"/>
      <c r="F339" s="2539" t="s">
        <v>20</v>
      </c>
      <c r="G339" s="3947" t="str">
        <f>'BẢNG LƯƠNG KT'!C87</f>
        <v>Thảo Hôm</v>
      </c>
      <c r="H339" s="3947"/>
      <c r="I339" s="2650">
        <v>16</v>
      </c>
      <c r="J339" s="3948"/>
    </row>
    <row r="340" spans="1:10" ht="12" customHeight="1">
      <c r="A340" s="2541" t="s">
        <v>1282</v>
      </c>
      <c r="B340" s="2542"/>
      <c r="C340" s="2543">
        <f>'BẢNG LƯƠNG KT'!G86</f>
        <v>0</v>
      </c>
      <c r="D340" s="2544">
        <f>'BẢNG LƯƠNG KT'!H86</f>
        <v>0</v>
      </c>
      <c r="E340" s="2569"/>
      <c r="F340" s="2541" t="s">
        <v>1282</v>
      </c>
      <c r="G340" s="2542"/>
      <c r="H340" s="2543">
        <f>'BẢNG LƯƠNG KT'!G87</f>
        <v>0</v>
      </c>
      <c r="I340" s="2544">
        <f>H340*25000</f>
        <v>0</v>
      </c>
      <c r="J340" s="3948"/>
    </row>
    <row r="341" spans="1:10" ht="12" customHeight="1">
      <c r="A341" s="2546" t="s">
        <v>1283</v>
      </c>
      <c r="B341" s="2547"/>
      <c r="C341" s="2548">
        <f>'BẢNG LƯƠNG KT'!M86+'BẢNG LƯƠNG KT'!N86</f>
        <v>28</v>
      </c>
      <c r="D341" s="2549">
        <f>'BẢNG LƯƠNG KT'!S86</f>
        <v>3360000</v>
      </c>
      <c r="E341" s="2649"/>
      <c r="F341" s="2546" t="s">
        <v>1283</v>
      </c>
      <c r="G341" s="2547"/>
      <c r="H341" s="2548">
        <f>'BẢNG LƯƠNG KT'!M87+'BẢNG LƯƠNG KT'!N87</f>
        <v>21</v>
      </c>
      <c r="I341" s="2549">
        <f>'BẢNG LƯƠNG KT'!S87</f>
        <v>2520000</v>
      </c>
      <c r="J341" s="3948"/>
    </row>
    <row r="342" spans="1:10" ht="12" customHeight="1">
      <c r="A342" s="2546" t="s">
        <v>1284</v>
      </c>
      <c r="B342" s="2547"/>
      <c r="C342" s="2548">
        <f>'BẢNG LƯƠNG KT'!I86</f>
        <v>1049</v>
      </c>
      <c r="D342" s="2549">
        <f>'BẢNG LƯƠNG KT'!L86</f>
        <v>2176277.8801622218</v>
      </c>
      <c r="E342" s="2566"/>
      <c r="F342" s="2546" t="s">
        <v>1284</v>
      </c>
      <c r="G342" s="2547"/>
      <c r="H342" s="2548">
        <f>'BẢNG LƯƠNG KT'!J87</f>
        <v>140.1898809465122</v>
      </c>
      <c r="I342" s="2549">
        <f>'BẢNG LƯƠNG KT'!L87</f>
        <v>588573.19616583677</v>
      </c>
      <c r="J342" s="3948"/>
    </row>
    <row r="343" spans="1:10" ht="12" customHeight="1">
      <c r="A343" s="2963" t="s">
        <v>23</v>
      </c>
      <c r="B343" s="2547"/>
      <c r="C343" s="2547"/>
      <c r="D343" s="2551"/>
      <c r="E343" s="2563"/>
      <c r="F343" s="2963" t="s">
        <v>23</v>
      </c>
      <c r="G343" s="2547"/>
      <c r="H343" s="2547"/>
      <c r="I343" s="2551"/>
      <c r="J343" s="3948"/>
    </row>
    <row r="344" spans="1:10" ht="12" customHeight="1">
      <c r="A344" s="2552" t="s">
        <v>1285</v>
      </c>
      <c r="B344" s="2547"/>
      <c r="C344" s="2547"/>
      <c r="D344" s="2551"/>
      <c r="E344" s="2563"/>
      <c r="F344" s="2552" t="s">
        <v>1285</v>
      </c>
      <c r="G344" s="2547"/>
      <c r="H344" s="2547"/>
      <c r="I344" s="2551"/>
      <c r="J344" s="3948"/>
    </row>
    <row r="345" spans="1:10" ht="12" customHeight="1">
      <c r="A345" s="2553" t="s">
        <v>1286</v>
      </c>
      <c r="B345" s="2547"/>
      <c r="C345" s="2554"/>
      <c r="D345" s="2549">
        <f>SUM(D344)</f>
        <v>0</v>
      </c>
      <c r="E345" s="2563"/>
      <c r="F345" s="2553" t="s">
        <v>1286</v>
      </c>
      <c r="G345" s="2547"/>
      <c r="H345" s="2554"/>
      <c r="I345" s="2549">
        <f>SUM(I344)</f>
        <v>0</v>
      </c>
      <c r="J345" s="3948"/>
    </row>
    <row r="346" spans="1:10" ht="12" customHeight="1">
      <c r="A346" s="2555" t="s">
        <v>1287</v>
      </c>
      <c r="B346" s="2556"/>
      <c r="C346" s="2557"/>
      <c r="D346" s="2558">
        <f>(D340+D341+D342)-D345</f>
        <v>5536277.8801622223</v>
      </c>
      <c r="E346" s="2568"/>
      <c r="F346" s="2555" t="s">
        <v>1287</v>
      </c>
      <c r="G346" s="2556"/>
      <c r="H346" s="2557"/>
      <c r="I346" s="2558">
        <f>(I340+I341+I342)-I345</f>
        <v>3108573.1961658369</v>
      </c>
      <c r="J346" s="3948"/>
    </row>
    <row r="350" spans="1:10">
      <c r="A350" s="3944" t="str">
        <f>F340</f>
        <v>Công sản phẩm</v>
      </c>
      <c r="B350" s="3945"/>
      <c r="C350" s="3945"/>
      <c r="D350" s="3946"/>
      <c r="F350" s="3944">
        <f>K340</f>
        <v>0</v>
      </c>
      <c r="G350" s="3945"/>
      <c r="H350" s="3945"/>
      <c r="I350" s="3946"/>
    </row>
    <row r="351" spans="1:10" ht="15.75">
      <c r="A351" s="2539" t="s">
        <v>20</v>
      </c>
      <c r="B351" s="3947">
        <f>'BẢNG LƯƠNG KT'!C98</f>
        <v>0</v>
      </c>
      <c r="C351" s="3947"/>
      <c r="D351" s="3000">
        <v>15</v>
      </c>
      <c r="F351" s="2539" t="s">
        <v>20</v>
      </c>
      <c r="G351" s="3947">
        <f>'BẢNG LƯƠNG KT'!H98</f>
        <v>0</v>
      </c>
      <c r="H351" s="3947"/>
      <c r="I351" s="3000">
        <v>15</v>
      </c>
    </row>
    <row r="352" spans="1:10" ht="18">
      <c r="A352" s="2541" t="s">
        <v>1282</v>
      </c>
      <c r="B352" s="2542"/>
      <c r="C352" s="2543">
        <f>'BẢNG LƯƠNG KT'!G98</f>
        <v>0</v>
      </c>
      <c r="D352" s="2544">
        <f>'BẢNG LƯƠNG KT'!H98</f>
        <v>0</v>
      </c>
      <c r="F352" s="2541" t="s">
        <v>1282</v>
      </c>
      <c r="G352" s="2542"/>
      <c r="H352" s="2543">
        <f>'BẢNG LƯƠNG KT'!L98</f>
        <v>0</v>
      </c>
      <c r="I352" s="2544">
        <f>'BẢNG LƯƠNG KT'!M98</f>
        <v>0</v>
      </c>
    </row>
    <row r="353" spans="1:9">
      <c r="A353" s="2546" t="s">
        <v>1283</v>
      </c>
      <c r="B353" s="2547"/>
      <c r="C353" s="2548">
        <f>'BẢNG LƯƠNG KT'!M98+'BẢNG LƯƠNG KT'!N98</f>
        <v>0</v>
      </c>
      <c r="D353" s="2549">
        <f>'BẢNG LƯƠNG KT'!S98</f>
        <v>0</v>
      </c>
      <c r="F353" s="2546" t="s">
        <v>1283</v>
      </c>
      <c r="G353" s="2547"/>
      <c r="H353" s="2548">
        <f>'BẢNG LƯƠNG KT'!S98+'BẢNG LƯƠNG KT'!T98</f>
        <v>0</v>
      </c>
      <c r="I353" s="2549">
        <f>'BẢNG LƯƠNG KT'!X98</f>
        <v>0</v>
      </c>
    </row>
    <row r="354" spans="1:9">
      <c r="A354" s="2546" t="s">
        <v>1284</v>
      </c>
      <c r="B354" s="2547"/>
      <c r="C354" s="2548">
        <f>'BẢNG LƯƠNG KT'!I98</f>
        <v>0</v>
      </c>
      <c r="D354" s="2549">
        <f>'BẢNG LƯƠNG KT'!L98</f>
        <v>0</v>
      </c>
      <c r="F354" s="2546" t="s">
        <v>1284</v>
      </c>
      <c r="G354" s="2547"/>
      <c r="H354" s="2548">
        <f>'BẢNG LƯƠNG KT'!N98</f>
        <v>0</v>
      </c>
      <c r="I354" s="2549">
        <f>'BẢNG LƯƠNG KT'!Q98</f>
        <v>0</v>
      </c>
    </row>
    <row r="355" spans="1:9">
      <c r="A355" s="2963" t="s">
        <v>23</v>
      </c>
      <c r="B355" s="2547"/>
      <c r="C355" s="2547"/>
      <c r="D355" s="2551"/>
      <c r="F355" s="2963" t="s">
        <v>23</v>
      </c>
      <c r="G355" s="2547"/>
      <c r="H355" s="2547"/>
      <c r="I355" s="2551"/>
    </row>
    <row r="356" spans="1:9">
      <c r="A356" s="2552" t="s">
        <v>1285</v>
      </c>
      <c r="B356" s="2547"/>
      <c r="C356" s="2547"/>
      <c r="D356" s="2551"/>
      <c r="F356" s="2552" t="s">
        <v>1285</v>
      </c>
      <c r="G356" s="2547"/>
      <c r="H356" s="2547"/>
      <c r="I356" s="2551"/>
    </row>
    <row r="357" spans="1:9">
      <c r="A357" s="2553" t="s">
        <v>1286</v>
      </c>
      <c r="B357" s="2547"/>
      <c r="C357" s="2554"/>
      <c r="D357" s="2549">
        <f>SUM(D356)</f>
        <v>0</v>
      </c>
      <c r="F357" s="2553" t="s">
        <v>1286</v>
      </c>
      <c r="G357" s="2547"/>
      <c r="H357" s="2554"/>
      <c r="I357" s="2549">
        <f>SUM(I356)</f>
        <v>0</v>
      </c>
    </row>
    <row r="358" spans="1:9">
      <c r="A358" s="2555" t="s">
        <v>1287</v>
      </c>
      <c r="B358" s="2556"/>
      <c r="C358" s="2557"/>
      <c r="D358" s="2558">
        <f>(D352+D353+D354)-D357</f>
        <v>0</v>
      </c>
      <c r="F358" s="2555" t="s">
        <v>1287</v>
      </c>
      <c r="G358" s="2556"/>
      <c r="H358" s="2557"/>
      <c r="I358" s="2558">
        <f>(I352+I353+I354)-I357</f>
        <v>0</v>
      </c>
    </row>
    <row r="366" spans="1:9">
      <c r="A366" s="3944" t="str">
        <f>A338</f>
        <v xml:space="preserve">LƯƠNG THÁNG 12/2024   </v>
      </c>
      <c r="B366" s="3945"/>
      <c r="C366" s="3945"/>
      <c r="D366" s="3946"/>
      <c r="F366" s="3944" t="str">
        <f>F338</f>
        <v xml:space="preserve">LƯƠNG THÁNG 12/2024   </v>
      </c>
      <c r="G366" s="3945"/>
      <c r="H366" s="3945"/>
      <c r="I366" s="3946"/>
    </row>
    <row r="367" spans="1:9" ht="15.75">
      <c r="A367" s="2539" t="s">
        <v>20</v>
      </c>
      <c r="B367" s="3949" t="s">
        <v>1013</v>
      </c>
      <c r="C367" s="3950"/>
      <c r="D367" s="3953"/>
      <c r="F367" s="2539" t="s">
        <v>20</v>
      </c>
      <c r="G367" s="3949" t="s">
        <v>1371</v>
      </c>
      <c r="H367" s="3950"/>
      <c r="I367" s="3953"/>
    </row>
    <row r="368" spans="1:9" ht="18">
      <c r="A368" s="2541" t="s">
        <v>1282</v>
      </c>
      <c r="B368" s="2542"/>
      <c r="C368" s="2543">
        <f>'BẢNG LƯƠNG KT'!G122</f>
        <v>0</v>
      </c>
      <c r="D368" s="2544">
        <f>C368*25000</f>
        <v>0</v>
      </c>
      <c r="F368" s="2541" t="s">
        <v>1282</v>
      </c>
      <c r="G368" s="2542"/>
      <c r="H368" s="2543">
        <f>'BẢNG LƯƠNG KT'!L122</f>
        <v>0</v>
      </c>
      <c r="I368" s="2544">
        <f>H368*25000</f>
        <v>0</v>
      </c>
    </row>
    <row r="369" spans="1:9">
      <c r="A369" s="2546" t="s">
        <v>1283</v>
      </c>
      <c r="B369" s="2547"/>
      <c r="C369" s="2548">
        <f>'BẢNG LƯƠNG KT'!M122+'BẢNG LƯƠNG KT'!N122</f>
        <v>0</v>
      </c>
      <c r="D369" s="2549">
        <f>'BẢNG LƯƠNG KT'!S122</f>
        <v>0</v>
      </c>
      <c r="F369" s="2546" t="s">
        <v>1283</v>
      </c>
      <c r="G369" s="2547"/>
      <c r="H369" s="2548">
        <f>'BẢNG LƯƠNG KT'!S122+'BẢNG LƯƠNG KT'!T122</f>
        <v>0</v>
      </c>
      <c r="I369" s="2549">
        <f>'BẢNG LƯƠNG KT'!X122</f>
        <v>0</v>
      </c>
    </row>
    <row r="370" spans="1:9">
      <c r="A370" s="2546" t="s">
        <v>1284</v>
      </c>
      <c r="B370" s="2547"/>
      <c r="C370" s="2548">
        <f>'BẢNG LƯƠNG KT'!J122</f>
        <v>0</v>
      </c>
      <c r="D370" s="2549">
        <f>'BẢNG LƯƠNG KT'!L122</f>
        <v>0</v>
      </c>
      <c r="F370" s="2546" t="s">
        <v>1284</v>
      </c>
      <c r="G370" s="2547"/>
      <c r="H370" s="2548">
        <f>'BẢNG LƯƠNG KT'!O122</f>
        <v>0</v>
      </c>
      <c r="I370" s="2549">
        <f>'BẢNG LƯƠNG KT'!Q122</f>
        <v>0</v>
      </c>
    </row>
    <row r="371" spans="1:9">
      <c r="A371" s="2963" t="s">
        <v>23</v>
      </c>
      <c r="B371" s="2547"/>
      <c r="C371" s="2547"/>
      <c r="D371" s="2551"/>
      <c r="F371" s="2963" t="s">
        <v>23</v>
      </c>
      <c r="G371" s="2547"/>
      <c r="H371" s="2547"/>
      <c r="I371" s="2551"/>
    </row>
    <row r="372" spans="1:9">
      <c r="A372" s="2552" t="s">
        <v>1285</v>
      </c>
      <c r="B372" s="2547"/>
      <c r="C372" s="2547"/>
      <c r="D372" s="2551"/>
      <c r="F372" s="2552" t="s">
        <v>1285</v>
      </c>
      <c r="G372" s="2547"/>
      <c r="H372" s="2547"/>
      <c r="I372" s="2551"/>
    </row>
    <row r="373" spans="1:9">
      <c r="A373" s="2553" t="s">
        <v>1286</v>
      </c>
      <c r="B373" s="2547"/>
      <c r="C373" s="2554"/>
      <c r="D373" s="2549">
        <f>SUM(D372)</f>
        <v>0</v>
      </c>
      <c r="F373" s="2553" t="s">
        <v>1286</v>
      </c>
      <c r="G373" s="2547"/>
      <c r="H373" s="2554"/>
      <c r="I373" s="2549">
        <f>SUM(I372)</f>
        <v>0</v>
      </c>
    </row>
    <row r="374" spans="1:9">
      <c r="A374" s="2555" t="s">
        <v>1287</v>
      </c>
      <c r="B374" s="2556"/>
      <c r="C374" s="2557"/>
      <c r="D374" s="2558">
        <f>(D368+D369+D370)-D373</f>
        <v>0</v>
      </c>
      <c r="F374" s="2555" t="s">
        <v>1287</v>
      </c>
      <c r="G374" s="2556"/>
      <c r="H374" s="2557"/>
      <c r="I374" s="2558">
        <f>(I368+I369+I370)-I373</f>
        <v>0</v>
      </c>
    </row>
    <row r="377" spans="1:9">
      <c r="A377" s="3944" t="str">
        <f>A366</f>
        <v xml:space="preserve">LƯƠNG THÁNG 12/2024   </v>
      </c>
      <c r="B377" s="3945"/>
      <c r="C377" s="3945"/>
      <c r="D377" s="3946"/>
      <c r="F377" s="3944" t="str">
        <f>A366</f>
        <v xml:space="preserve">LƯƠNG THÁNG 12/2024   </v>
      </c>
      <c r="G377" s="3945"/>
      <c r="H377" s="3945"/>
      <c r="I377" s="3946"/>
    </row>
    <row r="378" spans="1:9" ht="15.75">
      <c r="A378" s="2539" t="s">
        <v>20</v>
      </c>
      <c r="B378" s="3949" t="s">
        <v>97</v>
      </c>
      <c r="C378" s="3950"/>
      <c r="D378" s="3953"/>
      <c r="F378" s="2539" t="s">
        <v>20</v>
      </c>
      <c r="G378" s="3949" t="s">
        <v>96</v>
      </c>
      <c r="H378" s="3950"/>
      <c r="I378" s="3953"/>
    </row>
    <row r="379" spans="1:9" ht="18">
      <c r="A379" s="2541" t="s">
        <v>782</v>
      </c>
      <c r="B379" s="2542"/>
      <c r="C379" s="2543">
        <f>'BẢNG LƯƠNG KT'!G133</f>
        <v>0</v>
      </c>
      <c r="D379" s="2544">
        <f>C379*25000</f>
        <v>0</v>
      </c>
      <c r="F379" s="2541" t="s">
        <v>1282</v>
      </c>
      <c r="G379" s="2542"/>
      <c r="H379" s="2543">
        <f>'BẢNG LƯƠNG KT'!L133</f>
        <v>0</v>
      </c>
      <c r="I379" s="2544">
        <f>H379*25000</f>
        <v>0</v>
      </c>
    </row>
    <row r="380" spans="1:9">
      <c r="A380" s="2546" t="s">
        <v>23</v>
      </c>
      <c r="B380" s="2547"/>
      <c r="C380" s="2548">
        <f>'BẢNG LƯƠNG KT'!M133+'BẢNG LƯƠNG KT'!N133</f>
        <v>0</v>
      </c>
      <c r="D380" s="2549">
        <f>'BẢNG LƯƠNG KT'!S133</f>
        <v>0</v>
      </c>
      <c r="F380" s="2546" t="s">
        <v>1283</v>
      </c>
      <c r="G380" s="2547"/>
      <c r="H380" s="2548">
        <f>'BẢNG LƯƠNG KT'!S133+'BẢNG LƯƠNG KT'!T133</f>
        <v>0</v>
      </c>
      <c r="I380" s="2549">
        <f>'BẢNG LƯƠNG KT'!X133</f>
        <v>0</v>
      </c>
    </row>
    <row r="381" spans="1:9">
      <c r="A381" s="2546" t="s">
        <v>1372</v>
      </c>
      <c r="B381" s="2547"/>
      <c r="C381" s="2548">
        <f>'BẢNG LƯƠNG KT'!J133</f>
        <v>0</v>
      </c>
      <c r="D381" s="2549">
        <f>'BẢNG LƯƠNG KT'!L133</f>
        <v>0</v>
      </c>
      <c r="F381" s="2546" t="s">
        <v>1284</v>
      </c>
      <c r="G381" s="2547"/>
      <c r="H381" s="2548">
        <f>'BẢNG LƯƠNG KT'!O133</f>
        <v>0</v>
      </c>
      <c r="I381" s="2549">
        <f>'BẢNG LƯƠNG KT'!Q133</f>
        <v>0</v>
      </c>
    </row>
    <row r="382" spans="1:9">
      <c r="A382" s="2963" t="s">
        <v>1373</v>
      </c>
      <c r="B382" s="2547"/>
      <c r="C382" s="2547"/>
      <c r="D382" s="2551"/>
      <c r="F382" s="2963" t="s">
        <v>23</v>
      </c>
      <c r="G382" s="2547"/>
      <c r="H382" s="2547"/>
      <c r="I382" s="2551"/>
    </row>
    <row r="383" spans="1:9">
      <c r="A383" s="2552" t="s">
        <v>1285</v>
      </c>
      <c r="B383" s="2547"/>
      <c r="C383" s="2547"/>
      <c r="D383" s="2551"/>
      <c r="F383" s="2552" t="s">
        <v>1285</v>
      </c>
      <c r="G383" s="2547"/>
      <c r="H383" s="2547"/>
      <c r="I383" s="2551"/>
    </row>
    <row r="384" spans="1:9">
      <c r="A384" s="2553" t="s">
        <v>1286</v>
      </c>
      <c r="B384" s="2547"/>
      <c r="C384" s="2554"/>
      <c r="D384" s="2549">
        <f>SUM(D383)</f>
        <v>0</v>
      </c>
      <c r="F384" s="2553" t="s">
        <v>1286</v>
      </c>
      <c r="G384" s="2547"/>
      <c r="H384" s="2554"/>
      <c r="I384" s="2549">
        <f>SUM(I383)</f>
        <v>0</v>
      </c>
    </row>
    <row r="385" spans="1:9">
      <c r="A385" s="2555" t="s">
        <v>1287</v>
      </c>
      <c r="B385" s="2556"/>
      <c r="C385" s="2557"/>
      <c r="D385" s="2558">
        <f>(D379+D380+D381)-D384</f>
        <v>0</v>
      </c>
      <c r="F385" s="2555" t="s">
        <v>1287</v>
      </c>
      <c r="G385" s="2556"/>
      <c r="H385" s="2557"/>
      <c r="I385" s="2558">
        <f>(I379+I380+I381)-I384</f>
        <v>0</v>
      </c>
    </row>
    <row r="388" spans="1:9">
      <c r="A388" s="3944" t="str">
        <f>A366</f>
        <v xml:space="preserve">LƯƠNG THÁNG 12/2024   </v>
      </c>
      <c r="B388" s="3945"/>
      <c r="C388" s="3945"/>
      <c r="D388" s="3946"/>
      <c r="F388" s="3944" t="str">
        <f>A366</f>
        <v xml:space="preserve">LƯƠNG THÁNG 12/2024   </v>
      </c>
      <c r="G388" s="3945"/>
      <c r="H388" s="3945"/>
      <c r="I388" s="3946"/>
    </row>
    <row r="389" spans="1:9" ht="15.75">
      <c r="A389" s="2539" t="s">
        <v>20</v>
      </c>
      <c r="B389" s="3949" t="s">
        <v>1317</v>
      </c>
      <c r="C389" s="3950"/>
      <c r="D389" s="3953"/>
      <c r="F389" s="2539" t="s">
        <v>20</v>
      </c>
      <c r="G389" s="3949" t="s">
        <v>1318</v>
      </c>
      <c r="H389" s="3950"/>
      <c r="I389" s="3953"/>
    </row>
    <row r="390" spans="1:9" ht="18">
      <c r="A390" s="2541" t="s">
        <v>1282</v>
      </c>
      <c r="B390" s="2542"/>
      <c r="C390" s="2543">
        <f>'BẢNG LƯƠNG KT'!G144</f>
        <v>0</v>
      </c>
      <c r="D390" s="2544">
        <f>C390*25000</f>
        <v>0</v>
      </c>
      <c r="F390" s="2541" t="s">
        <v>1282</v>
      </c>
      <c r="G390" s="2542"/>
      <c r="H390" s="2543">
        <f>'BẢNG LƯƠNG KT'!L144</f>
        <v>0</v>
      </c>
      <c r="I390" s="2544">
        <f>H390*25000</f>
        <v>0</v>
      </c>
    </row>
    <row r="391" spans="1:9">
      <c r="A391" s="2546" t="s">
        <v>1283</v>
      </c>
      <c r="B391" s="2547"/>
      <c r="C391" s="2548">
        <f>'BẢNG LƯƠNG KT'!M144+'BẢNG LƯƠNG KT'!N144</f>
        <v>0</v>
      </c>
      <c r="D391" s="2549">
        <f>'BẢNG LƯƠNG KT'!S144</f>
        <v>0</v>
      </c>
      <c r="F391" s="2546" t="s">
        <v>1283</v>
      </c>
      <c r="G391" s="2547"/>
      <c r="H391" s="2548">
        <f>'BẢNG LƯƠNG KT'!S144+'BẢNG LƯƠNG KT'!T144</f>
        <v>0</v>
      </c>
      <c r="I391" s="2549">
        <f>'BẢNG LƯƠNG KT'!X144</f>
        <v>0</v>
      </c>
    </row>
    <row r="392" spans="1:9">
      <c r="A392" s="2546" t="s">
        <v>1284</v>
      </c>
      <c r="B392" s="2547"/>
      <c r="C392" s="2548">
        <f>'BẢNG LƯƠNG KT'!J144</f>
        <v>0</v>
      </c>
      <c r="D392" s="2549">
        <f>'BẢNG LƯƠNG KT'!L144</f>
        <v>0</v>
      </c>
      <c r="F392" s="2546" t="s">
        <v>1284</v>
      </c>
      <c r="G392" s="2547"/>
      <c r="H392" s="2548">
        <f>'BẢNG LƯƠNG KT'!O144</f>
        <v>0</v>
      </c>
      <c r="I392" s="2549">
        <f>'BẢNG LƯƠNG KT'!Q144</f>
        <v>0</v>
      </c>
    </row>
    <row r="393" spans="1:9">
      <c r="A393" s="2963" t="s">
        <v>23</v>
      </c>
      <c r="B393" s="2547"/>
      <c r="C393" s="2547"/>
      <c r="D393" s="2551"/>
      <c r="F393" s="2963" t="s">
        <v>23</v>
      </c>
      <c r="G393" s="2547"/>
      <c r="H393" s="2547"/>
      <c r="I393" s="2551"/>
    </row>
    <row r="394" spans="1:9">
      <c r="A394" s="2552" t="s">
        <v>1285</v>
      </c>
      <c r="B394" s="2547"/>
      <c r="C394" s="2547"/>
      <c r="D394" s="2551"/>
      <c r="F394" s="2552" t="s">
        <v>1285</v>
      </c>
      <c r="G394" s="2547"/>
      <c r="H394" s="2547"/>
      <c r="I394" s="2551"/>
    </row>
    <row r="395" spans="1:9">
      <c r="A395" s="2553" t="s">
        <v>1286</v>
      </c>
      <c r="B395" s="2547"/>
      <c r="C395" s="2554"/>
      <c r="D395" s="2549">
        <f>SUM(D394)</f>
        <v>0</v>
      </c>
      <c r="F395" s="2553" t="s">
        <v>1286</v>
      </c>
      <c r="G395" s="2547"/>
      <c r="H395" s="2554"/>
      <c r="I395" s="2549">
        <f>SUM(I394)</f>
        <v>0</v>
      </c>
    </row>
    <row r="396" spans="1:9">
      <c r="A396" s="2555" t="s">
        <v>1287</v>
      </c>
      <c r="B396" s="2556"/>
      <c r="C396" s="2557"/>
      <c r="D396" s="2558">
        <f>(D390+D391+D392)-D395</f>
        <v>0</v>
      </c>
      <c r="F396" s="2555" t="s">
        <v>1287</v>
      </c>
      <c r="G396" s="2556"/>
      <c r="H396" s="2557"/>
      <c r="I396" s="2558">
        <f>(I390+I391+I392)-I395</f>
        <v>0</v>
      </c>
    </row>
  </sheetData>
  <mergeCells count="194">
    <mergeCell ref="A388:D388"/>
    <mergeCell ref="F388:I388"/>
    <mergeCell ref="B367:D367"/>
    <mergeCell ref="G367:I367"/>
    <mergeCell ref="B378:D378"/>
    <mergeCell ref="G378:I378"/>
    <mergeCell ref="B389:D389"/>
    <mergeCell ref="G389:I389"/>
    <mergeCell ref="A350:D350"/>
    <mergeCell ref="B351:C351"/>
    <mergeCell ref="F350:I350"/>
    <mergeCell ref="G351:H351"/>
    <mergeCell ref="A366:D366"/>
    <mergeCell ref="F366:I366"/>
    <mergeCell ref="A377:D377"/>
    <mergeCell ref="A328:D328"/>
    <mergeCell ref="F328:I328"/>
    <mergeCell ref="B329:C329"/>
    <mergeCell ref="G329:H329"/>
    <mergeCell ref="F338:I338"/>
    <mergeCell ref="F377:I377"/>
    <mergeCell ref="J294:J299"/>
    <mergeCell ref="B299:C299"/>
    <mergeCell ref="G299:H299"/>
    <mergeCell ref="J301:J306"/>
    <mergeCell ref="J307:J316"/>
    <mergeCell ref="B309:C309"/>
    <mergeCell ref="G309:H309"/>
    <mergeCell ref="J317:J322"/>
    <mergeCell ref="B319:C319"/>
    <mergeCell ref="G319:H319"/>
    <mergeCell ref="A318:D318"/>
    <mergeCell ref="F318:I318"/>
    <mergeCell ref="A298:D298"/>
    <mergeCell ref="F298:I298"/>
    <mergeCell ref="A308:D308"/>
    <mergeCell ref="F308:I308"/>
    <mergeCell ref="J341:J346"/>
    <mergeCell ref="A338:D338"/>
    <mergeCell ref="G239:H239"/>
    <mergeCell ref="J247:J252"/>
    <mergeCell ref="A278:D278"/>
    <mergeCell ref="F278:I278"/>
    <mergeCell ref="A288:D288"/>
    <mergeCell ref="F288:I288"/>
    <mergeCell ref="J261:J266"/>
    <mergeCell ref="B269:C269"/>
    <mergeCell ref="G269:H269"/>
    <mergeCell ref="J278:J282"/>
    <mergeCell ref="B279:C279"/>
    <mergeCell ref="G279:H279"/>
    <mergeCell ref="J283:J292"/>
    <mergeCell ref="B289:C289"/>
    <mergeCell ref="G137:H137"/>
    <mergeCell ref="J327:J332"/>
    <mergeCell ref="J175:J180"/>
    <mergeCell ref="A176:D176"/>
    <mergeCell ref="F176:I176"/>
    <mergeCell ref="J181:J185"/>
    <mergeCell ref="B177:C177"/>
    <mergeCell ref="G177:H177"/>
    <mergeCell ref="B189:C189"/>
    <mergeCell ref="G189:H189"/>
    <mergeCell ref="G289:H289"/>
    <mergeCell ref="A198:D198"/>
    <mergeCell ref="F198:I198"/>
    <mergeCell ref="J198:J202"/>
    <mergeCell ref="B199:C199"/>
    <mergeCell ref="G199:H199"/>
    <mergeCell ref="J203:J212"/>
    <mergeCell ref="A208:D208"/>
    <mergeCell ref="J227:J236"/>
    <mergeCell ref="A228:D228"/>
    <mergeCell ref="F228:I228"/>
    <mergeCell ref="B229:C229"/>
    <mergeCell ref="G229:H229"/>
    <mergeCell ref="F218:I218"/>
    <mergeCell ref="J109:J115"/>
    <mergeCell ref="A114:D114"/>
    <mergeCell ref="F114:I114"/>
    <mergeCell ref="J116:J122"/>
    <mergeCell ref="J125:J134"/>
    <mergeCell ref="A126:D126"/>
    <mergeCell ref="F126:I126"/>
    <mergeCell ref="J93:J98"/>
    <mergeCell ref="A94:D94"/>
    <mergeCell ref="F94:I94"/>
    <mergeCell ref="J99:J106"/>
    <mergeCell ref="A104:D104"/>
    <mergeCell ref="F104:I104"/>
    <mergeCell ref="B115:C115"/>
    <mergeCell ref="G115:H115"/>
    <mergeCell ref="B127:C127"/>
    <mergeCell ref="B95:C95"/>
    <mergeCell ref="G95:H95"/>
    <mergeCell ref="B105:C105"/>
    <mergeCell ref="G105:H105"/>
    <mergeCell ref="G127:H127"/>
    <mergeCell ref="J70:J76"/>
    <mergeCell ref="A74:D74"/>
    <mergeCell ref="F74:I74"/>
    <mergeCell ref="J77:J82"/>
    <mergeCell ref="A83:D83"/>
    <mergeCell ref="F83:I83"/>
    <mergeCell ref="J83:J91"/>
    <mergeCell ref="A84:D84"/>
    <mergeCell ref="F84:I84"/>
    <mergeCell ref="B75:C75"/>
    <mergeCell ref="G75:H75"/>
    <mergeCell ref="B85:C85"/>
    <mergeCell ref="G85:H85"/>
    <mergeCell ref="J63:J68"/>
    <mergeCell ref="A64:D64"/>
    <mergeCell ref="F64:I64"/>
    <mergeCell ref="J28:J33"/>
    <mergeCell ref="A32:D32"/>
    <mergeCell ref="F32:I32"/>
    <mergeCell ref="J35:J40"/>
    <mergeCell ref="J41:J50"/>
    <mergeCell ref="A42:D42"/>
    <mergeCell ref="F42:I42"/>
    <mergeCell ref="G33:H33"/>
    <mergeCell ref="B43:C43"/>
    <mergeCell ref="G43:H43"/>
    <mergeCell ref="B53:C53"/>
    <mergeCell ref="G53:H53"/>
    <mergeCell ref="B65:C65"/>
    <mergeCell ref="G65:H65"/>
    <mergeCell ref="A2:D2"/>
    <mergeCell ref="F2:I2"/>
    <mergeCell ref="A12:D12"/>
    <mergeCell ref="F12:I12"/>
    <mergeCell ref="J12:J16"/>
    <mergeCell ref="J17:J26"/>
    <mergeCell ref="A22:D22"/>
    <mergeCell ref="F22:I22"/>
    <mergeCell ref="J51:J56"/>
    <mergeCell ref="A52:D52"/>
    <mergeCell ref="F52:I52"/>
    <mergeCell ref="B3:C3"/>
    <mergeCell ref="G3:H3"/>
    <mergeCell ref="B13:C13"/>
    <mergeCell ref="G13:H13"/>
    <mergeCell ref="B23:C23"/>
    <mergeCell ref="G23:H23"/>
    <mergeCell ref="B33:C33"/>
    <mergeCell ref="J135:J141"/>
    <mergeCell ref="A136:D136"/>
    <mergeCell ref="F136:I136"/>
    <mergeCell ref="J142:J148"/>
    <mergeCell ref="A146:D146"/>
    <mergeCell ref="F146:I146"/>
    <mergeCell ref="J334:J340"/>
    <mergeCell ref="B339:C339"/>
    <mergeCell ref="G339:H339"/>
    <mergeCell ref="B147:C147"/>
    <mergeCell ref="G147:H147"/>
    <mergeCell ref="B157:C157"/>
    <mergeCell ref="G157:H157"/>
    <mergeCell ref="B167:C167"/>
    <mergeCell ref="G167:H167"/>
    <mergeCell ref="J149:J157"/>
    <mergeCell ref="A156:D156"/>
    <mergeCell ref="F156:I156"/>
    <mergeCell ref="J158:J164"/>
    <mergeCell ref="J165:J171"/>
    <mergeCell ref="A166:D166"/>
    <mergeCell ref="F166:I166"/>
    <mergeCell ref="G219:H219"/>
    <mergeCell ref="B137:C137"/>
    <mergeCell ref="A188:D188"/>
    <mergeCell ref="F188:I188"/>
    <mergeCell ref="A268:D268"/>
    <mergeCell ref="F268:I268"/>
    <mergeCell ref="A248:D248"/>
    <mergeCell ref="F248:I248"/>
    <mergeCell ref="B249:C249"/>
    <mergeCell ref="G249:H249"/>
    <mergeCell ref="J254:J260"/>
    <mergeCell ref="A258:D258"/>
    <mergeCell ref="F258:I258"/>
    <mergeCell ref="B259:C259"/>
    <mergeCell ref="G259:H259"/>
    <mergeCell ref="F208:I208"/>
    <mergeCell ref="B209:C209"/>
    <mergeCell ref="G209:H209"/>
    <mergeCell ref="J214:J219"/>
    <mergeCell ref="A218:D218"/>
    <mergeCell ref="J221:J226"/>
    <mergeCell ref="B219:C219"/>
    <mergeCell ref="J237:J242"/>
    <mergeCell ref="A238:D238"/>
    <mergeCell ref="F238:I238"/>
    <mergeCell ref="B239:C239"/>
  </mergeCells>
  <pageMargins left="0.31" right="0.2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44"/>
  <sheetViews>
    <sheetView topLeftCell="A19" workbookViewId="0">
      <selection activeCell="L17" sqref="L17"/>
    </sheetView>
  </sheetViews>
  <sheetFormatPr defaultRowHeight="14.25"/>
  <cols>
    <col min="1" max="1" width="17.625" customWidth="1"/>
    <col min="2" max="2" width="4.25" customWidth="1"/>
    <col min="3" max="3" width="5.25" style="3067" customWidth="1"/>
    <col min="4" max="4" width="9.875" customWidth="1"/>
    <col min="5" max="5" width="2.375" customWidth="1"/>
    <col min="6" max="6" width="17.375" customWidth="1"/>
    <col min="7" max="7" width="5" customWidth="1"/>
    <col min="8" max="8" width="5.375" style="3067" customWidth="1"/>
    <col min="12" max="12" width="9.875" bestFit="1" customWidth="1"/>
    <col min="13" max="13" width="15.75" bestFit="1" customWidth="1"/>
  </cols>
  <sheetData>
    <row r="1" spans="1:11">
      <c r="A1" s="3056" t="s">
        <v>1376</v>
      </c>
      <c r="B1" s="3955">
        <v>21976</v>
      </c>
      <c r="C1" s="3955"/>
    </row>
    <row r="3" spans="1:11" ht="15">
      <c r="A3" s="3944" t="s">
        <v>1328</v>
      </c>
      <c r="B3" s="3945"/>
      <c r="C3" s="3945"/>
      <c r="D3" s="3946"/>
      <c r="E3" s="2185"/>
      <c r="F3" s="3944" t="s">
        <v>1328</v>
      </c>
      <c r="G3" s="3945"/>
      <c r="H3" s="3945"/>
      <c r="I3" s="3946"/>
    </row>
    <row r="4" spans="1:11" ht="15.75">
      <c r="A4" s="2539" t="s">
        <v>20</v>
      </c>
      <c r="B4" s="3949" t="s">
        <v>1013</v>
      </c>
      <c r="C4" s="3950"/>
      <c r="D4" s="3953"/>
      <c r="E4" s="2185"/>
      <c r="F4" s="2539" t="s">
        <v>20</v>
      </c>
      <c r="G4" s="3949" t="s">
        <v>638</v>
      </c>
      <c r="H4" s="3950"/>
      <c r="I4" s="3953"/>
      <c r="K4" s="3056">
        <v>21700</v>
      </c>
    </row>
    <row r="5" spans="1:11" s="2499" customFormat="1" ht="18">
      <c r="A5" s="2653" t="s">
        <v>233</v>
      </c>
      <c r="B5" s="3054"/>
      <c r="C5" s="3068">
        <f>C6+C7</f>
        <v>820</v>
      </c>
      <c r="D5" s="3048">
        <f>D6+D7</f>
        <v>18020320</v>
      </c>
      <c r="E5" s="2227"/>
      <c r="F5" s="2653" t="s">
        <v>233</v>
      </c>
      <c r="G5" s="3054"/>
      <c r="H5" s="3068">
        <f>H6+H7</f>
        <v>460</v>
      </c>
      <c r="I5" s="3048">
        <f>I6+I7</f>
        <v>10108960</v>
      </c>
    </row>
    <row r="6" spans="1:11" ht="15">
      <c r="A6" s="3053" t="s">
        <v>782</v>
      </c>
      <c r="C6" s="3069">
        <v>610</v>
      </c>
      <c r="D6" s="3050">
        <f>C6*$B$1</f>
        <v>13405360</v>
      </c>
      <c r="E6" s="2185"/>
      <c r="F6" s="3053" t="s">
        <v>782</v>
      </c>
      <c r="H6" s="3069">
        <v>340</v>
      </c>
      <c r="I6" s="3050">
        <f>H6*$B$1</f>
        <v>7471840</v>
      </c>
    </row>
    <row r="7" spans="1:11" ht="15">
      <c r="A7" s="2546" t="s">
        <v>23</v>
      </c>
      <c r="B7" s="2547"/>
      <c r="C7" s="3051">
        <v>210</v>
      </c>
      <c r="D7" s="3051">
        <f>C7*$B$1</f>
        <v>4614960</v>
      </c>
      <c r="E7" s="2185"/>
      <c r="F7" s="2546" t="s">
        <v>23</v>
      </c>
      <c r="G7" s="2547"/>
      <c r="H7" s="3051">
        <v>120</v>
      </c>
      <c r="I7" s="3051">
        <f>H7*$B$1</f>
        <v>2637120</v>
      </c>
    </row>
    <row r="8" spans="1:11" s="2499" customFormat="1">
      <c r="A8" s="3049" t="s">
        <v>1374</v>
      </c>
      <c r="B8" s="2548"/>
      <c r="C8" s="2549"/>
      <c r="D8" s="2549"/>
      <c r="E8" s="2227"/>
      <c r="F8" s="3049" t="s">
        <v>1374</v>
      </c>
      <c r="G8" s="2548"/>
      <c r="H8" s="2549"/>
      <c r="I8" s="2549"/>
    </row>
    <row r="9" spans="1:11" s="3057" customFormat="1" ht="15">
      <c r="A9" s="2546" t="s">
        <v>1372</v>
      </c>
      <c r="B9" s="2547"/>
      <c r="C9" s="3070">
        <f>2805272/B1</f>
        <v>127.65161994903531</v>
      </c>
      <c r="D9" s="2551">
        <f>C9*$B$1</f>
        <v>2805272</v>
      </c>
      <c r="E9" s="2185"/>
      <c r="F9" s="2546" t="s">
        <v>1372</v>
      </c>
      <c r="G9" s="2547"/>
      <c r="H9" s="3070">
        <f>1128718/B1</f>
        <v>51.361394248270841</v>
      </c>
      <c r="I9" s="2551">
        <f>H9*$B$1</f>
        <v>1128718</v>
      </c>
    </row>
    <row r="10" spans="1:11" ht="15">
      <c r="A10" s="2963" t="s">
        <v>1373</v>
      </c>
      <c r="B10" s="2547"/>
      <c r="C10" s="3071">
        <f>152150/B1</f>
        <v>6.923461958500182</v>
      </c>
      <c r="D10" s="3051">
        <f>C10*$B$1</f>
        <v>152150</v>
      </c>
      <c r="E10" s="2185"/>
      <c r="F10" s="2963" t="s">
        <v>1373</v>
      </c>
      <c r="G10" s="2547"/>
      <c r="H10" s="3071">
        <f>89802/B1</f>
        <v>4.0863669457590097</v>
      </c>
      <c r="I10" s="3051">
        <f>H10*$B$1</f>
        <v>89802</v>
      </c>
    </row>
    <row r="11" spans="1:11" ht="15">
      <c r="A11" s="2552" t="s">
        <v>1375</v>
      </c>
      <c r="B11" s="2547"/>
      <c r="C11" s="3071">
        <f>517168/B1</f>
        <v>23.533309064433929</v>
      </c>
      <c r="D11" s="3051">
        <f>C11*$B$1</f>
        <v>517168.00000000006</v>
      </c>
      <c r="E11" s="2185"/>
      <c r="F11" s="2552" t="s">
        <v>1375</v>
      </c>
      <c r="G11" s="2547"/>
      <c r="H11" s="3071">
        <f>309341/B1</f>
        <v>14.076310520567892</v>
      </c>
      <c r="I11" s="3051">
        <f>H11*$B$1</f>
        <v>309341</v>
      </c>
    </row>
    <row r="12" spans="1:11" s="2499" customFormat="1">
      <c r="A12" s="2550" t="s">
        <v>1286</v>
      </c>
      <c r="B12" s="2548"/>
      <c r="C12" s="3059">
        <f>D12/K4</f>
        <v>160.11935483870968</v>
      </c>
      <c r="D12" s="3052">
        <f>D9+D10+D11</f>
        <v>3474590</v>
      </c>
      <c r="E12" s="2227"/>
      <c r="F12" s="2550" t="s">
        <v>1286</v>
      </c>
      <c r="G12" s="2548"/>
      <c r="H12" s="3059">
        <f>I12/K4</f>
        <v>70.408341013824881</v>
      </c>
      <c r="I12" s="3052">
        <f>I9+I10+I11</f>
        <v>1527861</v>
      </c>
    </row>
    <row r="13" spans="1:11" ht="15">
      <c r="A13" s="2555" t="s">
        <v>1287</v>
      </c>
      <c r="B13" s="2556"/>
      <c r="C13" s="3060">
        <f>C5-C12</f>
        <v>659.88064516129032</v>
      </c>
      <c r="D13" s="2557">
        <f>D5-D12</f>
        <v>14545730</v>
      </c>
      <c r="E13" s="2185"/>
      <c r="F13" s="2555" t="s">
        <v>1287</v>
      </c>
      <c r="G13" s="2556"/>
      <c r="H13" s="3060">
        <f>H5-H12</f>
        <v>389.5916589861751</v>
      </c>
      <c r="I13" s="2558">
        <f>I5-I12</f>
        <v>8581099</v>
      </c>
    </row>
    <row r="14" spans="1:11" ht="15">
      <c r="A14" s="2555" t="s">
        <v>1377</v>
      </c>
      <c r="B14" s="2556">
        <v>600</v>
      </c>
      <c r="C14" s="3072"/>
      <c r="D14" s="2557">
        <f>(C13-B14)*K4</f>
        <v>1299410</v>
      </c>
      <c r="E14" s="2185"/>
      <c r="F14" s="2555" t="s">
        <v>1377</v>
      </c>
      <c r="G14" s="2556">
        <v>300</v>
      </c>
      <c r="H14" s="2558"/>
      <c r="I14" s="2558">
        <f>(H13-G14)*K4</f>
        <v>1944138.9999999998</v>
      </c>
    </row>
    <row r="15" spans="1:11" ht="15">
      <c r="A15" s="2185"/>
      <c r="B15" s="2185"/>
      <c r="C15" s="3073"/>
      <c r="D15" s="2185"/>
      <c r="E15" s="2185"/>
    </row>
    <row r="16" spans="1:11">
      <c r="A16" s="3944" t="s">
        <v>1328</v>
      </c>
      <c r="B16" s="3945"/>
      <c r="C16" s="3945"/>
      <c r="D16" s="3946"/>
      <c r="F16" s="3944" t="s">
        <v>1328</v>
      </c>
      <c r="G16" s="3945"/>
      <c r="H16" s="3945"/>
      <c r="I16" s="3946"/>
    </row>
    <row r="17" spans="1:9" ht="15.75">
      <c r="A17" s="2539" t="s">
        <v>20</v>
      </c>
      <c r="B17" s="3949" t="s">
        <v>97</v>
      </c>
      <c r="C17" s="3950"/>
      <c r="D17" s="3953"/>
      <c r="F17" s="2539" t="s">
        <v>20</v>
      </c>
      <c r="G17" s="3949" t="s">
        <v>1318</v>
      </c>
      <c r="H17" s="3950"/>
      <c r="I17" s="3953"/>
    </row>
    <row r="18" spans="1:9" ht="18">
      <c r="A18" s="2653" t="s">
        <v>233</v>
      </c>
      <c r="B18" s="3054"/>
      <c r="C18" s="3068">
        <f>C19+C20</f>
        <v>400</v>
      </c>
      <c r="D18" s="3048">
        <f>D19+D20</f>
        <v>8790400</v>
      </c>
      <c r="F18" s="2653" t="s">
        <v>233</v>
      </c>
      <c r="G18" s="3054"/>
      <c r="H18" s="3068">
        <f>H19+H20</f>
        <v>510</v>
      </c>
      <c r="I18" s="3048">
        <f>I19+I20</f>
        <v>11207760</v>
      </c>
    </row>
    <row r="19" spans="1:9">
      <c r="A19" s="3053" t="s">
        <v>782</v>
      </c>
      <c r="C19" s="3069">
        <v>300</v>
      </c>
      <c r="D19" s="3050">
        <f>C19*$B$1</f>
        <v>6592800</v>
      </c>
      <c r="F19" s="3053" t="s">
        <v>782</v>
      </c>
      <c r="H19" s="3069">
        <v>380</v>
      </c>
      <c r="I19" s="3050">
        <f>H19*$B$1</f>
        <v>8350880</v>
      </c>
    </row>
    <row r="20" spans="1:9">
      <c r="A20" s="2546" t="s">
        <v>23</v>
      </c>
      <c r="B20" s="2547"/>
      <c r="C20" s="3051">
        <v>100</v>
      </c>
      <c r="D20" s="3051">
        <f>C20*$B$1</f>
        <v>2197600</v>
      </c>
      <c r="F20" s="2546" t="s">
        <v>23</v>
      </c>
      <c r="G20" s="2547"/>
      <c r="H20" s="3051">
        <v>130</v>
      </c>
      <c r="I20" s="3051">
        <f>H20*$B$1</f>
        <v>2856880</v>
      </c>
    </row>
    <row r="21" spans="1:9">
      <c r="A21" s="3049" t="s">
        <v>1374</v>
      </c>
      <c r="B21" s="2548"/>
      <c r="C21" s="2549"/>
      <c r="D21" s="2549"/>
      <c r="F21" s="3049" t="s">
        <v>1374</v>
      </c>
      <c r="G21" s="2548"/>
      <c r="H21" s="2549"/>
      <c r="I21" s="2549"/>
    </row>
    <row r="22" spans="1:9" s="3057" customFormat="1">
      <c r="A22" s="2546" t="s">
        <v>1372</v>
      </c>
      <c r="B22" s="2547"/>
      <c r="C22" s="3070">
        <f>1030942/B1</f>
        <v>46.912176920276664</v>
      </c>
      <c r="D22" s="2551">
        <f>C22*$B$1</f>
        <v>1030942</v>
      </c>
      <c r="F22" s="2546" t="s">
        <v>1372</v>
      </c>
      <c r="G22" s="2547"/>
      <c r="H22" s="3070">
        <f>805776/B1</f>
        <v>36.666181288678558</v>
      </c>
      <c r="I22" s="2551">
        <f>H22*$B$1</f>
        <v>805776</v>
      </c>
    </row>
    <row r="23" spans="1:9">
      <c r="A23" s="2963" t="s">
        <v>1373</v>
      </c>
      <c r="B23" s="2547"/>
      <c r="C23" s="3071">
        <f>77595/B1</f>
        <v>3.530897342555515</v>
      </c>
      <c r="D23" s="3051">
        <f>C23*$B$1</f>
        <v>77595</v>
      </c>
      <c r="F23" s="2963" t="s">
        <v>1373</v>
      </c>
      <c r="G23" s="2547"/>
      <c r="H23" s="3071">
        <f>104020/B1</f>
        <v>4.7333454677830362</v>
      </c>
      <c r="I23" s="3051">
        <f>H23*$B$1</f>
        <v>104020</v>
      </c>
    </row>
    <row r="24" spans="1:9">
      <c r="A24" s="2552" t="s">
        <v>1375</v>
      </c>
      <c r="B24" s="2547"/>
      <c r="C24" s="3071">
        <f>268649/B1</f>
        <v>12.224654168183474</v>
      </c>
      <c r="D24" s="3051">
        <f>C24*$B$1</f>
        <v>268649</v>
      </c>
      <c r="F24" s="2552" t="s">
        <v>1375</v>
      </c>
      <c r="G24" s="2547"/>
      <c r="H24" s="3071">
        <f>356733/B1</f>
        <v>16.232844921732799</v>
      </c>
      <c r="I24" s="3051">
        <f>H24*$B$1</f>
        <v>356733</v>
      </c>
    </row>
    <row r="25" spans="1:9">
      <c r="A25" s="2550" t="s">
        <v>1286</v>
      </c>
      <c r="B25" s="2548"/>
      <c r="C25" s="3059">
        <f>D25/K4</f>
        <v>63.464792626728112</v>
      </c>
      <c r="D25" s="3052">
        <f>D22+D23+D24</f>
        <v>1377186</v>
      </c>
      <c r="F25" s="2550" t="s">
        <v>1286</v>
      </c>
      <c r="G25" s="2548"/>
      <c r="H25" s="3059">
        <f>I25/K4</f>
        <v>58.365391705069122</v>
      </c>
      <c r="I25" s="3052">
        <f>I22+I23+I24</f>
        <v>1266529</v>
      </c>
    </row>
    <row r="26" spans="1:9">
      <c r="A26" s="2555" t="s">
        <v>1287</v>
      </c>
      <c r="B26" s="2556"/>
      <c r="C26" s="3060">
        <f>C18-C25</f>
        <v>336.53520737327187</v>
      </c>
      <c r="D26" s="2558">
        <f>(D19+D20)-D25</f>
        <v>7413214</v>
      </c>
      <c r="F26" s="2555" t="s">
        <v>1287</v>
      </c>
      <c r="G26" s="2556"/>
      <c r="H26" s="2558">
        <f>H18-H25</f>
        <v>451.6346082949309</v>
      </c>
      <c r="I26" s="2558">
        <f>(I19+I20)-I25</f>
        <v>9941231</v>
      </c>
    </row>
    <row r="27" spans="1:9">
      <c r="A27" s="2555" t="s">
        <v>1377</v>
      </c>
      <c r="B27" s="2556">
        <v>300</v>
      </c>
      <c r="C27" s="2558"/>
      <c r="D27" s="2558">
        <f>(C26-B27)*K4</f>
        <v>792813.99999999965</v>
      </c>
      <c r="F27" s="2555" t="s">
        <v>1377</v>
      </c>
      <c r="G27" s="2556">
        <v>400</v>
      </c>
      <c r="H27" s="2558"/>
      <c r="I27" s="2558">
        <f>(H26-G27)*K4</f>
        <v>1120471.0000000005</v>
      </c>
    </row>
    <row r="28" spans="1:9" ht="15">
      <c r="A28" s="2185"/>
    </row>
    <row r="29" spans="1:9">
      <c r="A29" s="3944" t="s">
        <v>1328</v>
      </c>
      <c r="B29" s="3945"/>
      <c r="C29" s="3945"/>
      <c r="D29" s="3946"/>
      <c r="F29" s="3944" t="s">
        <v>1328</v>
      </c>
      <c r="G29" s="3945"/>
      <c r="H29" s="3945"/>
      <c r="I29" s="3946"/>
    </row>
    <row r="30" spans="1:9" ht="15.75">
      <c r="A30" s="2539" t="s">
        <v>20</v>
      </c>
      <c r="B30" s="3949" t="s">
        <v>1317</v>
      </c>
      <c r="C30" s="3950"/>
      <c r="D30" s="3953"/>
      <c r="F30" s="2539" t="s">
        <v>20</v>
      </c>
      <c r="G30" s="3949" t="s">
        <v>96</v>
      </c>
      <c r="H30" s="3950"/>
      <c r="I30" s="3953"/>
    </row>
    <row r="31" spans="1:9" ht="18">
      <c r="A31" s="2653" t="s">
        <v>233</v>
      </c>
      <c r="B31" s="3054"/>
      <c r="C31" s="3068">
        <f>C32+C33+C34</f>
        <v>473.44864999999999</v>
      </c>
      <c r="D31" s="3048">
        <f>D32+D33+D34</f>
        <v>10404507.532400001</v>
      </c>
      <c r="F31" s="2653" t="s">
        <v>233</v>
      </c>
      <c r="G31" s="3054"/>
      <c r="H31" s="3068">
        <f>H32+H33+H34</f>
        <v>531.18297368421054</v>
      </c>
      <c r="I31" s="3048">
        <f>I32+I33+I34</f>
        <v>11673277.02968421</v>
      </c>
    </row>
    <row r="32" spans="1:9">
      <c r="A32" s="3053" t="s">
        <v>782</v>
      </c>
      <c r="C32" s="3069">
        <v>250</v>
      </c>
      <c r="D32" s="3050">
        <f>C32*$B$1</f>
        <v>5494000</v>
      </c>
      <c r="F32" s="3053" t="s">
        <v>782</v>
      </c>
      <c r="H32" s="3069">
        <v>330</v>
      </c>
      <c r="I32" s="3050">
        <f>H32*$B$1</f>
        <v>7252080</v>
      </c>
    </row>
    <row r="33" spans="1:15">
      <c r="A33" s="2546" t="s">
        <v>23</v>
      </c>
      <c r="B33" s="2547"/>
      <c r="C33" s="3051"/>
      <c r="D33" s="3051">
        <f>C33*$B$1</f>
        <v>0</v>
      </c>
      <c r="F33" s="2546" t="s">
        <v>23</v>
      </c>
      <c r="G33" s="2547"/>
      <c r="H33" s="3051">
        <v>50</v>
      </c>
      <c r="I33" s="3051">
        <f>H33*$B$1</f>
        <v>1098800</v>
      </c>
    </row>
    <row r="34" spans="1:15">
      <c r="A34" s="2546" t="s">
        <v>31</v>
      </c>
      <c r="B34" s="2547"/>
      <c r="C34" s="3051">
        <f>'Tính lương tổ'!I12</f>
        <v>223.44864999999999</v>
      </c>
      <c r="D34" s="3051">
        <f>C34*$B$1</f>
        <v>4910507.5323999999</v>
      </c>
      <c r="F34" s="2546" t="s">
        <v>31</v>
      </c>
      <c r="G34" s="2547"/>
      <c r="H34" s="3051">
        <f>'Tính lương tổ'!I13</f>
        <v>151.18297368421051</v>
      </c>
      <c r="I34" s="3051">
        <f>H34*$B$1</f>
        <v>3322397.0296842102</v>
      </c>
      <c r="M34" s="3055">
        <f>7648626+2091904+609571</f>
        <v>10350101</v>
      </c>
    </row>
    <row r="35" spans="1:15">
      <c r="A35" s="3049" t="s">
        <v>1374</v>
      </c>
      <c r="B35" s="2548"/>
      <c r="C35" s="2549"/>
      <c r="D35" s="2549"/>
      <c r="F35" s="3049" t="s">
        <v>1374</v>
      </c>
      <c r="G35" s="2548"/>
      <c r="H35" s="2549"/>
      <c r="I35" s="2549"/>
    </row>
    <row r="36" spans="1:15" s="3057" customFormat="1">
      <c r="A36" s="2546" t="s">
        <v>1372</v>
      </c>
      <c r="B36" s="2547"/>
      <c r="C36" s="3070">
        <f>709670/B1</f>
        <v>32.292955951947576</v>
      </c>
      <c r="D36" s="2551">
        <f>C36*$B$1</f>
        <v>709669.99999999988</v>
      </c>
      <c r="F36" s="2546" t="s">
        <v>1372</v>
      </c>
      <c r="G36" s="2547"/>
      <c r="H36" s="3070">
        <f>1168248/B1</f>
        <v>53.160174736075717</v>
      </c>
      <c r="I36" s="2551">
        <f>H36*$B$1</f>
        <v>1168248</v>
      </c>
    </row>
    <row r="37" spans="1:15">
      <c r="A37" s="2963" t="s">
        <v>1373</v>
      </c>
      <c r="B37" s="2547"/>
      <c r="C37" s="3071">
        <f>95370/B1</f>
        <v>4.3397342555515106</v>
      </c>
      <c r="D37" s="3051">
        <f>C37*$B$1</f>
        <v>95370</v>
      </c>
      <c r="F37" s="2963" t="s">
        <v>1373</v>
      </c>
      <c r="G37" s="2547"/>
      <c r="H37" s="3071">
        <f>90634/B1</f>
        <v>4.1242264288314523</v>
      </c>
      <c r="I37" s="3051">
        <f>H37*$B$1</f>
        <v>90634</v>
      </c>
    </row>
    <row r="38" spans="1:15">
      <c r="A38" s="2552" t="s">
        <v>1375</v>
      </c>
      <c r="B38" s="2547"/>
      <c r="C38" s="3071">
        <f>327901/B1</f>
        <v>14.920868219876228</v>
      </c>
      <c r="D38" s="3051">
        <f>C38*$B$1</f>
        <v>327901</v>
      </c>
      <c r="F38" s="2552" t="s">
        <v>1375</v>
      </c>
      <c r="G38" s="2547"/>
      <c r="H38" s="3071">
        <f>312112/B1</f>
        <v>14.202402621041136</v>
      </c>
      <c r="I38" s="3051">
        <f>H38*$B$1</f>
        <v>312112</v>
      </c>
    </row>
    <row r="39" spans="1:15">
      <c r="A39" s="2550" t="s">
        <v>1286</v>
      </c>
      <c r="B39" s="2548"/>
      <c r="C39" s="3059">
        <f>D39/K4</f>
        <v>52.209262672811057</v>
      </c>
      <c r="D39" s="3052">
        <f>D36+D37+D38</f>
        <v>1132941</v>
      </c>
      <c r="F39" s="2550" t="s">
        <v>1286</v>
      </c>
      <c r="G39" s="2548"/>
      <c r="H39" s="3059">
        <f>I39/K4</f>
        <v>72.396036866359452</v>
      </c>
      <c r="I39" s="3052">
        <f>I36+I37+I38</f>
        <v>1570994</v>
      </c>
      <c r="K39" s="2869" t="s">
        <v>1378</v>
      </c>
      <c r="L39" s="2869"/>
      <c r="M39" s="3061">
        <f>I39+D39+D25+I25+I12+D12</f>
        <v>10350101</v>
      </c>
      <c r="O39">
        <f>M39/K4</f>
        <v>476.96317972350232</v>
      </c>
    </row>
    <row r="40" spans="1:15">
      <c r="A40" s="2555" t="s">
        <v>1287</v>
      </c>
      <c r="B40" s="2556"/>
      <c r="C40" s="2558">
        <f>C31-C39</f>
        <v>421.23938732718892</v>
      </c>
      <c r="D40" s="2558">
        <f>(D32+D33+D34)-D39</f>
        <v>9271566.5324000008</v>
      </c>
      <c r="F40" s="2555" t="s">
        <v>1287</v>
      </c>
      <c r="G40" s="2556"/>
      <c r="H40" s="2558">
        <f>H31-H39</f>
        <v>458.78693681785109</v>
      </c>
      <c r="I40" s="2558">
        <f>(I32+I33)-I39</f>
        <v>6779886</v>
      </c>
      <c r="K40" s="2869" t="s">
        <v>1379</v>
      </c>
      <c r="L40" s="3062">
        <f>H39+C39+H25+C25+H12+C12</f>
        <v>476.96317972350232</v>
      </c>
      <c r="M40" s="3063">
        <f>L40*B1</f>
        <v>10481742.837603686</v>
      </c>
      <c r="O40" s="3058">
        <f>M40/21700</f>
        <v>483.02962385270445</v>
      </c>
    </row>
    <row r="41" spans="1:15">
      <c r="A41" s="2555" t="s">
        <v>1377</v>
      </c>
      <c r="B41" s="2556">
        <v>400</v>
      </c>
      <c r="C41" s="2558"/>
      <c r="D41" s="2558">
        <f>(C40-B41)*K4</f>
        <v>460894.70499999961</v>
      </c>
      <c r="F41" s="2555" t="s">
        <v>1377</v>
      </c>
      <c r="G41" s="2556">
        <v>300</v>
      </c>
      <c r="H41" s="2558"/>
      <c r="I41" s="2558">
        <f>(H40-G41)*K4</f>
        <v>3445676.5289473687</v>
      </c>
      <c r="K41" s="3061"/>
      <c r="L41" s="2869"/>
      <c r="M41" s="2869"/>
    </row>
    <row r="42" spans="1:15">
      <c r="K42" s="2869" t="s">
        <v>1380</v>
      </c>
      <c r="L42" s="3064">
        <f>H31+C31+C18+H18+H5+C5</f>
        <v>3194.6316236842104</v>
      </c>
      <c r="M42" s="3065">
        <f>L42*B1</f>
        <v>70205224.562084213</v>
      </c>
    </row>
    <row r="43" spans="1:15">
      <c r="K43" s="2869"/>
      <c r="L43" s="2869"/>
      <c r="M43" s="2869"/>
    </row>
    <row r="44" spans="1:15">
      <c r="K44" s="2869" t="s">
        <v>1381</v>
      </c>
      <c r="L44" s="3062">
        <f>L42-L40</f>
        <v>2717.6684439607079</v>
      </c>
      <c r="M44" s="3066">
        <f>(L44-2600)*K4</f>
        <v>2553405.2339473618</v>
      </c>
      <c r="O44" s="244">
        <f>L42-O40</f>
        <v>2711.601999831506</v>
      </c>
    </row>
  </sheetData>
  <mergeCells count="13">
    <mergeCell ref="B30:D30"/>
    <mergeCell ref="F29:I29"/>
    <mergeCell ref="G30:I30"/>
    <mergeCell ref="B1:C1"/>
    <mergeCell ref="F3:I3"/>
    <mergeCell ref="G4:I4"/>
    <mergeCell ref="A16:D16"/>
    <mergeCell ref="F16:I16"/>
    <mergeCell ref="G17:I17"/>
    <mergeCell ref="A29:D29"/>
    <mergeCell ref="B17:D17"/>
    <mergeCell ref="A3:D3"/>
    <mergeCell ref="B4:D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W66"/>
  <sheetViews>
    <sheetView zoomScale="70" zoomScaleNormal="70" workbookViewId="0">
      <pane xSplit="2" ySplit="12" topLeftCell="C43" activePane="bottomRight" state="frozen"/>
      <selection pane="topRight" activeCell="C1" sqref="C1"/>
      <selection pane="bottomLeft" activeCell="A13" sqref="A13"/>
      <selection pane="bottomRight" activeCell="I37" sqref="I37"/>
    </sheetView>
  </sheetViews>
  <sheetFormatPr defaultColWidth="9.25" defaultRowHeight="32.25" customHeight="1"/>
  <cols>
    <col min="1" max="1" width="7.25" style="2041" customWidth="1"/>
    <col min="2" max="2" width="9.375" style="909" hidden="1" customWidth="1"/>
    <col min="3" max="3" width="16.125" style="915" customWidth="1"/>
    <col min="4" max="4" width="6.375" style="915" hidden="1" customWidth="1"/>
    <col min="5" max="5" width="8" style="909" hidden="1" customWidth="1"/>
    <col min="6" max="6" width="19.25" style="909" customWidth="1"/>
    <col min="7" max="7" width="15.375" style="911" customWidth="1"/>
    <col min="8" max="8" width="22.25" style="909" customWidth="1"/>
    <col min="9" max="9" width="14.375" style="909" customWidth="1"/>
    <col min="10" max="10" width="10.125" style="911" customWidth="1"/>
    <col min="11" max="11" width="9.25" style="924" customWidth="1"/>
    <col min="12" max="12" width="15.625" style="912" customWidth="1"/>
    <col min="13" max="13" width="11.75" style="909" customWidth="1"/>
    <col min="14" max="14" width="9.75" style="909" customWidth="1"/>
    <col min="15" max="15" width="11.75" style="909" customWidth="1"/>
    <col min="16" max="18" width="14" style="909" customWidth="1"/>
    <col min="19" max="19" width="15.125" style="909" customWidth="1"/>
    <col min="20" max="20" width="19.75" style="909" customWidth="1"/>
    <col min="21" max="21" width="14.75" style="909" customWidth="1"/>
    <col min="22" max="22" width="12.375" style="909" customWidth="1"/>
    <col min="23" max="23" width="24.375" style="909" customWidth="1"/>
    <col min="24" max="16384" width="9.25" style="909"/>
  </cols>
  <sheetData>
    <row r="1" spans="1:23" ht="32.25" customHeight="1">
      <c r="A1" s="3799" t="s">
        <v>165</v>
      </c>
      <c r="B1" s="3799"/>
      <c r="C1" s="3799"/>
      <c r="D1" s="3799"/>
      <c r="E1" s="3799"/>
      <c r="F1" s="3799"/>
      <c r="G1" s="3799"/>
      <c r="H1" s="3799"/>
      <c r="I1" s="3799"/>
      <c r="J1" s="3799"/>
      <c r="K1" s="3799"/>
      <c r="L1" s="3799"/>
      <c r="M1" s="3799"/>
      <c r="N1" s="3799"/>
      <c r="O1" s="3799"/>
      <c r="P1" s="3799"/>
      <c r="Q1" s="3799"/>
      <c r="R1" s="3799"/>
      <c r="S1" s="3799"/>
      <c r="T1" s="3799"/>
      <c r="U1" s="3799"/>
    </row>
    <row r="2" spans="1:23" ht="24" customHeight="1">
      <c r="A2" s="3799" t="s">
        <v>171</v>
      </c>
      <c r="B2" s="3799"/>
      <c r="C2" s="3799"/>
      <c r="D2" s="3799"/>
      <c r="E2" s="3799"/>
      <c r="F2" s="3799"/>
      <c r="G2" s="3799"/>
      <c r="H2" s="3799"/>
      <c r="I2" s="3799"/>
      <c r="J2" s="3799"/>
      <c r="K2" s="3799"/>
      <c r="L2" s="3799"/>
      <c r="M2" s="3799"/>
      <c r="N2" s="3799"/>
      <c r="O2" s="3799"/>
      <c r="P2" s="3799"/>
      <c r="Q2" s="3799"/>
      <c r="R2" s="3799"/>
      <c r="S2" s="3799"/>
      <c r="T2" s="3799"/>
      <c r="U2" s="3799"/>
    </row>
    <row r="3" spans="1:23" ht="18" customHeight="1">
      <c r="A3" s="3799" t="s">
        <v>726</v>
      </c>
      <c r="B3" s="3799"/>
      <c r="C3" s="3799"/>
      <c r="D3" s="3799"/>
      <c r="E3" s="3799"/>
      <c r="F3" s="3799"/>
      <c r="G3" s="3799"/>
      <c r="H3" s="3799"/>
      <c r="I3" s="3799"/>
      <c r="J3" s="3799"/>
      <c r="K3" s="3799"/>
      <c r="L3" s="3799"/>
      <c r="M3" s="3799"/>
      <c r="N3" s="3799"/>
      <c r="O3" s="3799"/>
      <c r="P3" s="3799"/>
      <c r="Q3" s="3799"/>
      <c r="R3" s="3799"/>
      <c r="S3" s="3799"/>
      <c r="T3" s="3799"/>
      <c r="U3" s="3799"/>
    </row>
    <row r="4" spans="1:23" ht="32.25" customHeight="1">
      <c r="A4" s="3800" t="s">
        <v>602</v>
      </c>
      <c r="B4" s="3800"/>
      <c r="C4" s="3800"/>
      <c r="D4" s="3800"/>
      <c r="E4" s="3800"/>
      <c r="F4" s="3800"/>
      <c r="G4" s="3800"/>
      <c r="H4" s="2040"/>
      <c r="I4" s="2040"/>
      <c r="J4" s="2040"/>
      <c r="K4" s="2040"/>
      <c r="L4" s="2040"/>
      <c r="M4" s="2040"/>
      <c r="N4" s="2040"/>
      <c r="O4" s="2040"/>
      <c r="P4" s="2040"/>
      <c r="Q4" s="2985"/>
      <c r="R4" s="3576"/>
      <c r="S4" s="2040"/>
      <c r="T4" s="2040"/>
      <c r="U4" s="2040"/>
    </row>
    <row r="5" spans="1:23" s="2011" customFormat="1" ht="32.25" customHeight="1">
      <c r="A5" s="3934" t="s">
        <v>541</v>
      </c>
      <c r="B5" s="3934"/>
      <c r="C5" s="3934"/>
      <c r="D5" s="3934"/>
      <c r="E5" s="3934"/>
      <c r="F5" s="3934"/>
      <c r="G5" s="3934"/>
      <c r="H5" s="2044"/>
      <c r="I5" s="2044"/>
      <c r="J5" s="2044"/>
      <c r="K5" s="2044"/>
      <c r="L5" s="2044"/>
      <c r="M5" s="2044"/>
      <c r="N5" s="2044"/>
      <c r="O5" s="2044"/>
      <c r="P5" s="2044"/>
      <c r="Q5" s="2986"/>
      <c r="R5" s="3578"/>
      <c r="S5" s="3106"/>
      <c r="T5" s="2044"/>
      <c r="U5" s="2044"/>
    </row>
    <row r="6" spans="1:23" ht="21.75" customHeight="1">
      <c r="A6" s="2040"/>
      <c r="B6" s="2040"/>
      <c r="C6" s="2040"/>
      <c r="D6" s="2040"/>
      <c r="E6" s="2040"/>
      <c r="F6" s="2040"/>
      <c r="G6" s="2040"/>
      <c r="H6" s="2040"/>
      <c r="I6" s="2040"/>
      <c r="J6" s="2040"/>
      <c r="K6" s="2040"/>
      <c r="L6" s="2040"/>
      <c r="M6" s="2040"/>
      <c r="N6" s="2040"/>
      <c r="O6" s="2040"/>
      <c r="P6" s="2040"/>
      <c r="Q6" s="2985"/>
      <c r="R6" s="3576"/>
      <c r="S6" s="2040"/>
      <c r="T6" s="2040"/>
      <c r="U6" s="2040"/>
    </row>
    <row r="7" spans="1:23" s="910" customFormat="1" ht="32.25" customHeight="1">
      <c r="A7" s="3956" t="s">
        <v>1827</v>
      </c>
      <c r="B7" s="3956"/>
      <c r="C7" s="3956"/>
      <c r="D7" s="3956"/>
      <c r="E7" s="3956"/>
      <c r="F7" s="3956"/>
      <c r="G7" s="3956"/>
      <c r="H7" s="3956"/>
      <c r="I7" s="3956"/>
      <c r="J7" s="3956"/>
      <c r="K7" s="3956"/>
      <c r="L7" s="3956"/>
      <c r="M7" s="3956"/>
      <c r="N7" s="3956"/>
      <c r="O7" s="3956"/>
      <c r="P7" s="3956"/>
      <c r="Q7" s="3956"/>
      <c r="R7" s="3956"/>
      <c r="S7" s="3956"/>
      <c r="T7" s="3956"/>
      <c r="U7" s="3956"/>
    </row>
    <row r="8" spans="1:23" s="910" customFormat="1" ht="32.25" customHeight="1">
      <c r="A8" s="1976"/>
      <c r="B8" s="1976"/>
      <c r="C8" s="1385"/>
      <c r="D8" s="1385"/>
      <c r="E8" s="3937"/>
      <c r="F8" s="3937"/>
      <c r="G8" s="3937"/>
      <c r="H8" s="1976"/>
      <c r="I8" s="1976"/>
      <c r="J8" s="1976"/>
      <c r="K8" s="1976"/>
      <c r="L8" s="1976"/>
      <c r="M8" s="1976"/>
      <c r="N8" s="1976"/>
      <c r="O8" s="1976"/>
      <c r="P8" s="1976"/>
      <c r="Q8" s="1976"/>
      <c r="R8" s="1976"/>
      <c r="S8" s="1976"/>
      <c r="T8" s="1976"/>
      <c r="U8" s="1976"/>
      <c r="W8" s="2852"/>
    </row>
    <row r="9" spans="1:23" ht="32.25" customHeight="1">
      <c r="C9" s="1386" t="s">
        <v>894</v>
      </c>
      <c r="D9" s="1387" t="s">
        <v>894</v>
      </c>
      <c r="E9" s="3913">
        <f>'BẢNG LƯƠNG KT'!E10:G10</f>
        <v>656</v>
      </c>
      <c r="F9" s="3913"/>
      <c r="G9" s="3913"/>
      <c r="H9" s="917"/>
      <c r="I9" s="917"/>
      <c r="J9" s="916"/>
      <c r="K9" s="918"/>
      <c r="L9" s="919"/>
      <c r="M9" s="920"/>
      <c r="N9" s="920"/>
      <c r="O9" s="920"/>
      <c r="P9" s="920"/>
      <c r="Q9" s="920"/>
      <c r="R9" s="920"/>
      <c r="S9" s="920"/>
      <c r="T9" s="3957" t="s">
        <v>1157</v>
      </c>
      <c r="U9" s="3957"/>
      <c r="W9" s="3210"/>
    </row>
    <row r="10" spans="1:23" s="2044" customFormat="1" ht="32.25" customHeight="1">
      <c r="A10" s="3958" t="s">
        <v>1</v>
      </c>
      <c r="B10" s="3960" t="s">
        <v>20</v>
      </c>
      <c r="C10" s="3960"/>
      <c r="D10" s="3960" t="s">
        <v>239</v>
      </c>
      <c r="E10" s="3958" t="s">
        <v>26</v>
      </c>
      <c r="F10" s="3958" t="s">
        <v>9</v>
      </c>
      <c r="G10" s="3965" t="s">
        <v>27</v>
      </c>
      <c r="H10" s="3965"/>
      <c r="I10" s="3965"/>
      <c r="J10" s="3965"/>
      <c r="K10" s="3965"/>
      <c r="L10" s="3965"/>
      <c r="M10" s="3965"/>
      <c r="N10" s="3965"/>
      <c r="O10" s="3965"/>
      <c r="P10" s="3965"/>
      <c r="Q10" s="3965"/>
      <c r="R10" s="3965"/>
      <c r="S10" s="3965"/>
      <c r="T10" s="3961" t="s">
        <v>1165</v>
      </c>
      <c r="U10" s="3962" t="s">
        <v>1155</v>
      </c>
      <c r="W10" s="2675">
        <f>Mủ!AX17</f>
        <v>42.48931461916024</v>
      </c>
    </row>
    <row r="11" spans="1:23" s="2044" customFormat="1" ht="32.25" customHeight="1">
      <c r="A11" s="3958"/>
      <c r="B11" s="3960"/>
      <c r="C11" s="3960"/>
      <c r="D11" s="3960"/>
      <c r="E11" s="3958"/>
      <c r="F11" s="3958"/>
      <c r="G11" s="3963" t="s">
        <v>1146</v>
      </c>
      <c r="H11" s="3963"/>
      <c r="I11" s="3962" t="s">
        <v>31</v>
      </c>
      <c r="J11" s="3962"/>
      <c r="K11" s="3962"/>
      <c r="L11" s="3962"/>
      <c r="M11" s="3964" t="s">
        <v>32</v>
      </c>
      <c r="N11" s="3964"/>
      <c r="O11" s="3964"/>
      <c r="P11" s="3964"/>
      <c r="Q11" s="3964"/>
      <c r="R11" s="3964"/>
      <c r="S11" s="3964"/>
      <c r="T11" s="3961"/>
      <c r="U11" s="3962"/>
      <c r="W11" s="2676"/>
    </row>
    <row r="12" spans="1:23" s="2044" customFormat="1" ht="66" customHeight="1">
      <c r="A12" s="3959"/>
      <c r="B12" s="3960"/>
      <c r="C12" s="3960"/>
      <c r="D12" s="3960"/>
      <c r="E12" s="3959"/>
      <c r="F12" s="3958"/>
      <c r="G12" s="922" t="s">
        <v>362</v>
      </c>
      <c r="H12" s="2457" t="s">
        <v>1255</v>
      </c>
      <c r="I12" s="2146" t="s">
        <v>1151</v>
      </c>
      <c r="J12" s="922" t="s">
        <v>1152</v>
      </c>
      <c r="K12" s="2145" t="s">
        <v>37</v>
      </c>
      <c r="L12" s="2145" t="s">
        <v>38</v>
      </c>
      <c r="M12" s="2147" t="s">
        <v>956</v>
      </c>
      <c r="N12" s="2147" t="s">
        <v>957</v>
      </c>
      <c r="O12" s="2147" t="s">
        <v>1153</v>
      </c>
      <c r="P12" s="2147" t="s">
        <v>1154</v>
      </c>
      <c r="Q12" s="2993" t="s">
        <v>1365</v>
      </c>
      <c r="R12" s="3577" t="s">
        <v>1829</v>
      </c>
      <c r="S12" s="2145" t="s">
        <v>24</v>
      </c>
      <c r="T12" s="3961"/>
      <c r="U12" s="3962"/>
    </row>
    <row r="13" spans="1:23" s="2432" customFormat="1" ht="34.5" customHeight="1">
      <c r="A13" s="2460" t="s">
        <v>606</v>
      </c>
      <c r="B13" s="2461" t="s">
        <v>609</v>
      </c>
      <c r="C13" s="2462" t="s">
        <v>607</v>
      </c>
      <c r="D13" s="2461" t="s">
        <v>611</v>
      </c>
      <c r="E13" s="2461" t="s">
        <v>635</v>
      </c>
      <c r="F13" s="2460" t="s">
        <v>608</v>
      </c>
      <c r="G13" s="2460" t="s">
        <v>609</v>
      </c>
      <c r="H13" s="2460" t="s">
        <v>610</v>
      </c>
      <c r="I13" s="2460" t="s">
        <v>611</v>
      </c>
      <c r="J13" s="2460" t="s">
        <v>635</v>
      </c>
      <c r="K13" s="2460" t="s">
        <v>692</v>
      </c>
      <c r="L13" s="2461" t="s">
        <v>636</v>
      </c>
      <c r="M13" s="2461" t="s">
        <v>637</v>
      </c>
      <c r="N13" s="2461" t="s">
        <v>1256</v>
      </c>
      <c r="O13" s="2461" t="s">
        <v>693</v>
      </c>
      <c r="P13" s="2461" t="s">
        <v>694</v>
      </c>
      <c r="Q13" s="2460" t="s">
        <v>1262</v>
      </c>
      <c r="R13" s="2460" t="s">
        <v>1257</v>
      </c>
      <c r="S13" s="2460" t="s">
        <v>1831</v>
      </c>
      <c r="T13" s="2460" t="s">
        <v>1832</v>
      </c>
      <c r="U13" s="2460" t="s">
        <v>698</v>
      </c>
      <c r="W13" s="2433">
        <v>20000</v>
      </c>
    </row>
    <row r="14" spans="1:23" s="1543" customFormat="1" ht="32.25" customHeight="1">
      <c r="A14" s="1547">
        <v>1</v>
      </c>
      <c r="B14" s="1548" t="s">
        <v>427</v>
      </c>
      <c r="C14" s="2047" t="str">
        <f>'Chấm công công nhân'!L13</f>
        <v>Vắt Đi</v>
      </c>
      <c r="D14" s="1549" t="e">
        <f>VLOOKUP(C14,'Mã số NV'!$B$6:$D$53,3,0)</f>
        <v>#N/A</v>
      </c>
      <c r="E14" s="1550" t="s">
        <v>40</v>
      </c>
      <c r="F14" s="1550"/>
      <c r="G14" s="1551">
        <f>VLOOKUP(C14,'Tong hop cong'!C13:R13,16,0)</f>
        <v>0</v>
      </c>
      <c r="H14" s="1552">
        <f>G14*25000</f>
        <v>0</v>
      </c>
      <c r="I14" s="1552">
        <f>+VLOOKUP(C14,'Tong hop cong'!C13:S13,17,0)</f>
        <v>3038</v>
      </c>
      <c r="J14" s="1553">
        <f>I14*$W$10/100</f>
        <v>1290.825378130088</v>
      </c>
      <c r="K14" s="1554" t="str">
        <f>VLOOKUP(C14,'Tong hop cong'!C13:AA13,25,0)</f>
        <v>A</v>
      </c>
      <c r="L14" s="1555">
        <f>IF(K14="A",(J14*(6.1*$E$9)),IF(K14="B",(J14*(5.8*$E$9)),IF(K14="C",(J14*(5.5*$E$9)),IF(K14="D",(J14*(5.2*$E$9)),0))))</f>
        <v>5165366.8331253603</v>
      </c>
      <c r="M14" s="1553">
        <f>+VLOOKUP(C14,'Tong hop cong'!C13:V13,20,0)</f>
        <v>19</v>
      </c>
      <c r="N14" s="1553">
        <f>+VLOOKUP(C14,'Tong hop cong'!C13:W13,21,0)</f>
        <v>3</v>
      </c>
      <c r="O14" s="1553">
        <f>+VLOOKUP(C14,'Tong hop cong'!C13:X13,22,0)</f>
        <v>7</v>
      </c>
      <c r="P14" s="1553">
        <f>+VLOOKUP(C14,'Tong hop cong'!C13:Y13,23,0)</f>
        <v>1</v>
      </c>
      <c r="Q14" s="1553">
        <f>VLOOKUP(C14,'BẢNG LƯƠNG KT'!$C$17:$Q$52,15,0)</f>
        <v>30</v>
      </c>
      <c r="R14" s="1553">
        <f>VLOOKUP(C14,'BẢNG LƯƠNG KT'!$C$17:$R$53,16,0)</f>
        <v>30</v>
      </c>
      <c r="S14" s="1555">
        <f>((M14*(46.1*$E$9))+(N14*(76.9*$E$9))+(O14*(76.8*$E$9))+(P14*(107.6*$E$9)))+Q14*$W$13+R14*$W$13</f>
        <v>2349180.8000000003</v>
      </c>
      <c r="T14" s="1555">
        <f>H14+L14+S14</f>
        <v>7514547.6331253611</v>
      </c>
      <c r="U14" s="1556">
        <f>T14</f>
        <v>7514547.6331253611</v>
      </c>
      <c r="W14" s="2995">
        <v>25000</v>
      </c>
    </row>
    <row r="15" spans="1:23" s="1543" customFormat="1" ht="32.25" customHeight="1">
      <c r="A15" s="1547">
        <v>2</v>
      </c>
      <c r="B15" s="1548" t="s">
        <v>425</v>
      </c>
      <c r="C15" s="2047" t="str">
        <f>'Chấm công công nhân'!L14</f>
        <v>T Ô Vên</v>
      </c>
      <c r="D15" s="1549" t="e">
        <f>VLOOKUP(C15,'Mã số NV'!$B$6:$D$53,3,0)</f>
        <v>#N/A</v>
      </c>
      <c r="E15" s="1550" t="s">
        <v>40</v>
      </c>
      <c r="F15" s="1550"/>
      <c r="G15" s="1551">
        <f>VLOOKUP(C15,'Tong hop cong'!C14:R14,16,0)</f>
        <v>0</v>
      </c>
      <c r="H15" s="1552">
        <f t="shared" ref="H15:H50" si="0">G15*25000</f>
        <v>0</v>
      </c>
      <c r="I15" s="1552">
        <f>+VLOOKUP(C15,'Tong hop cong'!C14:S14,17,0)</f>
        <v>2658</v>
      </c>
      <c r="J15" s="1553">
        <f t="shared" ref="J15:J50" si="1">I15*$W$10/100</f>
        <v>1129.3659825772793</v>
      </c>
      <c r="K15" s="1554" t="str">
        <f>VLOOKUP(C15,'Tong hop cong'!C14:AA14,25,0)</f>
        <v>B</v>
      </c>
      <c r="L15" s="1555">
        <f t="shared" ref="L15:L49" si="2">IF(K15="A",(J15*(6.1*$E$9)),IF(K15="B",(J15*(5.8*$E$9)),IF(K15="C",(J15*(5.5*$E$9)),IF(K15="D",(J15*(5.2*$E$9)),0))))</f>
        <v>4297011.6905100318</v>
      </c>
      <c r="M15" s="1553">
        <f>+VLOOKUP(C15,'Tong hop cong'!C14:V14,20,0)</f>
        <v>20</v>
      </c>
      <c r="N15" s="1553">
        <f>+VLOOKUP(C15,'Tong hop cong'!C14:W14,21,0)</f>
        <v>2</v>
      </c>
      <c r="O15" s="1553">
        <f>+VLOOKUP(C15,'Tong hop cong'!C14:X14,22,0)</f>
        <v>7</v>
      </c>
      <c r="P15" s="1553">
        <f>+VLOOKUP(C15,'Tong hop cong'!C14:Y14,23,0)</f>
        <v>2</v>
      </c>
      <c r="Q15" s="1553">
        <f>VLOOKUP(C15,'BẢNG LƯƠNG KT'!$C$17:$Q$52,15,0)</f>
        <v>31</v>
      </c>
      <c r="R15" s="1553">
        <f>VLOOKUP(C15,'BẢNG LƯƠNG KT'!$C$17:$R$53,16,0)</f>
        <v>31</v>
      </c>
      <c r="S15" s="1555">
        <f t="shared" ref="S15:S50" si="3">((M15*(46.1*$E$9))+(N15*(76.9*$E$9))+(O15*(76.8*$E$9))+(P15*(107.6*$E$9)))+Q15*$W$13+R15*$W$13</f>
        <v>2439561.5999999996</v>
      </c>
      <c r="T15" s="1555">
        <f t="shared" ref="T15:T50" si="4">H15+L15+S15</f>
        <v>6736573.2905100314</v>
      </c>
      <c r="U15" s="1556">
        <f t="shared" ref="U15:U50" si="5">T15</f>
        <v>6736573.2905100314</v>
      </c>
    </row>
    <row r="16" spans="1:23" s="1543" customFormat="1" ht="32.25" customHeight="1">
      <c r="A16" s="1547">
        <v>3</v>
      </c>
      <c r="B16" s="1548" t="s">
        <v>196</v>
      </c>
      <c r="C16" s="2047" t="str">
        <f>'Chấm công công nhân'!L15</f>
        <v>Nàng Túc</v>
      </c>
      <c r="D16" s="1549" t="e">
        <f>VLOOKUP(C16,'Mã số NV'!$B$6:$D$53,3,0)</f>
        <v>#N/A</v>
      </c>
      <c r="E16" s="1550" t="s">
        <v>40</v>
      </c>
      <c r="F16" s="1550"/>
      <c r="G16" s="1551">
        <f>VLOOKUP(C16,'Tong hop cong'!C15:R15,16,0)</f>
        <v>0</v>
      </c>
      <c r="H16" s="1552">
        <f t="shared" si="0"/>
        <v>0</v>
      </c>
      <c r="I16" s="1552">
        <f>+VLOOKUP(C16,'Tong hop cong'!C15:S15,17,0)</f>
        <v>2464</v>
      </c>
      <c r="J16" s="1553">
        <f t="shared" si="1"/>
        <v>1046.9367122161084</v>
      </c>
      <c r="K16" s="1554" t="str">
        <f>VLOOKUP(C16,'Tong hop cong'!C15:AA15,25,0)</f>
        <v>A</v>
      </c>
      <c r="L16" s="1555">
        <f t="shared" si="2"/>
        <v>4189421.9476039791</v>
      </c>
      <c r="M16" s="1553">
        <f>+VLOOKUP(C16,'Tong hop cong'!C15:V15,20,0)</f>
        <v>20</v>
      </c>
      <c r="N16" s="1553">
        <f>+VLOOKUP(C16,'Tong hop cong'!C15:W15,21,0)</f>
        <v>2</v>
      </c>
      <c r="O16" s="1553">
        <f>+VLOOKUP(C16,'Tong hop cong'!C15:X15,22,0)</f>
        <v>7</v>
      </c>
      <c r="P16" s="1553">
        <f>+VLOOKUP(C16,'Tong hop cong'!C15:Y15,23,0)</f>
        <v>2</v>
      </c>
      <c r="Q16" s="1553">
        <f>VLOOKUP(C16,'BẢNG LƯƠNG KT'!$C$17:$Q$52,15,0)</f>
        <v>31</v>
      </c>
      <c r="R16" s="1553">
        <f>VLOOKUP(C16,'BẢNG LƯƠNG KT'!$C$17:$R$53,16,0)</f>
        <v>31</v>
      </c>
      <c r="S16" s="1555">
        <f t="shared" si="3"/>
        <v>2439561.5999999996</v>
      </c>
      <c r="T16" s="1555">
        <f t="shared" si="4"/>
        <v>6628983.5476039788</v>
      </c>
      <c r="U16" s="1556">
        <f t="shared" si="5"/>
        <v>6628983.5476039788</v>
      </c>
    </row>
    <row r="17" spans="1:21" s="1543" customFormat="1" ht="32.25" customHeight="1">
      <c r="A17" s="1547">
        <v>4</v>
      </c>
      <c r="B17" s="1548"/>
      <c r="C17" s="2047" t="str">
        <f>'Chấm công công nhân'!L16</f>
        <v>Thảo Say</v>
      </c>
      <c r="D17" s="1549"/>
      <c r="E17" s="1550" t="s">
        <v>40</v>
      </c>
      <c r="F17" s="1550"/>
      <c r="G17" s="1551">
        <f>VLOOKUP(C17,'Tong hop cong'!C16:R16,16,0)</f>
        <v>0</v>
      </c>
      <c r="H17" s="1552">
        <f t="shared" si="0"/>
        <v>0</v>
      </c>
      <c r="I17" s="1552">
        <f>+VLOOKUP(C17,'Tong hop cong'!C16:S16,17,0)</f>
        <v>1481</v>
      </c>
      <c r="J17" s="1553">
        <f t="shared" si="1"/>
        <v>629.26674950976314</v>
      </c>
      <c r="K17" s="1554" t="str">
        <f>VLOOKUP(C17,'Tong hop cong'!C16:AA16,25,0)</f>
        <v>B</v>
      </c>
      <c r="L17" s="1555">
        <f t="shared" si="2"/>
        <v>2394234.1285347468</v>
      </c>
      <c r="M17" s="1553">
        <f>+VLOOKUP(C17,'Tong hop cong'!C16:V16,20,0)</f>
        <v>12</v>
      </c>
      <c r="N17" s="1553">
        <f>+VLOOKUP(C17,'Tong hop cong'!C16:W16,21,0)</f>
        <v>2</v>
      </c>
      <c r="O17" s="1553">
        <f>+VLOOKUP(C17,'Tong hop cong'!C16:X16,22,0)</f>
        <v>2</v>
      </c>
      <c r="P17" s="1553">
        <f>+VLOOKUP(C17,'Tong hop cong'!C16:Y16,23,0)</f>
        <v>2</v>
      </c>
      <c r="Q17" s="1553">
        <f>VLOOKUP(C17,'BẢNG LƯƠNG KT'!$C$17:$Q$52,15,0)</f>
        <v>18</v>
      </c>
      <c r="R17" s="1553">
        <f>VLOOKUP(C17,'BẢNG LƯƠNG KT'!$C$17:$R$53,16,0)</f>
        <v>18</v>
      </c>
      <c r="S17" s="1555">
        <f t="shared" si="3"/>
        <v>1425724.7999999998</v>
      </c>
      <c r="T17" s="1555">
        <f t="shared" si="4"/>
        <v>3819958.9285347466</v>
      </c>
      <c r="U17" s="1556">
        <f>T17</f>
        <v>3819958.9285347466</v>
      </c>
    </row>
    <row r="18" spans="1:21" s="1543" customFormat="1" ht="32.25" customHeight="1">
      <c r="A18" s="1547">
        <v>5</v>
      </c>
      <c r="B18" s="1548"/>
      <c r="C18" s="2047" t="str">
        <f>'Chấm công công nhân'!L17</f>
        <v>Thảo Pheng</v>
      </c>
      <c r="D18" s="1549"/>
      <c r="E18" s="1550" t="s">
        <v>40</v>
      </c>
      <c r="F18" s="1550"/>
      <c r="G18" s="1551">
        <f>VLOOKUP(C18,'Tong hop cong'!C17:R17,16,0)</f>
        <v>0</v>
      </c>
      <c r="H18" s="1552">
        <f t="shared" si="0"/>
        <v>0</v>
      </c>
      <c r="I18" s="1552">
        <f>+VLOOKUP(C18,'Tong hop cong'!C17:S17,17,0)</f>
        <v>2232</v>
      </c>
      <c r="J18" s="1553">
        <f t="shared" si="1"/>
        <v>948.36150229965654</v>
      </c>
      <c r="K18" s="1554" t="str">
        <f>VLOOKUP(C18,'Tong hop cong'!C17:AA17,25,0)</f>
        <v>C</v>
      </c>
      <c r="L18" s="1555">
        <f t="shared" si="2"/>
        <v>3421688.3002971606</v>
      </c>
      <c r="M18" s="1553">
        <f>+VLOOKUP(C18,'Tong hop cong'!C17:V17,20,0)</f>
        <v>12</v>
      </c>
      <c r="N18" s="1553">
        <f>+VLOOKUP(C18,'Tong hop cong'!C17:W17,21,0)</f>
        <v>2</v>
      </c>
      <c r="O18" s="1553">
        <f>+VLOOKUP(C18,'Tong hop cong'!C17:X17,22,0)</f>
        <v>12</v>
      </c>
      <c r="P18" s="1553">
        <f>+VLOOKUP(C18,'Tong hop cong'!C17:Y17,23,0)</f>
        <v>2</v>
      </c>
      <c r="Q18" s="1553">
        <f>VLOOKUP(C18,'BẢNG LƯƠNG KT'!$C$17:$Q$52,15,0)</f>
        <v>28</v>
      </c>
      <c r="R18" s="1553">
        <f>VLOOKUP(C18,'BẢNG LƯƠNG KT'!$C$17:$R$53,16,0)</f>
        <v>28</v>
      </c>
      <c r="S18" s="1555">
        <f t="shared" si="3"/>
        <v>2329532.7999999998</v>
      </c>
      <c r="T18" s="1555">
        <f t="shared" si="4"/>
        <v>5751221.1002971604</v>
      </c>
      <c r="U18" s="1556">
        <f t="shared" si="5"/>
        <v>5751221.1002971604</v>
      </c>
    </row>
    <row r="19" spans="1:21" s="1543" customFormat="1" ht="32.25" customHeight="1">
      <c r="A19" s="1547">
        <v>6</v>
      </c>
      <c r="B19" s="1548"/>
      <c r="C19" s="2047" t="str">
        <f>'Chấm công công nhân'!L18</f>
        <v>Nàng Chay</v>
      </c>
      <c r="D19" s="1549"/>
      <c r="E19" s="1550" t="s">
        <v>40</v>
      </c>
      <c r="F19" s="1550"/>
      <c r="G19" s="1551">
        <f>VLOOKUP(C19,'Tong hop cong'!C18:R18,16,0)</f>
        <v>0</v>
      </c>
      <c r="H19" s="1552">
        <f t="shared" si="0"/>
        <v>0</v>
      </c>
      <c r="I19" s="1552">
        <f>+VLOOKUP(C19,'Tong hop cong'!C18:S18,17,0)</f>
        <v>2469</v>
      </c>
      <c r="J19" s="1553">
        <f t="shared" si="1"/>
        <v>1049.0611779470664</v>
      </c>
      <c r="K19" s="1554" t="str">
        <f>VLOOKUP(C19,'Tong hop cong'!C18:AA18,25,0)</f>
        <v>B</v>
      </c>
      <c r="L19" s="1555">
        <f t="shared" si="2"/>
        <v>3991467.9698529979</v>
      </c>
      <c r="M19" s="1553">
        <f>+VLOOKUP(C19,'Tong hop cong'!C18:V18,20,0)</f>
        <v>13</v>
      </c>
      <c r="N19" s="1553">
        <f>+VLOOKUP(C19,'Tong hop cong'!C18:W18,21,0)</f>
        <v>2</v>
      </c>
      <c r="O19" s="1553">
        <f>+VLOOKUP(C19,'Tong hop cong'!C18:X18,22,0)</f>
        <v>14</v>
      </c>
      <c r="P19" s="1553">
        <f>+VLOOKUP(C19,'Tong hop cong'!C18:Y18,23,0)</f>
        <v>2</v>
      </c>
      <c r="Q19" s="1553">
        <f>VLOOKUP(C19,'BẢNG LƯƠNG KT'!$C$17:$Q$52,15,0)</f>
        <v>31</v>
      </c>
      <c r="R19" s="1553">
        <f>VLOOKUP(C19,'BẢNG LƯƠNG KT'!$C$17:$R$53,16,0)</f>
        <v>31</v>
      </c>
      <c r="S19" s="1555">
        <f t="shared" si="3"/>
        <v>2580536</v>
      </c>
      <c r="T19" s="1555">
        <f t="shared" si="4"/>
        <v>6572003.9698529979</v>
      </c>
      <c r="U19" s="1556">
        <f t="shared" si="5"/>
        <v>6572003.9698529979</v>
      </c>
    </row>
    <row r="20" spans="1:21" s="1543" customFormat="1" ht="32.25" customHeight="1">
      <c r="A20" s="1547">
        <v>7</v>
      </c>
      <c r="B20" s="1548"/>
      <c r="C20" s="2047" t="str">
        <f>'Chấm công công nhân'!L19</f>
        <v>Nàng Hđao</v>
      </c>
      <c r="D20" s="1549"/>
      <c r="E20" s="1550" t="s">
        <v>40</v>
      </c>
      <c r="F20" s="1550"/>
      <c r="G20" s="1551">
        <f>VLOOKUP(C20,'Tong hop cong'!C19:R19,16,0)</f>
        <v>0</v>
      </c>
      <c r="H20" s="1552">
        <f t="shared" si="0"/>
        <v>0</v>
      </c>
      <c r="I20" s="1552">
        <f>+VLOOKUP(C20,'Tong hop cong'!C19:S19,17,0)</f>
        <v>2109</v>
      </c>
      <c r="J20" s="1553">
        <f t="shared" si="1"/>
        <v>896.09964531808942</v>
      </c>
      <c r="K20" s="1554" t="str">
        <f>VLOOKUP(C20,'Tong hop cong'!C19:AA19,25,0)</f>
        <v>B</v>
      </c>
      <c r="L20" s="1555">
        <f t="shared" si="2"/>
        <v>3409479.9305062662</v>
      </c>
      <c r="M20" s="1553">
        <f>+VLOOKUP(C20,'Tong hop cong'!C19:V19,20,0)</f>
        <v>10</v>
      </c>
      <c r="N20" s="1553">
        <f>+VLOOKUP(C20,'Tong hop cong'!C19:W19,21,0)</f>
        <v>3</v>
      </c>
      <c r="O20" s="1553">
        <f>+VLOOKUP(C20,'Tong hop cong'!C19:X19,22,0)</f>
        <v>11</v>
      </c>
      <c r="P20" s="1553">
        <f>+VLOOKUP(C20,'Tong hop cong'!C19:Y19,23,0)</f>
        <v>1</v>
      </c>
      <c r="Q20" s="1553">
        <f>VLOOKUP(C20,'BẢNG LƯƠNG KT'!$C$17:$Q$52,15,0)</f>
        <v>25</v>
      </c>
      <c r="R20" s="1553">
        <f>VLOOKUP(C20,'BẢNG LƯƠNG KT'!$C$17:$R$53,16,0)</f>
        <v>25</v>
      </c>
      <c r="S20" s="1555">
        <f t="shared" si="3"/>
        <v>2078529.6</v>
      </c>
      <c r="T20" s="1555">
        <f t="shared" si="4"/>
        <v>5488009.5305062663</v>
      </c>
      <c r="U20" s="1556">
        <f t="shared" si="5"/>
        <v>5488009.5305062663</v>
      </c>
    </row>
    <row r="21" spans="1:21" s="1543" customFormat="1" ht="32.25" customHeight="1">
      <c r="A21" s="1547">
        <v>8</v>
      </c>
      <c r="B21" s="1548"/>
      <c r="C21" s="2047" t="str">
        <f>'Chấm công công nhân'!L20</f>
        <v xml:space="preserve">Thảo Ken </v>
      </c>
      <c r="D21" s="1549"/>
      <c r="E21" s="1550" t="s">
        <v>40</v>
      </c>
      <c r="F21" s="1550"/>
      <c r="G21" s="1551">
        <f>VLOOKUP(C21,'Tong hop cong'!C20:R20,16,0)</f>
        <v>0</v>
      </c>
      <c r="H21" s="1552">
        <f t="shared" si="0"/>
        <v>0</v>
      </c>
      <c r="I21" s="1552">
        <f>+VLOOKUP(C21,'Tong hop cong'!C20:S20,17,0)</f>
        <v>2481</v>
      </c>
      <c r="J21" s="1553">
        <f t="shared" si="1"/>
        <v>1054.1598957013657</v>
      </c>
      <c r="K21" s="1554" t="str">
        <f>VLOOKUP(C21,'Tong hop cong'!C20:AA20,25,0)</f>
        <v>A</v>
      </c>
      <c r="L21" s="1555">
        <f t="shared" si="2"/>
        <v>4218326.2386385845</v>
      </c>
      <c r="M21" s="1553">
        <f>+VLOOKUP(C21,'Tong hop cong'!C20:V20,20,0)</f>
        <v>13</v>
      </c>
      <c r="N21" s="1553">
        <f>+VLOOKUP(C21,'Tong hop cong'!C20:W20,21,0)</f>
        <v>3</v>
      </c>
      <c r="O21" s="1553">
        <f>+VLOOKUP(C21,'Tong hop cong'!C20:X20,22,0)</f>
        <v>14</v>
      </c>
      <c r="P21" s="1553">
        <f>+VLOOKUP(C21,'Tong hop cong'!C20:Y20,23,0)</f>
        <v>1</v>
      </c>
      <c r="Q21" s="1553">
        <f>VLOOKUP(C21,'BẢNG LƯƠNG KT'!$C$17:$Q$52,15,0)</f>
        <v>31</v>
      </c>
      <c r="R21" s="1553">
        <f>VLOOKUP(C21,'BẢNG LƯƠNG KT'!$C$17:$R$53,16,0)</f>
        <v>31</v>
      </c>
      <c r="S21" s="1555">
        <f t="shared" si="3"/>
        <v>2560396.7999999998</v>
      </c>
      <c r="T21" s="1555">
        <f t="shared" si="4"/>
        <v>6778723.0386385843</v>
      </c>
      <c r="U21" s="1556">
        <f t="shared" si="5"/>
        <v>6778723.0386385843</v>
      </c>
    </row>
    <row r="22" spans="1:21" s="1543" customFormat="1" ht="32.25" customHeight="1">
      <c r="A22" s="1547">
        <v>9</v>
      </c>
      <c r="B22" s="1548"/>
      <c r="C22" s="2047" t="str">
        <f>'Chấm công công nhân'!L21</f>
        <v>Thảo Cợt</v>
      </c>
      <c r="D22" s="1549"/>
      <c r="E22" s="1550" t="s">
        <v>40</v>
      </c>
      <c r="F22" s="1550"/>
      <c r="G22" s="1551">
        <f>VLOOKUP(C22,'Tong hop cong'!C21:R21,16,0)</f>
        <v>0</v>
      </c>
      <c r="H22" s="1552">
        <f t="shared" si="0"/>
        <v>0</v>
      </c>
      <c r="I22" s="1552">
        <f>+VLOOKUP(C22,'Tong hop cong'!C21:S21,17,0)</f>
        <v>2188</v>
      </c>
      <c r="J22" s="1553">
        <f t="shared" si="1"/>
        <v>929.66620386722605</v>
      </c>
      <c r="K22" s="1554" t="str">
        <f>VLOOKUP(C22,'Tong hop cong'!C21:AA21,25,0)</f>
        <v>B</v>
      </c>
      <c r="L22" s="1555">
        <f t="shared" si="2"/>
        <v>3537193.9724740214</v>
      </c>
      <c r="M22" s="1553">
        <f>+VLOOKUP(C22,'Tong hop cong'!C21:V21,20,0)</f>
        <v>8</v>
      </c>
      <c r="N22" s="1553">
        <f>+VLOOKUP(C22,'Tong hop cong'!C21:W21,21,0)</f>
        <v>2</v>
      </c>
      <c r="O22" s="1553">
        <f>+VLOOKUP(C22,'Tong hop cong'!C21:X21,22,0)</f>
        <v>12</v>
      </c>
      <c r="P22" s="1553">
        <f>+VLOOKUP(C22,'Tong hop cong'!C21:Y21,23,0)</f>
        <v>1</v>
      </c>
      <c r="Q22" s="1553">
        <f>VLOOKUP(C22,'BẢNG LƯƠNG KT'!$C$17:$Q$52,15,0)</f>
        <v>23</v>
      </c>
      <c r="R22" s="1553">
        <f>VLOOKUP(C22,'BẢNG LƯƠNG KT'!$C$17:$R$53,16,0)</f>
        <v>23</v>
      </c>
      <c r="S22" s="1555">
        <f t="shared" si="3"/>
        <v>1937980.7999999998</v>
      </c>
      <c r="T22" s="1555">
        <f t="shared" si="4"/>
        <v>5475174.7724740207</v>
      </c>
      <c r="U22" s="1556">
        <f t="shared" si="5"/>
        <v>5475174.7724740207</v>
      </c>
    </row>
    <row r="23" spans="1:21" s="1543" customFormat="1" ht="32.25" customHeight="1">
      <c r="A23" s="1547">
        <v>10</v>
      </c>
      <c r="B23" s="1548"/>
      <c r="C23" s="2047" t="str">
        <f>'Chấm công công nhân'!L22</f>
        <v>Thảo Mi</v>
      </c>
      <c r="D23" s="1549"/>
      <c r="E23" s="1550" t="s">
        <v>40</v>
      </c>
      <c r="F23" s="1550"/>
      <c r="G23" s="1551">
        <f>VLOOKUP(C23,'Tong hop cong'!C22:R22,16,0)</f>
        <v>0</v>
      </c>
      <c r="H23" s="1552">
        <f t="shared" si="0"/>
        <v>0</v>
      </c>
      <c r="I23" s="1552">
        <f>+VLOOKUP(C23,'Tong hop cong'!C22:S22,17,0)</f>
        <v>1470</v>
      </c>
      <c r="J23" s="1553">
        <f t="shared" si="1"/>
        <v>624.59292490165546</v>
      </c>
      <c r="K23" s="1554" t="str">
        <f>VLOOKUP(C23,'Tong hop cong'!C22:AA22,25,0)</f>
        <v>B</v>
      </c>
      <c r="L23" s="1555">
        <f t="shared" si="2"/>
        <v>2376451.1606658185</v>
      </c>
      <c r="M23" s="1553">
        <f>+VLOOKUP(C23,'Tong hop cong'!C22:V22,20,0)</f>
        <v>8</v>
      </c>
      <c r="N23" s="1553">
        <f>+VLOOKUP(C23,'Tong hop cong'!C22:W22,21,0)</f>
        <v>2</v>
      </c>
      <c r="O23" s="1553">
        <f>+VLOOKUP(C23,'Tong hop cong'!C22:X22,22,0)</f>
        <v>8</v>
      </c>
      <c r="P23" s="1553">
        <f>+VLOOKUP(C23,'Tong hop cong'!C22:Y22,23,0)</f>
        <v>1</v>
      </c>
      <c r="Q23" s="1553">
        <f>VLOOKUP(C23,'BẢNG LƯƠNG KT'!$C$17:$Q$52,15,0)</f>
        <v>19</v>
      </c>
      <c r="R23" s="1553">
        <f>VLOOKUP(C23,'BẢNG LƯƠNG KT'!$C$17:$R$53,16,0)</f>
        <v>19</v>
      </c>
      <c r="S23" s="1555">
        <f t="shared" si="3"/>
        <v>1576457.6</v>
      </c>
      <c r="T23" s="1555">
        <f t="shared" si="4"/>
        <v>3952908.7606658186</v>
      </c>
      <c r="U23" s="1556">
        <f t="shared" si="5"/>
        <v>3952908.7606658186</v>
      </c>
    </row>
    <row r="24" spans="1:21" s="1543" customFormat="1" ht="32.25" customHeight="1">
      <c r="A24" s="1547">
        <v>11</v>
      </c>
      <c r="B24" s="1548"/>
      <c r="C24" s="2047" t="str">
        <f>'Chấm công công nhân'!L23</f>
        <v>Thảo Phét</v>
      </c>
      <c r="D24" s="1549"/>
      <c r="E24" s="1550" t="s">
        <v>40</v>
      </c>
      <c r="F24" s="1550"/>
      <c r="G24" s="1551">
        <f>VLOOKUP(C24,'Tong hop cong'!C23:R23,16,0)</f>
        <v>0</v>
      </c>
      <c r="H24" s="1552">
        <f t="shared" si="0"/>
        <v>0</v>
      </c>
      <c r="I24" s="1552">
        <f>+VLOOKUP(C24,'Tong hop cong'!C23:S23,17,0)</f>
        <v>2210</v>
      </c>
      <c r="J24" s="1553">
        <f t="shared" si="1"/>
        <v>939.0138530834414</v>
      </c>
      <c r="K24" s="1554" t="str">
        <f>VLOOKUP(C24,'Tong hop cong'!C23:AA23,25,0)</f>
        <v>A</v>
      </c>
      <c r="L24" s="1555">
        <f t="shared" si="2"/>
        <v>3757557.8344986988</v>
      </c>
      <c r="M24" s="1553">
        <f>+VLOOKUP(C24,'Tong hop cong'!C23:V23,20,0)</f>
        <v>25</v>
      </c>
      <c r="N24" s="1553">
        <f>+VLOOKUP(C24,'Tong hop cong'!C23:W23,21,0)</f>
        <v>3</v>
      </c>
      <c r="O24" s="1553">
        <f>+VLOOKUP(C24,'Tong hop cong'!C23:X23,22,0)</f>
        <v>0</v>
      </c>
      <c r="P24" s="1553">
        <f>+VLOOKUP(C24,'Tong hop cong'!C23:Y23,23,0)</f>
        <v>0</v>
      </c>
      <c r="Q24" s="1553">
        <f>VLOOKUP(C24,'BẢNG LƯƠNG KT'!$C$17:$Q$52,15,0)</f>
        <v>28</v>
      </c>
      <c r="R24" s="1553">
        <f>VLOOKUP(C24,'BẢNG LƯƠNG KT'!$C$17:$R$53,16,0)</f>
        <v>28</v>
      </c>
      <c r="S24" s="1555">
        <f t="shared" si="3"/>
        <v>2027379.2</v>
      </c>
      <c r="T24" s="1555">
        <f t="shared" si="4"/>
        <v>5784937.034498699</v>
      </c>
      <c r="U24" s="1556">
        <f t="shared" si="5"/>
        <v>5784937.034498699</v>
      </c>
    </row>
    <row r="25" spans="1:21" s="1543" customFormat="1" ht="32.25" customHeight="1">
      <c r="A25" s="1547">
        <v>12</v>
      </c>
      <c r="B25" s="1548"/>
      <c r="C25" s="2047" t="str">
        <f>'Chấm công công nhân'!L24</f>
        <v>Thảo Hăm</v>
      </c>
      <c r="D25" s="1549"/>
      <c r="E25" s="1550" t="s">
        <v>40</v>
      </c>
      <c r="F25" s="1550"/>
      <c r="G25" s="1551">
        <f>VLOOKUP(C25,'Tong hop cong'!C24:R24,16,0)</f>
        <v>0</v>
      </c>
      <c r="H25" s="1552">
        <f t="shared" si="0"/>
        <v>0</v>
      </c>
      <c r="I25" s="1552">
        <f>+VLOOKUP(C25,'Tong hop cong'!C24:S24,17,0)</f>
        <v>2555</v>
      </c>
      <c r="J25" s="1553">
        <f t="shared" si="1"/>
        <v>1085.6019885195442</v>
      </c>
      <c r="K25" s="1554" t="str">
        <f>VLOOKUP(C25,'Tong hop cong'!C24:AA24,25,0)</f>
        <v>A</v>
      </c>
      <c r="L25" s="1555">
        <f t="shared" si="2"/>
        <v>4344144.9172598077</v>
      </c>
      <c r="M25" s="1553">
        <f>+VLOOKUP(C25,'Tong hop cong'!C24:V24,20,0)</f>
        <v>24</v>
      </c>
      <c r="N25" s="1553">
        <f>+VLOOKUP(C25,'Tong hop cong'!C24:W24,21,0)</f>
        <v>4</v>
      </c>
      <c r="O25" s="1553">
        <f>+VLOOKUP(C25,'Tong hop cong'!C24:X24,22,0)</f>
        <v>0</v>
      </c>
      <c r="P25" s="1553">
        <f>+VLOOKUP(C25,'Tong hop cong'!C24:Y24,23,0)</f>
        <v>0</v>
      </c>
      <c r="Q25" s="1553">
        <f>VLOOKUP(C25,'BẢNG LƯƠNG KT'!$C$17:$Q$52,15,0)</f>
        <v>28</v>
      </c>
      <c r="R25" s="1553">
        <f>VLOOKUP(C25,'BẢNG LƯƠNG KT'!$C$17:$R$53,16,0)</f>
        <v>28</v>
      </c>
      <c r="S25" s="1555">
        <f t="shared" si="3"/>
        <v>2047584</v>
      </c>
      <c r="T25" s="1555">
        <f t="shared" si="4"/>
        <v>6391728.9172598077</v>
      </c>
      <c r="U25" s="1556">
        <f t="shared" si="5"/>
        <v>6391728.9172598077</v>
      </c>
    </row>
    <row r="26" spans="1:21" s="1543" customFormat="1" ht="32.25" customHeight="1">
      <c r="A26" s="1547">
        <v>13</v>
      </c>
      <c r="B26" s="1548"/>
      <c r="C26" s="2047" t="str">
        <f>'Chấm công công nhân'!L25</f>
        <v>Nang Lon</v>
      </c>
      <c r="D26" s="1549"/>
      <c r="E26" s="1550" t="s">
        <v>40</v>
      </c>
      <c r="F26" s="1550"/>
      <c r="G26" s="1551">
        <f>VLOOKUP(C26,'Tong hop cong'!C25:R25,16,0)</f>
        <v>0</v>
      </c>
      <c r="H26" s="1552">
        <f t="shared" si="0"/>
        <v>0</v>
      </c>
      <c r="I26" s="1552">
        <f>+VLOOKUP(C26,'Tong hop cong'!C25:S25,17,0)</f>
        <v>2558</v>
      </c>
      <c r="J26" s="1553">
        <f t="shared" si="1"/>
        <v>1086.876667958119</v>
      </c>
      <c r="K26" s="1554" t="str">
        <f>VLOOKUP(C26,'Tong hop cong'!C25:AA25,25,0)</f>
        <v>A</v>
      </c>
      <c r="L26" s="1555">
        <f t="shared" si="2"/>
        <v>4349245.6745012086</v>
      </c>
      <c r="M26" s="1553">
        <f>+VLOOKUP(C26,'Tong hop cong'!C25:V25,20,0)</f>
        <v>25</v>
      </c>
      <c r="N26" s="1553">
        <f>+VLOOKUP(C26,'Tong hop cong'!C25:W25,21,0)</f>
        <v>4</v>
      </c>
      <c r="O26" s="1553">
        <f>+VLOOKUP(C26,'Tong hop cong'!C25:X25,22,0)</f>
        <v>0</v>
      </c>
      <c r="P26" s="1553">
        <f>+VLOOKUP(C26,'Tong hop cong'!C25:Y25,23,0)</f>
        <v>0</v>
      </c>
      <c r="Q26" s="1553">
        <f>VLOOKUP(C26,'BẢNG LƯƠNG KT'!$C$17:$Q$52,15,0)</f>
        <v>29</v>
      </c>
      <c r="R26" s="1553">
        <f>VLOOKUP(C26,'BẢNG LƯƠNG KT'!$C$17:$R$53,16,0)</f>
        <v>29</v>
      </c>
      <c r="S26" s="1555">
        <f t="shared" si="3"/>
        <v>2117825.6</v>
      </c>
      <c r="T26" s="1555">
        <f t="shared" si="4"/>
        <v>6467071.2745012082</v>
      </c>
      <c r="U26" s="1556">
        <f t="shared" si="5"/>
        <v>6467071.2745012082</v>
      </c>
    </row>
    <row r="27" spans="1:21" s="1543" customFormat="1" ht="32.25" customHeight="1">
      <c r="A27" s="1547">
        <v>14</v>
      </c>
      <c r="B27" s="1548" t="s">
        <v>431</v>
      </c>
      <c r="C27" s="2047" t="str">
        <f>'Chấm công công nhân'!L26</f>
        <v>Thảo Phết</v>
      </c>
      <c r="D27" s="1549" t="e">
        <f>VLOOKUP(C27,'Mã số NV'!$B$6:$D$53,3,0)</f>
        <v>#N/A</v>
      </c>
      <c r="E27" s="1550" t="s">
        <v>40</v>
      </c>
      <c r="F27" s="1550"/>
      <c r="G27" s="1551">
        <f>VLOOKUP(C27,'Tong hop cong'!C26:R26,16,0)</f>
        <v>0</v>
      </c>
      <c r="H27" s="1552">
        <f t="shared" si="0"/>
        <v>0</v>
      </c>
      <c r="I27" s="1552">
        <f>+VLOOKUP(C27,'Tong hop cong'!C26:S26,17,0)</f>
        <v>2451</v>
      </c>
      <c r="J27" s="1553">
        <f t="shared" si="1"/>
        <v>1041.4131013156175</v>
      </c>
      <c r="K27" s="1554" t="str">
        <f>VLOOKUP(C27,'Tong hop cong'!C26:AA26,25,0)</f>
        <v>B</v>
      </c>
      <c r="L27" s="1555">
        <f t="shared" si="2"/>
        <v>3962368.567885661</v>
      </c>
      <c r="M27" s="1553">
        <f>+VLOOKUP(C27,'Tong hop cong'!C26:V26,20,0)</f>
        <v>20</v>
      </c>
      <c r="N27" s="1553">
        <f>+VLOOKUP(C27,'Tong hop cong'!C26:W26,21,0)</f>
        <v>3</v>
      </c>
      <c r="O27" s="1553">
        <f>+VLOOKUP(C27,'Tong hop cong'!C26:X26,22,0)</f>
        <v>0</v>
      </c>
      <c r="P27" s="1553">
        <f>+VLOOKUP(C27,'Tong hop cong'!C26:Y26,23,0)</f>
        <v>0</v>
      </c>
      <c r="Q27" s="1553">
        <f>VLOOKUP(C27,'BẢNG LƯƠNG KT'!$C$17:$Q$52,15,0)</f>
        <v>23</v>
      </c>
      <c r="R27" s="1553">
        <f>VLOOKUP(C27,'BẢNG LƯƠNG KT'!$C$17:$R$53,16,0)</f>
        <v>23</v>
      </c>
      <c r="S27" s="1555">
        <f t="shared" si="3"/>
        <v>1676171.2</v>
      </c>
      <c r="T27" s="1555">
        <f t="shared" si="4"/>
        <v>5638539.7678856608</v>
      </c>
      <c r="U27" s="1556">
        <f t="shared" si="5"/>
        <v>5638539.7678856608</v>
      </c>
    </row>
    <row r="28" spans="1:21" s="1543" customFormat="1" ht="32.25" customHeight="1">
      <c r="A28" s="1547">
        <v>15</v>
      </c>
      <c r="B28" s="1557" t="s">
        <v>434</v>
      </c>
      <c r="C28" s="2047" t="str">
        <f>'Chấm công công nhân'!L27</f>
        <v>Vĩ Lay</v>
      </c>
      <c r="D28" s="1549" t="e">
        <f>VLOOKUP(C28,'Mã số NV'!$B$6:$D$53,3,0)</f>
        <v>#N/A</v>
      </c>
      <c r="E28" s="1550" t="s">
        <v>40</v>
      </c>
      <c r="F28" s="1550"/>
      <c r="G28" s="1551">
        <f>VLOOKUP(C28,'Tong hop cong'!C27:R27,16,0)</f>
        <v>0</v>
      </c>
      <c r="H28" s="1552">
        <f t="shared" si="0"/>
        <v>0</v>
      </c>
      <c r="I28" s="1552">
        <f>+VLOOKUP(C28,'Tong hop cong'!C27:S27,17,0)</f>
        <v>3176</v>
      </c>
      <c r="J28" s="1553">
        <f t="shared" si="1"/>
        <v>1349.4606323045291</v>
      </c>
      <c r="K28" s="1554" t="str">
        <f>VLOOKUP(C28,'Tong hop cong'!C27:AA27,25,0)</f>
        <v>A</v>
      </c>
      <c r="L28" s="1555">
        <f t="shared" si="2"/>
        <v>5400001.6662298031</v>
      </c>
      <c r="M28" s="1553">
        <f>+VLOOKUP(C28,'Tong hop cong'!C27:V27,20,0)</f>
        <v>27</v>
      </c>
      <c r="N28" s="1553">
        <f>+VLOOKUP(C28,'Tong hop cong'!C27:W27,21,0)</f>
        <v>4</v>
      </c>
      <c r="O28" s="1553">
        <f>+VLOOKUP(C28,'Tong hop cong'!C27:X27,22,0)</f>
        <v>0</v>
      </c>
      <c r="P28" s="1553">
        <f>+VLOOKUP(C28,'Tong hop cong'!C27:Y27,23,0)</f>
        <v>0</v>
      </c>
      <c r="Q28" s="1553">
        <f>VLOOKUP(C28,'BẢNG LƯƠNG KT'!$C$17:$Q$52,15,0)</f>
        <v>31</v>
      </c>
      <c r="R28" s="1553">
        <f>VLOOKUP(C28,'BẢNG LƯƠNG KT'!$C$17:$R$53,16,0)</f>
        <v>31</v>
      </c>
      <c r="S28" s="1555">
        <f t="shared" si="3"/>
        <v>2258308.7999999998</v>
      </c>
      <c r="T28" s="1555">
        <f t="shared" si="4"/>
        <v>7658310.4662298029</v>
      </c>
      <c r="U28" s="1556">
        <f t="shared" si="5"/>
        <v>7658310.4662298029</v>
      </c>
    </row>
    <row r="29" spans="1:21" s="1543" customFormat="1" ht="32.25" customHeight="1">
      <c r="A29" s="1547">
        <v>16</v>
      </c>
      <c r="B29" s="1557" t="s">
        <v>422</v>
      </c>
      <c r="C29" s="2047" t="str">
        <f>'Chấm công công nhân'!L28</f>
        <v>Pha Xúc</v>
      </c>
      <c r="D29" s="1549" t="e">
        <f>VLOOKUP(C29,'Mã số NV'!$B$6:$D$53,3,0)</f>
        <v>#N/A</v>
      </c>
      <c r="E29" s="1550" t="s">
        <v>40</v>
      </c>
      <c r="F29" s="1550"/>
      <c r="G29" s="1551">
        <f>VLOOKUP(C29,'Tong hop cong'!C28:R28,16,0)</f>
        <v>0</v>
      </c>
      <c r="H29" s="1552">
        <f t="shared" si="0"/>
        <v>0</v>
      </c>
      <c r="I29" s="1552">
        <f>+VLOOKUP(C29,'Tong hop cong'!C28:S28,17,0)</f>
        <v>2308</v>
      </c>
      <c r="J29" s="1553">
        <f t="shared" si="1"/>
        <v>980.65338141021823</v>
      </c>
      <c r="K29" s="1554" t="str">
        <f>VLOOKUP(C29,'Tong hop cong'!C28:AA28,25,0)</f>
        <v>A</v>
      </c>
      <c r="L29" s="1555">
        <f t="shared" si="2"/>
        <v>3924182.5710511291</v>
      </c>
      <c r="M29" s="1553">
        <f>+VLOOKUP(C29,'Tong hop cong'!C28:V28,20,0)</f>
        <v>26</v>
      </c>
      <c r="N29" s="1553">
        <f>+VLOOKUP(C29,'Tong hop cong'!C28:W28,21,0)</f>
        <v>3</v>
      </c>
      <c r="O29" s="1553">
        <f>+VLOOKUP(C29,'Tong hop cong'!C28:X28,22,0)</f>
        <v>0</v>
      </c>
      <c r="P29" s="1553">
        <f>+VLOOKUP(C29,'Tong hop cong'!C28:Y28,23,0)</f>
        <v>0</v>
      </c>
      <c r="Q29" s="1553">
        <f>VLOOKUP(C29,'BẢNG LƯƠNG KT'!$C$17:$Q$52,15,0)</f>
        <v>29</v>
      </c>
      <c r="R29" s="1553">
        <f>VLOOKUP(C29,'BẢNG LƯƠNG KT'!$C$17:$R$53,16,0)</f>
        <v>29</v>
      </c>
      <c r="S29" s="1555">
        <f t="shared" si="3"/>
        <v>2097620.7999999998</v>
      </c>
      <c r="T29" s="1555">
        <f t="shared" si="4"/>
        <v>6021803.371051129</v>
      </c>
      <c r="U29" s="1556">
        <f t="shared" si="5"/>
        <v>6021803.371051129</v>
      </c>
    </row>
    <row r="30" spans="1:21" s="1543" customFormat="1" ht="32.25" customHeight="1">
      <c r="A30" s="1547">
        <v>17</v>
      </c>
      <c r="B30" s="1557" t="s">
        <v>458</v>
      </c>
      <c r="C30" s="2047" t="str">
        <f>'Chấm công công nhân'!L29</f>
        <v>Nàng Đao</v>
      </c>
      <c r="D30" s="1549" t="e">
        <f>VLOOKUP(C30,'Mã số NV'!$B$6:$D$53,3,0)</f>
        <v>#N/A</v>
      </c>
      <c r="E30" s="1550" t="s">
        <v>40</v>
      </c>
      <c r="F30" s="1550"/>
      <c r="G30" s="1551">
        <f>VLOOKUP(C30,'Tong hop cong'!C29:R29,16,0)</f>
        <v>0</v>
      </c>
      <c r="H30" s="1552">
        <f t="shared" si="0"/>
        <v>0</v>
      </c>
      <c r="I30" s="1552">
        <f>+VLOOKUP(C30,'Tong hop cong'!C29:S29,17,0)</f>
        <v>2310</v>
      </c>
      <c r="J30" s="1553">
        <f t="shared" si="1"/>
        <v>981.50316770260144</v>
      </c>
      <c r="K30" s="1554" t="str">
        <f>VLOOKUP(C30,'Tong hop cong'!C29:AA29,25,0)</f>
        <v>B</v>
      </c>
      <c r="L30" s="1555">
        <f t="shared" si="2"/>
        <v>3734423.2524748575</v>
      </c>
      <c r="M30" s="1553">
        <f>+VLOOKUP(C30,'Tong hop cong'!C29:V29,20,0)</f>
        <v>26</v>
      </c>
      <c r="N30" s="1553">
        <f>+VLOOKUP(C30,'Tong hop cong'!C29:W29,21,0)</f>
        <v>4</v>
      </c>
      <c r="O30" s="1553">
        <f>+VLOOKUP(C30,'Tong hop cong'!C29:X29,22,0)</f>
        <v>0</v>
      </c>
      <c r="P30" s="1553">
        <f>+VLOOKUP(C30,'Tong hop cong'!C29:Y29,23,0)</f>
        <v>0</v>
      </c>
      <c r="Q30" s="1553">
        <f>VLOOKUP(C30,'BẢNG LƯƠNG KT'!$C$17:$Q$52,15,0)</f>
        <v>30</v>
      </c>
      <c r="R30" s="1553">
        <f>VLOOKUP(C30,'BẢNG LƯƠNG KT'!$C$17:$R$53,16,0)</f>
        <v>30</v>
      </c>
      <c r="S30" s="1555">
        <f t="shared" si="3"/>
        <v>2188067.2000000002</v>
      </c>
      <c r="T30" s="1555">
        <f t="shared" si="4"/>
        <v>5922490.4524748577</v>
      </c>
      <c r="U30" s="1556">
        <f t="shared" si="5"/>
        <v>5922490.4524748577</v>
      </c>
    </row>
    <row r="31" spans="1:21" s="1543" customFormat="1" ht="32.25" customHeight="1">
      <c r="A31" s="1547">
        <v>18</v>
      </c>
      <c r="B31" s="1557" t="s">
        <v>460</v>
      </c>
      <c r="C31" s="2047" t="str">
        <f>'Chấm công công nhân'!L30</f>
        <v>Nàng Kiên</v>
      </c>
      <c r="D31" s="1549" t="e">
        <f>VLOOKUP(C31,'Mã số NV'!$B$6:$D$53,3,0)</f>
        <v>#N/A</v>
      </c>
      <c r="E31" s="1550" t="s">
        <v>40</v>
      </c>
      <c r="F31" s="1550"/>
      <c r="G31" s="1551">
        <f>VLOOKUP(C31,'Tong hop cong'!C30:R30,16,0)</f>
        <v>0</v>
      </c>
      <c r="H31" s="1552">
        <f t="shared" si="0"/>
        <v>0</v>
      </c>
      <c r="I31" s="1552">
        <f>+VLOOKUP(C31,'Tong hop cong'!C30:S30,17,0)</f>
        <v>2129</v>
      </c>
      <c r="J31" s="1553">
        <f t="shared" si="1"/>
        <v>904.59750824192145</v>
      </c>
      <c r="K31" s="1554" t="str">
        <f>VLOOKUP(C31,'Tong hop cong'!C30:AA30,25,0)</f>
        <v>A</v>
      </c>
      <c r="L31" s="1555">
        <f t="shared" si="2"/>
        <v>3619837.3889808729</v>
      </c>
      <c r="M31" s="1553">
        <f>+VLOOKUP(C31,'Tong hop cong'!C30:V30,20,0)</f>
        <v>25</v>
      </c>
      <c r="N31" s="1553">
        <f>+VLOOKUP(C31,'Tong hop cong'!C30:W30,21,0)</f>
        <v>4</v>
      </c>
      <c r="O31" s="1553">
        <f>+VLOOKUP(C31,'Tong hop cong'!C30:X30,22,0)</f>
        <v>0</v>
      </c>
      <c r="P31" s="1553">
        <f>+VLOOKUP(C31,'Tong hop cong'!C30:Y30,23,0)</f>
        <v>0</v>
      </c>
      <c r="Q31" s="1553">
        <f>VLOOKUP(C31,'BẢNG LƯƠNG KT'!$C$17:$Q$52,15,0)</f>
        <v>29</v>
      </c>
      <c r="R31" s="1553">
        <f>VLOOKUP(C31,'BẢNG LƯƠNG KT'!$C$17:$R$53,16,0)</f>
        <v>29</v>
      </c>
      <c r="S31" s="1555">
        <f t="shared" si="3"/>
        <v>2117825.6</v>
      </c>
      <c r="T31" s="1555">
        <f t="shared" si="4"/>
        <v>5737662.9889808726</v>
      </c>
      <c r="U31" s="1556">
        <f t="shared" si="5"/>
        <v>5737662.9889808726</v>
      </c>
    </row>
    <row r="32" spans="1:21" s="1543" customFormat="1" ht="32.25" customHeight="1">
      <c r="A32" s="1547">
        <v>19</v>
      </c>
      <c r="B32" s="1557" t="s">
        <v>462</v>
      </c>
      <c r="C32" s="2047" t="str">
        <f>'Chấm công công nhân'!L31</f>
        <v>Nàng Túc 2</v>
      </c>
      <c r="D32" s="1549" t="e">
        <f>VLOOKUP(C32,'Mã số NV'!$B$6:$D$53,3,0)</f>
        <v>#N/A</v>
      </c>
      <c r="E32" s="1550" t="s">
        <v>40</v>
      </c>
      <c r="F32" s="1550"/>
      <c r="G32" s="1551">
        <f>VLOOKUP(C32,'Tong hop cong'!C31:R31,16,0)</f>
        <v>0</v>
      </c>
      <c r="H32" s="1552">
        <f t="shared" si="0"/>
        <v>0</v>
      </c>
      <c r="I32" s="1552">
        <f>+VLOOKUP(C32,'Tong hop cong'!C31:S31,17,0)</f>
        <v>2312</v>
      </c>
      <c r="J32" s="1553">
        <f t="shared" si="1"/>
        <v>982.35295399498466</v>
      </c>
      <c r="K32" s="1554" t="str">
        <f>VLOOKUP(C32,'Tong hop cong'!C31:AA31,25,0)</f>
        <v>B</v>
      </c>
      <c r="L32" s="1555">
        <f t="shared" si="2"/>
        <v>3737656.5193601171</v>
      </c>
      <c r="M32" s="1553">
        <f>+VLOOKUP(C32,'Tong hop cong'!C31:V31,20,0)</f>
        <v>26</v>
      </c>
      <c r="N32" s="1553">
        <f>+VLOOKUP(C32,'Tong hop cong'!C31:W31,21,0)</f>
        <v>3</v>
      </c>
      <c r="O32" s="1553">
        <f>+VLOOKUP(C32,'Tong hop cong'!C31:X31,22,0)</f>
        <v>0</v>
      </c>
      <c r="P32" s="1553">
        <f>+VLOOKUP(C32,'Tong hop cong'!C31:Y31,23,0)</f>
        <v>0</v>
      </c>
      <c r="Q32" s="1553">
        <f>VLOOKUP(C32,'BẢNG LƯƠNG KT'!$C$17:$Q$52,15,0)</f>
        <v>29</v>
      </c>
      <c r="R32" s="1553">
        <f>VLOOKUP(C32,'BẢNG LƯƠNG KT'!$C$17:$R$53,16,0)</f>
        <v>29</v>
      </c>
      <c r="S32" s="1555">
        <f t="shared" si="3"/>
        <v>2097620.7999999998</v>
      </c>
      <c r="T32" s="1555">
        <f t="shared" si="4"/>
        <v>5835277.3193601165</v>
      </c>
      <c r="U32" s="1556">
        <f t="shared" si="5"/>
        <v>5835277.3193601165</v>
      </c>
    </row>
    <row r="33" spans="1:21" s="1543" customFormat="1" ht="32.25" customHeight="1">
      <c r="A33" s="1547">
        <v>20</v>
      </c>
      <c r="B33" s="1558" t="s">
        <v>467</v>
      </c>
      <c r="C33" s="2047" t="str">
        <f>'Chấm công công nhân'!L32</f>
        <v>Nàng Phon</v>
      </c>
      <c r="D33" s="1549" t="e">
        <f>VLOOKUP(C33,'Mã số NV'!$B$6:$D$53,3,0)</f>
        <v>#N/A</v>
      </c>
      <c r="E33" s="1550" t="s">
        <v>40</v>
      </c>
      <c r="F33" s="1550"/>
      <c r="G33" s="1551">
        <f>VLOOKUP(C33,'Tong hop cong'!C32:R32,16,0)</f>
        <v>0</v>
      </c>
      <c r="H33" s="1552">
        <f t="shared" si="0"/>
        <v>0</v>
      </c>
      <c r="I33" s="1552">
        <f>+VLOOKUP(C33,'Tong hop cong'!C32:S32,17,0)</f>
        <v>2186</v>
      </c>
      <c r="J33" s="1553">
        <f t="shared" si="1"/>
        <v>928.81641757484283</v>
      </c>
      <c r="K33" s="1554" t="str">
        <f>VLOOKUP(C33,'Tong hop cong'!C32:AA32,25,0)</f>
        <v>C</v>
      </c>
      <c r="L33" s="1555">
        <f t="shared" si="2"/>
        <v>3351169.6346100331</v>
      </c>
      <c r="M33" s="1553">
        <f>+VLOOKUP(C33,'Tong hop cong'!C32:V32,20,0)</f>
        <v>18</v>
      </c>
      <c r="N33" s="1553">
        <f>+VLOOKUP(C33,'Tong hop cong'!C32:W32,21,0)</f>
        <v>3</v>
      </c>
      <c r="O33" s="1553">
        <f>+VLOOKUP(C33,'Tong hop cong'!C32:X32,22,0)</f>
        <v>7</v>
      </c>
      <c r="P33" s="1553">
        <f>+VLOOKUP(C33,'Tong hop cong'!C32:Y32,23,0)</f>
        <v>1</v>
      </c>
      <c r="Q33" s="1553">
        <f>VLOOKUP(C33,'BẢNG LƯƠNG KT'!$C$17:$Q$52,15,0)</f>
        <v>29</v>
      </c>
      <c r="R33" s="1553">
        <f>VLOOKUP(C33,'BẢNG LƯƠNG KT'!$C$17:$R$53,16,0)</f>
        <v>29</v>
      </c>
      <c r="S33" s="1555">
        <f t="shared" si="3"/>
        <v>2278939.2000000002</v>
      </c>
      <c r="T33" s="1555">
        <f t="shared" si="4"/>
        <v>5630108.8346100338</v>
      </c>
      <c r="U33" s="1556">
        <f t="shared" si="5"/>
        <v>5630108.8346100338</v>
      </c>
    </row>
    <row r="34" spans="1:21" s="1543" customFormat="1" ht="32.25" customHeight="1">
      <c r="A34" s="1547">
        <v>21</v>
      </c>
      <c r="B34" s="1559" t="s">
        <v>486</v>
      </c>
      <c r="C34" s="2047" t="str">
        <f>'Chấm công công nhân'!L33</f>
        <v>Thảo Chòi</v>
      </c>
      <c r="D34" s="1549" t="e">
        <f>VLOOKUP(C34,'Mã số NV'!$B$6:$D$53,3,0)</f>
        <v>#N/A</v>
      </c>
      <c r="E34" s="1550" t="s">
        <v>40</v>
      </c>
      <c r="F34" s="1550"/>
      <c r="G34" s="1551">
        <f>VLOOKUP(C34,'Tong hop cong'!C33:R33,16,0)</f>
        <v>0</v>
      </c>
      <c r="H34" s="1552">
        <f t="shared" si="0"/>
        <v>0</v>
      </c>
      <c r="I34" s="1552">
        <f>+VLOOKUP(C34,'Tong hop cong'!C33:S33,17,0)</f>
        <v>2423</v>
      </c>
      <c r="J34" s="1553">
        <f t="shared" si="1"/>
        <v>1029.5160932222527</v>
      </c>
      <c r="K34" s="1554" t="str">
        <f>VLOOKUP(C34,'Tong hop cong'!C33:AA33,25,0)</f>
        <v>A</v>
      </c>
      <c r="L34" s="1555">
        <f t="shared" si="2"/>
        <v>4119711.5986381662</v>
      </c>
      <c r="M34" s="1553">
        <f>+VLOOKUP(C34,'Tong hop cong'!C33:V33,20,0)</f>
        <v>19</v>
      </c>
      <c r="N34" s="1553">
        <f>+VLOOKUP(C34,'Tong hop cong'!C33:W33,21,0)</f>
        <v>3</v>
      </c>
      <c r="O34" s="1553">
        <f>+VLOOKUP(C34,'Tong hop cong'!C33:X33,22,0)</f>
        <v>7</v>
      </c>
      <c r="P34" s="1553">
        <f>+VLOOKUP(C34,'Tong hop cong'!C33:Y33,23,0)</f>
        <v>1</v>
      </c>
      <c r="Q34" s="1553">
        <f>VLOOKUP(C34,'BẢNG LƯƠNG KT'!$C$17:$Q$52,15,0)</f>
        <v>30</v>
      </c>
      <c r="R34" s="1553">
        <f>VLOOKUP(C34,'BẢNG LƯƠNG KT'!$C$17:$R$53,16,0)</f>
        <v>30</v>
      </c>
      <c r="S34" s="1555">
        <f t="shared" si="3"/>
        <v>2349180.8000000003</v>
      </c>
      <c r="T34" s="1555">
        <f t="shared" si="4"/>
        <v>6468892.3986381665</v>
      </c>
      <c r="U34" s="1556">
        <f t="shared" si="5"/>
        <v>6468892.3986381665</v>
      </c>
    </row>
    <row r="35" spans="1:21" s="1543" customFormat="1" ht="32.25" customHeight="1">
      <c r="A35" s="1547">
        <v>22</v>
      </c>
      <c r="B35" s="1559" t="s">
        <v>488</v>
      </c>
      <c r="C35" s="2047" t="str">
        <f>'Chấm công công nhân'!L34</f>
        <v>Thong La</v>
      </c>
      <c r="D35" s="1549" t="e">
        <f>VLOOKUP(C35,'Mã số NV'!$B$6:$D$53,3,0)</f>
        <v>#N/A</v>
      </c>
      <c r="E35" s="1550" t="s">
        <v>40</v>
      </c>
      <c r="F35" s="1550"/>
      <c r="G35" s="1551">
        <f>VLOOKUP(C35,'Tong hop cong'!C34:R34,16,0)</f>
        <v>0</v>
      </c>
      <c r="H35" s="1552">
        <f t="shared" si="0"/>
        <v>0</v>
      </c>
      <c r="I35" s="1552">
        <f>+VLOOKUP(C35,'Tong hop cong'!C34:S34,17,0)</f>
        <v>2851</v>
      </c>
      <c r="J35" s="1553">
        <f t="shared" si="1"/>
        <v>1211.3703597922583</v>
      </c>
      <c r="K35" s="1554" t="str">
        <f>VLOOKUP(C35,'Tong hop cong'!C34:AA34,25,0)</f>
        <v>A</v>
      </c>
      <c r="L35" s="1555">
        <f t="shared" si="2"/>
        <v>4847419.6317447005</v>
      </c>
      <c r="M35" s="1553">
        <f>+VLOOKUP(C35,'Tong hop cong'!C34:V34,20,0)</f>
        <v>20</v>
      </c>
      <c r="N35" s="1553">
        <f>+VLOOKUP(C35,'Tong hop cong'!C34:W34,21,0)</f>
        <v>3</v>
      </c>
      <c r="O35" s="1553">
        <f>+VLOOKUP(C35,'Tong hop cong'!C34:X34,22,0)</f>
        <v>7</v>
      </c>
      <c r="P35" s="1553">
        <f>+VLOOKUP(C35,'Tong hop cong'!C34:Y34,23,0)</f>
        <v>1</v>
      </c>
      <c r="Q35" s="1553">
        <f>VLOOKUP(C35,'BẢNG LƯƠNG KT'!$C$17:$Q$52,15,0)</f>
        <v>31</v>
      </c>
      <c r="R35" s="1553">
        <f>VLOOKUP(C35,'BẢNG LƯƠNG KT'!$C$17:$R$53,16,0)</f>
        <v>31</v>
      </c>
      <c r="S35" s="1555">
        <f t="shared" si="3"/>
        <v>2419422.4</v>
      </c>
      <c r="T35" s="1555">
        <f t="shared" si="4"/>
        <v>7266842.0317446999</v>
      </c>
      <c r="U35" s="1556">
        <f t="shared" si="5"/>
        <v>7266842.0317446999</v>
      </c>
    </row>
    <row r="36" spans="1:21" s="1543" customFormat="1" ht="32.25" customHeight="1">
      <c r="A36" s="1547">
        <v>23</v>
      </c>
      <c r="B36" s="1548" t="s">
        <v>420</v>
      </c>
      <c r="C36" s="2047" t="str">
        <f>'Chấm công công nhân'!L35</f>
        <v>Thảo kok</v>
      </c>
      <c r="D36" s="1549" t="str">
        <f>VLOOKUP(C36,'Mã số NV'!$B$6:$D$53,3,0)</f>
        <v>01874</v>
      </c>
      <c r="E36" s="1550" t="s">
        <v>40</v>
      </c>
      <c r="F36" s="1550"/>
      <c r="G36" s="1551">
        <f>VLOOKUP(C36,'Tong hop cong'!C35:R35,16,0)</f>
        <v>0</v>
      </c>
      <c r="H36" s="1552">
        <f t="shared" si="0"/>
        <v>0</v>
      </c>
      <c r="I36" s="1552">
        <f>+VLOOKUP(C36,'Tong hop cong'!C35:S35,17,0)</f>
        <v>2690</v>
      </c>
      <c r="J36" s="1553">
        <f t="shared" si="1"/>
        <v>1142.9625632554105</v>
      </c>
      <c r="K36" s="1554" t="str">
        <f>VLOOKUP(C36,'Tong hop cong'!C35:AA35,25,0)</f>
        <v>A</v>
      </c>
      <c r="L36" s="1555">
        <f t="shared" si="2"/>
        <v>4573678.9931228505</v>
      </c>
      <c r="M36" s="1553">
        <f>+VLOOKUP(C36,'Tong hop cong'!C35:V35,20,0)</f>
        <v>18</v>
      </c>
      <c r="N36" s="1553">
        <f>+VLOOKUP(C36,'Tong hop cong'!C35:W35,21,0)</f>
        <v>3</v>
      </c>
      <c r="O36" s="1553">
        <f>+VLOOKUP(C36,'Tong hop cong'!C35:X35,22,0)</f>
        <v>7</v>
      </c>
      <c r="P36" s="1553">
        <f>+VLOOKUP(C36,'Tong hop cong'!C35:Y35,23,0)</f>
        <v>1</v>
      </c>
      <c r="Q36" s="1553">
        <f>VLOOKUP(C36,'BẢNG LƯƠNG KT'!$C$17:$Q$52,15,0)</f>
        <v>29</v>
      </c>
      <c r="R36" s="1553">
        <f>VLOOKUP(C36,'BẢNG LƯƠNG KT'!$C$17:$R$53,16,0)</f>
        <v>29</v>
      </c>
      <c r="S36" s="1555">
        <f t="shared" si="3"/>
        <v>2278939.2000000002</v>
      </c>
      <c r="T36" s="1555">
        <f t="shared" si="4"/>
        <v>6852618.1931228507</v>
      </c>
      <c r="U36" s="1556">
        <f t="shared" si="5"/>
        <v>6852618.1931228507</v>
      </c>
    </row>
    <row r="37" spans="1:21" s="1543" customFormat="1" ht="32.25" customHeight="1">
      <c r="A37" s="1547">
        <v>24</v>
      </c>
      <c r="B37" s="1548" t="s">
        <v>436</v>
      </c>
      <c r="C37" s="2047" t="str">
        <f>'Chấm công công nhân'!L36</f>
        <v>Thảo Hôm</v>
      </c>
      <c r="D37" s="1549" t="e">
        <f>VLOOKUP(C37,'Mã số NV'!$B$6:$D$53,3,0)</f>
        <v>#N/A</v>
      </c>
      <c r="E37" s="1550" t="s">
        <v>40</v>
      </c>
      <c r="F37" s="1550"/>
      <c r="G37" s="1551">
        <f>VLOOKUP(C37,'Tong hop cong'!C36:R36,16,0)</f>
        <v>0</v>
      </c>
      <c r="H37" s="1552">
        <f t="shared" si="0"/>
        <v>0</v>
      </c>
      <c r="I37" s="1552">
        <f>+VLOOKUP(C37,'Tong hop cong'!C36:S36,17,0)</f>
        <v>1469</v>
      </c>
      <c r="J37" s="1553">
        <f t="shared" si="1"/>
        <v>624.16803175546386</v>
      </c>
      <c r="K37" s="1554" t="str">
        <f>VLOOKUP(C37,'Tong hop cong'!C36:AA36,25,0)</f>
        <v>C</v>
      </c>
      <c r="L37" s="1555">
        <f t="shared" si="2"/>
        <v>2251998.2585737137</v>
      </c>
      <c r="M37" s="1553">
        <f>+VLOOKUP(C37,'Tong hop cong'!C36:V36,20,0)</f>
        <v>14</v>
      </c>
      <c r="N37" s="1553">
        <f>+VLOOKUP(C37,'Tong hop cong'!C36:W36,21,0)</f>
        <v>2</v>
      </c>
      <c r="O37" s="1553">
        <f>+VLOOKUP(C37,'Tong hop cong'!C36:X36,22,0)</f>
        <v>2</v>
      </c>
      <c r="P37" s="1553">
        <f>+VLOOKUP(C37,'Tong hop cong'!C36:Y36,23,0)</f>
        <v>1</v>
      </c>
      <c r="Q37" s="1553">
        <f>VLOOKUP(C37,'BẢNG LƯƠNG KT'!$C$17:$Q$52,15,0)</f>
        <v>19</v>
      </c>
      <c r="R37" s="1553">
        <f>VLOOKUP(C37,'BẢNG LƯƠNG KT'!$C$17:$R$53,16,0)</f>
        <v>19</v>
      </c>
      <c r="S37" s="1555">
        <f t="shared" si="3"/>
        <v>1455622.4</v>
      </c>
      <c r="T37" s="1555">
        <f t="shared" si="4"/>
        <v>3707620.6585737136</v>
      </c>
      <c r="U37" s="1556">
        <f t="shared" si="5"/>
        <v>3707620.6585737136</v>
      </c>
    </row>
    <row r="38" spans="1:21" s="1543" customFormat="1" ht="32.25" customHeight="1">
      <c r="A38" s="1547">
        <v>25</v>
      </c>
      <c r="B38" s="1548" t="s">
        <v>473</v>
      </c>
      <c r="C38" s="2047" t="str">
        <f>'Chấm công công nhân'!L37</f>
        <v>Nàng Lam</v>
      </c>
      <c r="D38" s="1549" t="e">
        <f>VLOOKUP(C38,'Mã số NV'!$B$6:$D$53,3,0)</f>
        <v>#N/A</v>
      </c>
      <c r="E38" s="1550" t="s">
        <v>40</v>
      </c>
      <c r="F38" s="1550"/>
      <c r="G38" s="1551">
        <f>VLOOKUP(C38,'Tong hop cong'!C37:R37,16,0)</f>
        <v>0</v>
      </c>
      <c r="H38" s="1552">
        <f t="shared" si="0"/>
        <v>0</v>
      </c>
      <c r="I38" s="1552">
        <f>+VLOOKUP(C38,'Tong hop cong'!C37:S37,17,0)</f>
        <v>1486</v>
      </c>
      <c r="J38" s="1553">
        <f t="shared" si="1"/>
        <v>631.39121524072118</v>
      </c>
      <c r="K38" s="1554" t="str">
        <f>VLOOKUP(C38,'Tong hop cong'!C37:AA37,25,0)</f>
        <v>B</v>
      </c>
      <c r="L38" s="1555">
        <f t="shared" si="2"/>
        <v>2402317.2957478957</v>
      </c>
      <c r="M38" s="1553">
        <f>+VLOOKUP(C38,'Tong hop cong'!C37:V37,20,0)</f>
        <v>13</v>
      </c>
      <c r="N38" s="1553">
        <f>+VLOOKUP(C38,'Tong hop cong'!C37:W37,21,0)</f>
        <v>3</v>
      </c>
      <c r="O38" s="1553">
        <f>+VLOOKUP(C38,'Tong hop cong'!C37:X37,22,0)</f>
        <v>2</v>
      </c>
      <c r="P38" s="1553">
        <f>+VLOOKUP(C38,'Tong hop cong'!C37:Y37,23,0)</f>
        <v>1</v>
      </c>
      <c r="Q38" s="1553">
        <f>VLOOKUP(C38,'BẢNG LƯƠNG KT'!$C$17:$Q$52,15,0)</f>
        <v>19</v>
      </c>
      <c r="R38" s="1553">
        <f>VLOOKUP(C38,'BẢNG LƯƠNG KT'!$C$17:$R$53,16,0)</f>
        <v>19</v>
      </c>
      <c r="S38" s="1555">
        <f t="shared" si="3"/>
        <v>1475827.2</v>
      </c>
      <c r="T38" s="1555">
        <f t="shared" si="4"/>
        <v>3878144.4957478959</v>
      </c>
      <c r="U38" s="1556">
        <f t="shared" si="5"/>
        <v>3878144.4957478959</v>
      </c>
    </row>
    <row r="39" spans="1:21" s="1543" customFormat="1" ht="32.25" customHeight="1">
      <c r="A39" s="1547">
        <v>26</v>
      </c>
      <c r="B39" s="1557" t="s">
        <v>454</v>
      </c>
      <c r="C39" s="2047" t="str">
        <f>'Chấm công công nhân'!L38</f>
        <v>Thảo Hơ Phơ</v>
      </c>
      <c r="D39" s="1549" t="e">
        <f>VLOOKUP(C39,'Mã số NV'!$B$6:$D$53,3,0)</f>
        <v>#N/A</v>
      </c>
      <c r="E39" s="1550" t="s">
        <v>40</v>
      </c>
      <c r="F39" s="1550"/>
      <c r="G39" s="1551">
        <f>VLOOKUP(C39,'Tong hop cong'!C38:R38,16,0)</f>
        <v>0</v>
      </c>
      <c r="H39" s="1552">
        <f t="shared" si="0"/>
        <v>0</v>
      </c>
      <c r="I39" s="1552">
        <f>+VLOOKUP(C39,'Tong hop cong'!C38:S38,17,0)</f>
        <v>2063</v>
      </c>
      <c r="J39" s="1553">
        <f t="shared" si="1"/>
        <v>876.55456059327582</v>
      </c>
      <c r="K39" s="1554" t="str">
        <f>VLOOKUP(C39,'Tong hop cong'!C38:AA38,25,0)</f>
        <v>A</v>
      </c>
      <c r="L39" s="1555">
        <f t="shared" si="2"/>
        <v>3507620.7296700524</v>
      </c>
      <c r="M39" s="1553">
        <f>+VLOOKUP(C39,'Tong hop cong'!C38:V38,20,0)</f>
        <v>14</v>
      </c>
      <c r="N39" s="1553">
        <f>+VLOOKUP(C39,'Tong hop cong'!C38:W38,21,0)</f>
        <v>2</v>
      </c>
      <c r="O39" s="1553">
        <f>+VLOOKUP(C39,'Tong hop cong'!C38:X38,22,0)</f>
        <v>4</v>
      </c>
      <c r="P39" s="1553">
        <f>+VLOOKUP(C39,'Tong hop cong'!C38:Y38,23,0)</f>
        <v>1</v>
      </c>
      <c r="Q39" s="1553">
        <f>VLOOKUP(C39,'BẢNG LƯƠNG KT'!$C$17:$Q$52,15,0)</f>
        <v>21</v>
      </c>
      <c r="R39" s="1553">
        <f>VLOOKUP(C39,'BẢNG LƯƠNG KT'!$C$17:$R$53,16,0)</f>
        <v>21</v>
      </c>
      <c r="S39" s="1555">
        <f t="shared" si="3"/>
        <v>1636384</v>
      </c>
      <c r="T39" s="1555">
        <f t="shared" si="4"/>
        <v>5144004.7296700524</v>
      </c>
      <c r="U39" s="1556">
        <f t="shared" si="5"/>
        <v>5144004.7296700524</v>
      </c>
    </row>
    <row r="40" spans="1:21" s="1543" customFormat="1" ht="32.25" customHeight="1">
      <c r="A40" s="1547">
        <v>27</v>
      </c>
      <c r="B40" s="1557"/>
      <c r="C40" s="2047" t="str">
        <f>'Chấm công công nhân'!L39</f>
        <v>Thảo Lay</v>
      </c>
      <c r="D40" s="1549"/>
      <c r="E40" s="1550" t="s">
        <v>40</v>
      </c>
      <c r="F40" s="1550"/>
      <c r="G40" s="1551">
        <f>VLOOKUP(C40,'Tong hop cong'!C39:R39,16,0)</f>
        <v>0</v>
      </c>
      <c r="H40" s="1552">
        <f t="shared" si="0"/>
        <v>0</v>
      </c>
      <c r="I40" s="1552">
        <f>+VLOOKUP(C40,'Tong hop cong'!C39:S39,17,0)</f>
        <v>2674</v>
      </c>
      <c r="J40" s="1553">
        <f t="shared" si="1"/>
        <v>1136.1642729163448</v>
      </c>
      <c r="K40" s="1554" t="str">
        <f>VLOOKUP(C40,'Tong hop cong'!C39:AA39,25,0)</f>
        <v>A</v>
      </c>
      <c r="L40" s="1555">
        <f t="shared" si="2"/>
        <v>4546474.9545020452</v>
      </c>
      <c r="M40" s="1553">
        <f>+VLOOKUP(C40,'Tong hop cong'!C39:V39,20,0)</f>
        <v>27</v>
      </c>
      <c r="N40" s="1553">
        <f>+VLOOKUP(C40,'Tong hop cong'!C39:W39,21,0)</f>
        <v>4</v>
      </c>
      <c r="O40" s="1553">
        <f>+VLOOKUP(C40,'Tong hop cong'!C39:X39,22,0)</f>
        <v>0</v>
      </c>
      <c r="P40" s="1553">
        <f>+VLOOKUP(C40,'Tong hop cong'!C39:Y39,23,0)</f>
        <v>0</v>
      </c>
      <c r="Q40" s="1553">
        <f>VLOOKUP(C40,'BẢNG LƯƠNG KT'!$C$17:$Q$52,15,0)</f>
        <v>31</v>
      </c>
      <c r="R40" s="1553">
        <f>VLOOKUP(C40,'BẢNG LƯƠNG KT'!$C$17:$R$53,16,0)</f>
        <v>31</v>
      </c>
      <c r="S40" s="1555">
        <f t="shared" si="3"/>
        <v>2258308.7999999998</v>
      </c>
      <c r="T40" s="1555">
        <f t="shared" si="4"/>
        <v>6804783.754502045</v>
      </c>
      <c r="U40" s="1556">
        <f t="shared" si="5"/>
        <v>6804783.754502045</v>
      </c>
    </row>
    <row r="41" spans="1:21" s="1543" customFormat="1" ht="32.25" customHeight="1">
      <c r="A41" s="1547">
        <v>28</v>
      </c>
      <c r="B41" s="1557" t="s">
        <v>464</v>
      </c>
      <c r="C41" s="2047" t="str">
        <f>'Chấm công công nhân'!L40</f>
        <v>Thảo Khốc</v>
      </c>
      <c r="D41" s="1549" t="e">
        <f>VLOOKUP(C41,'Mã số NV'!$B$6:$D$53,3,0)</f>
        <v>#N/A</v>
      </c>
      <c r="E41" s="1550" t="s">
        <v>40</v>
      </c>
      <c r="F41" s="1550"/>
      <c r="G41" s="1551">
        <f>VLOOKUP(C41,'Tong hop cong'!C40:R40,16,0)</f>
        <v>0</v>
      </c>
      <c r="H41" s="1552">
        <f t="shared" si="0"/>
        <v>0</v>
      </c>
      <c r="I41" s="1552">
        <f>+VLOOKUP(C41,'Tong hop cong'!C40:S40,17,0)</f>
        <v>2636</v>
      </c>
      <c r="J41" s="1553">
        <f t="shared" si="1"/>
        <v>1120.0183333610639</v>
      </c>
      <c r="K41" s="1554" t="str">
        <f>VLOOKUP(C41,'Tong hop cong'!C40:AA40,25,0)</f>
        <v>A</v>
      </c>
      <c r="L41" s="1555">
        <f t="shared" si="2"/>
        <v>4481865.3627776336</v>
      </c>
      <c r="M41" s="1553">
        <f>+VLOOKUP(C41,'Tong hop cong'!C40:V40,20,0)</f>
        <v>20</v>
      </c>
      <c r="N41" s="1553">
        <f>+VLOOKUP(C41,'Tong hop cong'!C40:W40,21,0)</f>
        <v>3</v>
      </c>
      <c r="O41" s="1553">
        <f>+VLOOKUP(C41,'Tong hop cong'!C40:X40,22,0)</f>
        <v>0</v>
      </c>
      <c r="P41" s="1553">
        <f>+VLOOKUP(C41,'Tong hop cong'!C40:Y40,23,0)</f>
        <v>0</v>
      </c>
      <c r="Q41" s="1553">
        <f>VLOOKUP(C41,'BẢNG LƯƠNG KT'!$C$17:$Q$52,15,0)</f>
        <v>23</v>
      </c>
      <c r="R41" s="1553">
        <f>VLOOKUP(C41,'BẢNG LƯƠNG KT'!$C$17:$R$53,16,0)</f>
        <v>23</v>
      </c>
      <c r="S41" s="1555">
        <f t="shared" si="3"/>
        <v>1676171.2</v>
      </c>
      <c r="T41" s="1555">
        <f t="shared" si="4"/>
        <v>6158036.5627776338</v>
      </c>
      <c r="U41" s="1556">
        <f t="shared" si="5"/>
        <v>6158036.5627776338</v>
      </c>
    </row>
    <row r="42" spans="1:21" s="1543" customFormat="1" ht="32.25" customHeight="1">
      <c r="A42" s="1547">
        <v>29</v>
      </c>
      <c r="B42" s="1557"/>
      <c r="C42" s="2047" t="str">
        <f>'Chấm công công nhân'!L41</f>
        <v>Thảo Sợt</v>
      </c>
      <c r="D42" s="1549"/>
      <c r="E42" s="1550" t="s">
        <v>40</v>
      </c>
      <c r="F42" s="1550"/>
      <c r="G42" s="1551">
        <f>VLOOKUP(C42,'Tong hop cong'!C41:R41,16,0)</f>
        <v>0</v>
      </c>
      <c r="H42" s="1552">
        <f t="shared" si="0"/>
        <v>0</v>
      </c>
      <c r="I42" s="1552">
        <f>+VLOOKUP(C42,'Tong hop cong'!C41:S41,17,0)</f>
        <v>2643</v>
      </c>
      <c r="J42" s="1553">
        <f t="shared" si="1"/>
        <v>1122.9925853844052</v>
      </c>
      <c r="K42" s="1554" t="str">
        <f>VLOOKUP(C42,'Tong hop cong'!C41:AA41,25,0)</f>
        <v>B</v>
      </c>
      <c r="L42" s="1555">
        <f t="shared" si="2"/>
        <v>4272762.1888705846</v>
      </c>
      <c r="M42" s="1553">
        <f>+VLOOKUP(C42,'Tong hop cong'!C41:V41,20,0)</f>
        <v>20</v>
      </c>
      <c r="N42" s="1553">
        <f>+VLOOKUP(C42,'Tong hop cong'!C41:W41,21,0)</f>
        <v>3</v>
      </c>
      <c r="O42" s="1553">
        <f>+VLOOKUP(C42,'Tong hop cong'!C41:X41,22,0)</f>
        <v>0</v>
      </c>
      <c r="P42" s="1553">
        <f>+VLOOKUP(C42,'Tong hop cong'!C41:Y41,23,0)</f>
        <v>0</v>
      </c>
      <c r="Q42" s="1553">
        <f>VLOOKUP(C42,'BẢNG LƯƠNG KT'!$C$17:$Q$52,15,0)</f>
        <v>23</v>
      </c>
      <c r="R42" s="1553">
        <f>VLOOKUP(C42,'BẢNG LƯƠNG KT'!$C$17:$R$53,16,0)</f>
        <v>23</v>
      </c>
      <c r="S42" s="1555">
        <f t="shared" si="3"/>
        <v>1676171.2</v>
      </c>
      <c r="T42" s="1555">
        <f t="shared" si="4"/>
        <v>5948933.3888705848</v>
      </c>
      <c r="U42" s="1556">
        <f t="shared" si="5"/>
        <v>5948933.3888705848</v>
      </c>
    </row>
    <row r="43" spans="1:21" s="1543" customFormat="1" ht="32.25" customHeight="1">
      <c r="A43" s="1547">
        <v>30</v>
      </c>
      <c r="B43" s="1557" t="s">
        <v>454</v>
      </c>
      <c r="C43" s="2047" t="str">
        <f>'Chấm công công nhân'!L42</f>
        <v>Thảo Văn</v>
      </c>
      <c r="D43" s="1549" t="str">
        <f>VLOOKUP(C43,'Mã số NV'!$B$6:$D$53,3,0)</f>
        <v>01903</v>
      </c>
      <c r="E43" s="1550" t="s">
        <v>40</v>
      </c>
      <c r="F43" s="1550"/>
      <c r="G43" s="1551">
        <f>VLOOKUP(C43,'Tong hop cong'!C42:R42,16,0)</f>
        <v>0</v>
      </c>
      <c r="H43" s="1552">
        <f t="shared" si="0"/>
        <v>0</v>
      </c>
      <c r="I43" s="1552">
        <f>+VLOOKUP(C43,'Tong hop cong'!C42:S42,17,0)</f>
        <v>2821</v>
      </c>
      <c r="J43" s="1553">
        <f t="shared" si="1"/>
        <v>1198.6235654065104</v>
      </c>
      <c r="K43" s="1554" t="str">
        <f>VLOOKUP(C43,'Tong hop cong'!C42:AA42,25,0)</f>
        <v>B</v>
      </c>
      <c r="L43" s="1555">
        <f t="shared" si="2"/>
        <v>4560522.9416586906</v>
      </c>
      <c r="M43" s="1553">
        <f>+VLOOKUP(C43,'Tong hop cong'!C42:V42,20,0)</f>
        <v>24</v>
      </c>
      <c r="N43" s="1553">
        <f>+VLOOKUP(C43,'Tong hop cong'!C42:W42,21,0)</f>
        <v>4</v>
      </c>
      <c r="O43" s="1553">
        <f>+VLOOKUP(C43,'Tong hop cong'!C42:X42,22,0)</f>
        <v>0</v>
      </c>
      <c r="P43" s="1553">
        <f>+VLOOKUP(C43,'Tong hop cong'!C42:Y42,23,0)</f>
        <v>0</v>
      </c>
      <c r="Q43" s="1553">
        <f>VLOOKUP(C43,'BẢNG LƯƠNG KT'!$C$17:$Q$52,15,0)</f>
        <v>28</v>
      </c>
      <c r="R43" s="1553">
        <f>VLOOKUP(C43,'BẢNG LƯƠNG KT'!$C$17:$R$53,16,0)</f>
        <v>28</v>
      </c>
      <c r="S43" s="1555">
        <f t="shared" si="3"/>
        <v>2047584</v>
      </c>
      <c r="T43" s="1555">
        <f t="shared" si="4"/>
        <v>6608106.9416586906</v>
      </c>
      <c r="U43" s="1556">
        <f t="shared" si="5"/>
        <v>6608106.9416586906</v>
      </c>
    </row>
    <row r="44" spans="1:21" s="1543" customFormat="1" ht="32.25" customHeight="1">
      <c r="A44" s="1547">
        <v>31</v>
      </c>
      <c r="B44" s="1557"/>
      <c r="C44" s="2047" t="str">
        <f>'Chấm công công nhân'!L43</f>
        <v>Thảo Thong</v>
      </c>
      <c r="D44" s="1549"/>
      <c r="E44" s="1550" t="s">
        <v>40</v>
      </c>
      <c r="F44" s="1550"/>
      <c r="G44" s="1551">
        <f>VLOOKUP(C44,'Tong hop cong'!C43:R43,16,0)</f>
        <v>0</v>
      </c>
      <c r="H44" s="1552">
        <f t="shared" si="0"/>
        <v>0</v>
      </c>
      <c r="I44" s="1552">
        <f>+VLOOKUP(C44,'Tong hop cong'!C43:S43,17,0)</f>
        <v>2235</v>
      </c>
      <c r="J44" s="1553">
        <f t="shared" si="1"/>
        <v>949.63618173823136</v>
      </c>
      <c r="K44" s="1554" t="str">
        <f>VLOOKUP(C44,'Tong hop cong'!C43:AA43,25,0)</f>
        <v>A</v>
      </c>
      <c r="L44" s="1555">
        <f t="shared" si="2"/>
        <v>3800064.1448437064</v>
      </c>
      <c r="M44" s="1553">
        <f>+VLOOKUP(C44,'Tong hop cong'!C43:V43,20,0)</f>
        <v>21</v>
      </c>
      <c r="N44" s="1553">
        <f>+VLOOKUP(C44,'Tong hop cong'!C43:W43,21,0)</f>
        <v>4</v>
      </c>
      <c r="O44" s="1553">
        <f>+VLOOKUP(C44,'Tong hop cong'!C43:X43,22,0)</f>
        <v>0</v>
      </c>
      <c r="P44" s="1553">
        <f>+VLOOKUP(C44,'Tong hop cong'!C43:Y43,23,0)</f>
        <v>0</v>
      </c>
      <c r="Q44" s="1553">
        <f>VLOOKUP(C44,'BẢNG LƯƠNG KT'!$C$17:$Q$52,15,0)</f>
        <v>25</v>
      </c>
      <c r="R44" s="1553">
        <f>VLOOKUP(C44,'BẢNG LƯƠNG KT'!$C$17:$R$53,16,0)</f>
        <v>25</v>
      </c>
      <c r="S44" s="1555">
        <f t="shared" si="3"/>
        <v>1836859.2000000002</v>
      </c>
      <c r="T44" s="1555">
        <f t="shared" si="4"/>
        <v>5636923.3448437061</v>
      </c>
      <c r="U44" s="1556">
        <f t="shared" si="5"/>
        <v>5636923.3448437061</v>
      </c>
    </row>
    <row r="45" spans="1:21" s="1543" customFormat="1" ht="32.25" customHeight="1">
      <c r="A45" s="1547">
        <v>32</v>
      </c>
      <c r="B45" s="1557" t="s">
        <v>464</v>
      </c>
      <c r="C45" s="2047" t="str">
        <f>'Chấm công công nhân'!L44</f>
        <v xml:space="preserve"> Nàng Ngột</v>
      </c>
      <c r="D45" s="1549" t="e">
        <f>VLOOKUP(C45,'Mã số NV'!$B$6:$D$53,3,0)</f>
        <v>#N/A</v>
      </c>
      <c r="E45" s="1550" t="s">
        <v>40</v>
      </c>
      <c r="F45" s="1550"/>
      <c r="G45" s="1551">
        <f>VLOOKUP(C45,'Tong hop cong'!C44:R44,16,0)</f>
        <v>0</v>
      </c>
      <c r="H45" s="1552">
        <f t="shared" si="0"/>
        <v>0</v>
      </c>
      <c r="I45" s="1552">
        <f>+VLOOKUP(C45,'Tong hop cong'!C44:S44,17,0)</f>
        <v>2238</v>
      </c>
      <c r="J45" s="1553">
        <f t="shared" si="1"/>
        <v>950.91086117680618</v>
      </c>
      <c r="K45" s="1554" t="str">
        <f>VLOOKUP(C45,'Tong hop cong'!C44:AA44,25,0)</f>
        <v>B</v>
      </c>
      <c r="L45" s="1555">
        <f t="shared" si="2"/>
        <v>3618025.6446055118</v>
      </c>
      <c r="M45" s="1553">
        <f>+VLOOKUP(C45,'Tong hop cong'!C44:V44,20,0)</f>
        <v>21</v>
      </c>
      <c r="N45" s="1553">
        <f>+VLOOKUP(C45,'Tong hop cong'!C44:W44,21,0)</f>
        <v>4</v>
      </c>
      <c r="O45" s="1553">
        <f>+VLOOKUP(C45,'Tong hop cong'!C44:X44,22,0)</f>
        <v>0</v>
      </c>
      <c r="P45" s="1553">
        <f>+VLOOKUP(C45,'Tong hop cong'!C44:Y44,23,0)</f>
        <v>0</v>
      </c>
      <c r="Q45" s="1553">
        <f>VLOOKUP(C45,'BẢNG LƯƠNG KT'!$C$17:$Q$52,15,0)</f>
        <v>25</v>
      </c>
      <c r="R45" s="1553">
        <f>VLOOKUP(C45,'BẢNG LƯƠNG KT'!$C$17:$R$53,16,0)</f>
        <v>25</v>
      </c>
      <c r="S45" s="1555">
        <f t="shared" si="3"/>
        <v>1836859.2000000002</v>
      </c>
      <c r="T45" s="1555">
        <f t="shared" si="4"/>
        <v>5454884.844605512</v>
      </c>
      <c r="U45" s="1556">
        <f t="shared" si="5"/>
        <v>5454884.844605512</v>
      </c>
    </row>
    <row r="46" spans="1:21" s="1543" customFormat="1" ht="32.25" customHeight="1">
      <c r="A46" s="1547">
        <v>33</v>
      </c>
      <c r="B46" s="1557"/>
      <c r="C46" s="2047" t="str">
        <f>'Chấm công công nhân'!L45</f>
        <v>Nàng Chon</v>
      </c>
      <c r="D46" s="1549"/>
      <c r="E46" s="1550" t="s">
        <v>1142</v>
      </c>
      <c r="F46" s="1550"/>
      <c r="G46" s="1551">
        <f>VLOOKUP(C46,'Tong hop cong'!C45:R45,16,0)</f>
        <v>0</v>
      </c>
      <c r="H46" s="1552">
        <f t="shared" si="0"/>
        <v>0</v>
      </c>
      <c r="I46" s="1552">
        <f>+VLOOKUP(C46,'Tong hop cong'!C45:S45,17,0)</f>
        <v>2064</v>
      </c>
      <c r="J46" s="1553">
        <f t="shared" si="1"/>
        <v>876.97945373946732</v>
      </c>
      <c r="K46" s="1554" t="str">
        <f>VLOOKUP(C46,'Tong hop cong'!C45:AA45,25,0)</f>
        <v>B</v>
      </c>
      <c r="L46" s="1555">
        <f t="shared" si="2"/>
        <v>3336731.4255879251</v>
      </c>
      <c r="M46" s="1553">
        <f>+VLOOKUP(C46,'Tong hop cong'!C45:V45,20,0)</f>
        <v>18</v>
      </c>
      <c r="N46" s="1553">
        <f>+VLOOKUP(C46,'Tong hop cong'!C45:W45,21,0)</f>
        <v>3</v>
      </c>
      <c r="O46" s="1553">
        <f>+VLOOKUP(C46,'Tong hop cong'!C45:X45,22,0)</f>
        <v>0</v>
      </c>
      <c r="P46" s="1553">
        <f>+VLOOKUP(C46,'Tong hop cong'!C45:Y45,23,0)</f>
        <v>0</v>
      </c>
      <c r="Q46" s="1553">
        <f>VLOOKUP(C46,'BẢNG LƯƠNG KT'!$C$17:$Q$52,15,0)</f>
        <v>21</v>
      </c>
      <c r="R46" s="1553">
        <f>VLOOKUP(C46,'BẢNG LƯƠNG KT'!$C$17:$R$53,16,0)</f>
        <v>21</v>
      </c>
      <c r="S46" s="1555">
        <f t="shared" si="3"/>
        <v>1535688</v>
      </c>
      <c r="T46" s="1555">
        <f t="shared" si="4"/>
        <v>4872419.4255879251</v>
      </c>
      <c r="U46" s="1556">
        <f t="shared" si="5"/>
        <v>4872419.4255879251</v>
      </c>
    </row>
    <row r="47" spans="1:21" s="1543" customFormat="1" ht="32.25" customHeight="1">
      <c r="A47" s="1547">
        <v>34</v>
      </c>
      <c r="B47" s="1557"/>
      <c r="C47" s="2047" t="str">
        <f>'Chấm công công nhân'!L46</f>
        <v>Bun han</v>
      </c>
      <c r="D47" s="1549"/>
      <c r="E47" s="1550"/>
      <c r="F47" s="1550"/>
      <c r="G47" s="1551">
        <f>VLOOKUP(C47,'Tong hop cong'!C46:R46,16,0)</f>
        <v>0</v>
      </c>
      <c r="H47" s="1552">
        <f t="shared" si="0"/>
        <v>0</v>
      </c>
      <c r="I47" s="1552">
        <f>+VLOOKUP(C47,'Tong hop cong'!C46:S46,17,0)</f>
        <v>2207</v>
      </c>
      <c r="J47" s="1553">
        <f t="shared" si="1"/>
        <v>937.73917364486658</v>
      </c>
      <c r="K47" s="1554" t="str">
        <f>VLOOKUP(C47,'Tong hop cong'!C46:AA46,25,0)</f>
        <v>B</v>
      </c>
      <c r="L47" s="1555">
        <f t="shared" si="2"/>
        <v>3567910.0078839883</v>
      </c>
      <c r="M47" s="1553">
        <f>+VLOOKUP(C47,'Tong hop cong'!C46:V46,20,0)</f>
        <v>22</v>
      </c>
      <c r="N47" s="1553">
        <f>+VLOOKUP(C47,'Tong hop cong'!C46:W46,21,0)</f>
        <v>4</v>
      </c>
      <c r="O47" s="1553">
        <f>+VLOOKUP(C47,'Tong hop cong'!C46:X46,22,0)</f>
        <v>0</v>
      </c>
      <c r="P47" s="1553">
        <f>+VLOOKUP(C47,'Tong hop cong'!C46:Y46,23,0)</f>
        <v>0</v>
      </c>
      <c r="Q47" s="1553">
        <f>VLOOKUP(C47,'BẢNG LƯƠNG KT'!$C$17:$Q$52,15,0)</f>
        <v>26</v>
      </c>
      <c r="R47" s="1553">
        <f>VLOOKUP(C47,'BẢNG LƯƠNG KT'!$C$17:$R$53,16,0)</f>
        <v>26</v>
      </c>
      <c r="S47" s="1555">
        <f t="shared" si="3"/>
        <v>1907100.8</v>
      </c>
      <c r="T47" s="1555">
        <f t="shared" si="4"/>
        <v>5475010.8078839881</v>
      </c>
      <c r="U47" s="1556">
        <f t="shared" si="5"/>
        <v>5475010.8078839881</v>
      </c>
    </row>
    <row r="48" spans="1:21" s="1543" customFormat="1" ht="32.25" customHeight="1">
      <c r="A48" s="1547">
        <v>35</v>
      </c>
      <c r="B48" s="1557"/>
      <c r="C48" s="2047" t="str">
        <f>'Chấm công công nhân'!L47</f>
        <v>Hăn</v>
      </c>
      <c r="D48" s="1549"/>
      <c r="E48" s="1550"/>
      <c r="F48" s="1550"/>
      <c r="G48" s="1551">
        <f>VLOOKUP(C48,'Tong hop cong'!C47:R47,16,0)</f>
        <v>0</v>
      </c>
      <c r="H48" s="1552">
        <f t="shared" si="0"/>
        <v>0</v>
      </c>
      <c r="I48" s="1552">
        <f>+VLOOKUP(C48,'Tong hop cong'!C47:S47,17,0)</f>
        <v>2204</v>
      </c>
      <c r="J48" s="1553">
        <f t="shared" si="1"/>
        <v>936.46449420629176</v>
      </c>
      <c r="K48" s="1554" t="str">
        <f>VLOOKUP(C48,'Tong hop cong'!C47:AA47,25,0)</f>
        <v>A</v>
      </c>
      <c r="L48" s="1555">
        <f t="shared" si="2"/>
        <v>3747356.320015897</v>
      </c>
      <c r="M48" s="1553">
        <f>+VLOOKUP(C48,'Tong hop cong'!C47:V47,20,0)</f>
        <v>21</v>
      </c>
      <c r="N48" s="1553">
        <f>+VLOOKUP(C48,'Tong hop cong'!C47:W47,21,0)</f>
        <v>4</v>
      </c>
      <c r="O48" s="1553">
        <f>+VLOOKUP(C48,'Tong hop cong'!C47:X47,22,0)</f>
        <v>0</v>
      </c>
      <c r="P48" s="1553">
        <f>+VLOOKUP(C48,'Tong hop cong'!C47:Y47,23,0)</f>
        <v>0</v>
      </c>
      <c r="Q48" s="1553">
        <f>VLOOKUP(C48,'BẢNG LƯƠNG KT'!$C$17:$Q$52,15,0)</f>
        <v>25</v>
      </c>
      <c r="R48" s="1553">
        <f>VLOOKUP(C48,'BẢNG LƯƠNG KT'!$C$17:$R$53,16,0)</f>
        <v>25</v>
      </c>
      <c r="S48" s="1555">
        <f t="shared" si="3"/>
        <v>1836859.2000000002</v>
      </c>
      <c r="T48" s="1555">
        <f t="shared" si="4"/>
        <v>5584215.5200158972</v>
      </c>
      <c r="U48" s="1556">
        <f t="shared" si="5"/>
        <v>5584215.5200158972</v>
      </c>
    </row>
    <row r="49" spans="1:23" s="1543" customFormat="1" ht="32.25" customHeight="1">
      <c r="A49" s="1547">
        <v>36</v>
      </c>
      <c r="B49" s="1557"/>
      <c r="C49" s="2047" t="str">
        <f>'Chấm công công nhân'!L48</f>
        <v>Thảo Tuỳ</v>
      </c>
      <c r="D49" s="1549"/>
      <c r="E49" s="1550"/>
      <c r="F49" s="1550"/>
      <c r="G49" s="1551">
        <f>VLOOKUP(C49,'Tong hop cong'!C48:R48,16,0)</f>
        <v>0</v>
      </c>
      <c r="H49" s="1552">
        <f t="shared" si="0"/>
        <v>0</v>
      </c>
      <c r="I49" s="1552">
        <f>+VLOOKUP(C49,'Tong hop cong'!C48:S48,17,0)</f>
        <v>2654</v>
      </c>
      <c r="J49" s="1553">
        <f t="shared" si="1"/>
        <v>1127.6664099925129</v>
      </c>
      <c r="K49" s="1554" t="str">
        <f>VLOOKUP(C49,'Tong hop cong'!C48:AA48,25,0)</f>
        <v>A</v>
      </c>
      <c r="L49" s="1555">
        <f t="shared" si="2"/>
        <v>4512469.9062260389</v>
      </c>
      <c r="M49" s="1553">
        <f>+VLOOKUP(C49,'Tong hop cong'!C48:V48,20,0)</f>
        <v>27</v>
      </c>
      <c r="N49" s="1553">
        <f>+VLOOKUP(C49,'Tong hop cong'!C48:W48,21,0)</f>
        <v>4</v>
      </c>
      <c r="O49" s="1553">
        <f>+VLOOKUP(C49,'Tong hop cong'!C48:X48,22,0)</f>
        <v>0</v>
      </c>
      <c r="P49" s="1553">
        <f>+VLOOKUP(C49,'Tong hop cong'!C48:Y48,23,0)</f>
        <v>0</v>
      </c>
      <c r="Q49" s="1553">
        <f>VLOOKUP(C49,'BẢNG LƯƠNG KT'!$C$17:$Q$52,15,0)</f>
        <v>31</v>
      </c>
      <c r="R49" s="1553">
        <f>VLOOKUP(C49,'BẢNG LƯƠNG KT'!$C$17:$R$53,16,0)</f>
        <v>31</v>
      </c>
      <c r="S49" s="1555">
        <f t="shared" si="3"/>
        <v>2258308.7999999998</v>
      </c>
      <c r="T49" s="1555">
        <f t="shared" si="4"/>
        <v>6770778.7062260387</v>
      </c>
      <c r="U49" s="1556">
        <f t="shared" si="5"/>
        <v>6770778.7062260387</v>
      </c>
    </row>
    <row r="50" spans="1:23" s="1543" customFormat="1" ht="32.25" hidden="1" customHeight="1">
      <c r="A50" s="1547">
        <v>37</v>
      </c>
      <c r="B50" s="1557"/>
      <c r="C50" s="2047" t="str">
        <f>'BẢNG LƯƠNG KT'!C53</f>
        <v>Thảo e</v>
      </c>
      <c r="D50" s="1549"/>
      <c r="E50" s="1550"/>
      <c r="F50" s="3454"/>
      <c r="G50" s="3453">
        <f>VLOOKUP(C50,'Tong hop cong'!C49:R49,16,0)</f>
        <v>0</v>
      </c>
      <c r="H50" s="1552">
        <f t="shared" si="0"/>
        <v>0</v>
      </c>
      <c r="I50" s="1552">
        <f>+VLOOKUP(C50,'Tong hop cong'!C49:S49,17,0)</f>
        <v>0</v>
      </c>
      <c r="J50" s="1553">
        <f t="shared" si="1"/>
        <v>0</v>
      </c>
      <c r="K50" s="1554">
        <f>VLOOKUP(C50,'Tong hop cong'!C49:AA49,25,0)</f>
        <v>0</v>
      </c>
      <c r="L50" s="1555"/>
      <c r="M50" s="1553">
        <f>+VLOOKUP(C50,'Tong hop cong'!C49:V49,20,0)</f>
        <v>0</v>
      </c>
      <c r="N50" s="1553">
        <f>+VLOOKUP(C50,'Tong hop cong'!C49:W49,21,0)</f>
        <v>0</v>
      </c>
      <c r="O50" s="1553">
        <f>+VLOOKUP(C50,'Tong hop cong'!C49:X49,22,0)</f>
        <v>0</v>
      </c>
      <c r="P50" s="1553">
        <f>+VLOOKUP(C50,'Tong hop cong'!C49:Y49,23,0)</f>
        <v>0</v>
      </c>
      <c r="Q50" s="1553"/>
      <c r="R50" s="1553">
        <f>VLOOKUP(C50,'BẢNG LƯƠNG KT'!$C$17:$R$53,16,0)</f>
        <v>0</v>
      </c>
      <c r="S50" s="1555">
        <f t="shared" si="3"/>
        <v>0</v>
      </c>
      <c r="T50" s="1555">
        <f t="shared" si="4"/>
        <v>0</v>
      </c>
      <c r="U50" s="1556">
        <f t="shared" si="5"/>
        <v>0</v>
      </c>
    </row>
    <row r="51" spans="1:23" s="1546" customFormat="1" ht="32.25" customHeight="1">
      <c r="A51" s="3960" t="s">
        <v>688</v>
      </c>
      <c r="B51" s="3960"/>
      <c r="C51" s="3960"/>
      <c r="D51" s="3960"/>
      <c r="E51" s="3960"/>
      <c r="F51" s="2144"/>
      <c r="G51" s="2049">
        <f>SUM(G14:G50)</f>
        <v>0</v>
      </c>
      <c r="H51" s="2049">
        <f t="shared" ref="H51:U51" si="6">SUM(H14:H50)</f>
        <v>0</v>
      </c>
      <c r="I51" s="2049">
        <f t="shared" si="6"/>
        <v>84143</v>
      </c>
      <c r="J51" s="2049">
        <f t="shared" si="6"/>
        <v>35751.783999999992</v>
      </c>
      <c r="K51" s="2049">
        <f t="shared" si="6"/>
        <v>0</v>
      </c>
      <c r="L51" s="2049">
        <f t="shared" si="6"/>
        <v>139328159.60353053</v>
      </c>
      <c r="M51" s="2049">
        <f t="shared" si="6"/>
        <v>696</v>
      </c>
      <c r="N51" s="2049">
        <f t="shared" si="6"/>
        <v>111</v>
      </c>
      <c r="O51" s="2049">
        <f t="shared" si="6"/>
        <v>130</v>
      </c>
      <c r="P51" s="2049">
        <f t="shared" si="6"/>
        <v>22</v>
      </c>
      <c r="Q51" s="2049">
        <f t="shared" si="6"/>
        <v>959</v>
      </c>
      <c r="R51" s="2049">
        <f t="shared" si="6"/>
        <v>959</v>
      </c>
      <c r="S51" s="2049">
        <f t="shared" si="6"/>
        <v>73110091.200000018</v>
      </c>
      <c r="T51" s="2049">
        <f t="shared" si="6"/>
        <v>212438250.80353057</v>
      </c>
      <c r="U51" s="2049">
        <f t="shared" si="6"/>
        <v>212438250.80353057</v>
      </c>
      <c r="V51" s="1545"/>
      <c r="W51" s="3281">
        <f>U51-U50</f>
        <v>212438250.80353057</v>
      </c>
    </row>
    <row r="52" spans="1:23" s="910" customFormat="1" ht="32.25" customHeight="1">
      <c r="A52" s="3942" t="s">
        <v>1858</v>
      </c>
      <c r="B52" s="3942"/>
      <c r="C52" s="3942"/>
      <c r="D52" s="3942"/>
      <c r="E52" s="3942"/>
      <c r="F52" s="3942"/>
      <c r="G52" s="3942"/>
      <c r="H52" s="3942"/>
      <c r="I52" s="3942"/>
      <c r="J52" s="3942"/>
      <c r="K52" s="3942"/>
      <c r="L52" s="3942"/>
      <c r="M52" s="3942"/>
      <c r="N52" s="3942"/>
      <c r="O52" s="3942"/>
      <c r="P52" s="3942"/>
      <c r="Q52" s="3942"/>
      <c r="R52" s="3942"/>
      <c r="S52" s="3942"/>
      <c r="T52" s="3942"/>
      <c r="U52" s="3942"/>
      <c r="W52" s="2148"/>
    </row>
    <row r="53" spans="1:23" ht="32.25" customHeight="1">
      <c r="O53" s="1957"/>
      <c r="P53" s="1957"/>
      <c r="Q53" s="1957"/>
      <c r="R53" s="1957"/>
      <c r="S53" s="1957" t="s">
        <v>1783</v>
      </c>
      <c r="U53" s="1957"/>
      <c r="V53" s="925"/>
      <c r="W53" s="925">
        <v>193258250.80353057</v>
      </c>
    </row>
    <row r="54" spans="1:23" s="1871" customFormat="1" ht="32.25" customHeight="1">
      <c r="F54" s="1871" t="s">
        <v>45</v>
      </c>
      <c r="I54" s="3934" t="s">
        <v>44</v>
      </c>
      <c r="J54" s="3934"/>
      <c r="K54" s="3934"/>
      <c r="L54" s="3934"/>
      <c r="O54" s="1333"/>
      <c r="P54" s="1333"/>
      <c r="Q54" s="1333"/>
      <c r="R54" s="1333"/>
      <c r="S54" s="1333" t="s">
        <v>1107</v>
      </c>
      <c r="U54" s="1333"/>
    </row>
    <row r="55" spans="1:23" ht="32.25" customHeight="1">
      <c r="A55" s="909"/>
      <c r="C55" s="926"/>
      <c r="D55" s="926"/>
      <c r="G55" s="927"/>
      <c r="H55" s="928"/>
      <c r="I55" s="928"/>
      <c r="J55" s="912"/>
      <c r="K55" s="2041"/>
      <c r="L55" s="929"/>
      <c r="M55" s="926"/>
      <c r="N55" s="926"/>
      <c r="O55" s="926"/>
      <c r="P55" s="926"/>
      <c r="Q55" s="926"/>
      <c r="R55" s="926"/>
      <c r="S55" s="930"/>
    </row>
    <row r="56" spans="1:23" ht="32.25" customHeight="1">
      <c r="A56" s="909"/>
      <c r="C56" s="909"/>
      <c r="D56" s="909"/>
      <c r="G56" s="927"/>
      <c r="K56" s="2041"/>
      <c r="L56" s="926"/>
      <c r="N56" s="923"/>
      <c r="O56" s="925"/>
      <c r="P56" s="923"/>
      <c r="Q56" s="923"/>
      <c r="R56" s="923"/>
      <c r="S56" s="926"/>
    </row>
    <row r="57" spans="1:23" ht="32.25" customHeight="1">
      <c r="A57" s="909"/>
      <c r="C57" s="909"/>
      <c r="D57" s="909"/>
      <c r="E57" s="925"/>
      <c r="F57" s="925"/>
      <c r="G57" s="1975"/>
      <c r="K57" s="2041"/>
      <c r="L57" s="3932"/>
      <c r="M57" s="3932"/>
      <c r="U57" s="2045"/>
    </row>
    <row r="58" spans="1:23" ht="32.25" customHeight="1">
      <c r="A58" s="909"/>
      <c r="C58" s="909"/>
      <c r="D58" s="909"/>
      <c r="E58" s="925"/>
      <c r="F58" s="925"/>
      <c r="G58" s="1975"/>
      <c r="K58" s="2041"/>
      <c r="L58" s="2045"/>
      <c r="M58" s="2045"/>
      <c r="O58" s="2045"/>
      <c r="U58" s="2045"/>
    </row>
    <row r="59" spans="1:23" ht="32.25" customHeight="1">
      <c r="A59" s="909"/>
      <c r="C59" s="909"/>
      <c r="D59" s="909"/>
      <c r="G59" s="1974"/>
      <c r="K59" s="2041"/>
      <c r="L59" s="909"/>
      <c r="M59" s="933"/>
      <c r="N59" s="3800"/>
      <c r="O59" s="3800"/>
      <c r="P59" s="3800"/>
      <c r="Q59" s="3800"/>
      <c r="R59" s="3800"/>
      <c r="S59" s="3800"/>
    </row>
    <row r="60" spans="1:23" ht="32.25" customHeight="1">
      <c r="A60" s="909"/>
      <c r="C60" s="909"/>
      <c r="D60" s="909"/>
      <c r="E60" s="934"/>
      <c r="F60" s="934"/>
      <c r="G60" s="1973"/>
      <c r="H60" s="1975"/>
      <c r="I60" s="1975"/>
      <c r="J60" s="3799"/>
      <c r="K60" s="3799"/>
      <c r="L60" s="3799"/>
      <c r="M60" s="3799"/>
      <c r="N60" s="3799"/>
      <c r="O60" s="3799"/>
      <c r="P60" s="3799"/>
      <c r="Q60" s="3799"/>
      <c r="R60" s="3799"/>
      <c r="S60" s="3799"/>
      <c r="T60" s="3799"/>
      <c r="U60" s="3799"/>
    </row>
    <row r="61" spans="1:23" s="935" customFormat="1" ht="32.25" customHeight="1">
      <c r="G61" s="1972"/>
      <c r="H61" s="936"/>
      <c r="I61" s="936"/>
      <c r="J61" s="937"/>
      <c r="K61" s="938"/>
      <c r="L61" s="939"/>
      <c r="M61" s="940"/>
      <c r="N61" s="940"/>
      <c r="O61" s="940"/>
      <c r="P61" s="940"/>
      <c r="Q61" s="940"/>
      <c r="R61" s="940"/>
    </row>
    <row r="62" spans="1:23" ht="32.25" customHeight="1">
      <c r="E62" s="941"/>
      <c r="F62" s="941"/>
      <c r="T62" s="925"/>
    </row>
    <row r="63" spans="1:23" ht="32.25" customHeight="1">
      <c r="A63" s="942"/>
      <c r="M63" s="912"/>
      <c r="N63" s="912"/>
      <c r="O63" s="912"/>
      <c r="P63" s="912"/>
      <c r="Q63" s="912"/>
      <c r="R63" s="912"/>
      <c r="S63" s="912"/>
      <c r="T63" s="2045"/>
    </row>
    <row r="64" spans="1:23" ht="32.25" customHeight="1">
      <c r="A64" s="943"/>
      <c r="N64" s="1975"/>
      <c r="P64" s="1975"/>
      <c r="Q64" s="1975"/>
      <c r="R64" s="1975"/>
      <c r="S64" s="925"/>
    </row>
    <row r="65" spans="1:19" ht="32.25" customHeight="1">
      <c r="A65" s="943"/>
      <c r="S65" s="941"/>
    </row>
    <row r="66" spans="1:19" ht="32.25" customHeight="1">
      <c r="L66" s="944"/>
    </row>
  </sheetData>
  <mergeCells count="27">
    <mergeCell ref="J60:M60"/>
    <mergeCell ref="N60:U60"/>
    <mergeCell ref="A51:E51"/>
    <mergeCell ref="L57:M57"/>
    <mergeCell ref="N59:S59"/>
    <mergeCell ref="A52:U52"/>
    <mergeCell ref="I54:L54"/>
    <mergeCell ref="T10:T12"/>
    <mergeCell ref="U10:U12"/>
    <mergeCell ref="G11:H11"/>
    <mergeCell ref="I11:L11"/>
    <mergeCell ref="M11:S11"/>
    <mergeCell ref="G10:S10"/>
    <mergeCell ref="A10:A12"/>
    <mergeCell ref="B10:C12"/>
    <mergeCell ref="D10:D12"/>
    <mergeCell ref="E10:E12"/>
    <mergeCell ref="F10:F12"/>
    <mergeCell ref="E9:G9"/>
    <mergeCell ref="A1:U1"/>
    <mergeCell ref="A2:U2"/>
    <mergeCell ref="A3:U3"/>
    <mergeCell ref="A4:G4"/>
    <mergeCell ref="A5:G5"/>
    <mergeCell ref="A7:U7"/>
    <mergeCell ref="E8:G8"/>
    <mergeCell ref="T9:U9"/>
  </mergeCells>
  <pageMargins left="0.43307086614173229" right="0.39370078740157483" top="0.43307086614173229" bottom="0.39370078740157483" header="0.31496062992125984" footer="0.31496062992125984"/>
  <pageSetup paperSize="9" scale="53" orientation="landscape" r:id="rId1"/>
  <colBreaks count="1" manualBreakCount="1">
    <brk id="22" max="104857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50"/>
  <sheetViews>
    <sheetView tabSelected="1" topLeftCell="A25" zoomScale="70" zoomScaleNormal="70" workbookViewId="0">
      <selection activeCell="A34" sqref="A34:XFD34"/>
    </sheetView>
  </sheetViews>
  <sheetFormatPr defaultColWidth="9.25" defaultRowHeight="16.5"/>
  <cols>
    <col min="1" max="1" width="7.75" style="3359" customWidth="1"/>
    <col min="2" max="2" width="9.375" style="909" hidden="1" customWidth="1"/>
    <col min="3" max="3" width="22.375" style="915" customWidth="1"/>
    <col min="4" max="4" width="6.375" style="915" hidden="1" customWidth="1"/>
    <col min="5" max="5" width="8" style="909" hidden="1" customWidth="1"/>
    <col min="6" max="6" width="20.125" style="909" customWidth="1"/>
    <col min="7" max="7" width="13.125" style="911" customWidth="1"/>
    <col min="8" max="8" width="23.625" style="909" customWidth="1"/>
    <col min="9" max="9" width="13.875" style="909" customWidth="1"/>
    <col min="10" max="10" width="14.5" style="911" customWidth="1"/>
    <col min="11" max="11" width="7.875" style="3362" customWidth="1"/>
    <col min="12" max="12" width="16.875" style="912" customWidth="1"/>
    <col min="13" max="13" width="11.75" style="909" customWidth="1"/>
    <col min="14" max="14" width="9.75" style="909" customWidth="1"/>
    <col min="15" max="15" width="11.75" style="909" hidden="1" customWidth="1"/>
    <col min="16" max="16" width="14" style="909" hidden="1" customWidth="1"/>
    <col min="17" max="18" width="14" style="909" customWidth="1"/>
    <col min="19" max="19" width="16" style="909" customWidth="1"/>
    <col min="20" max="20" width="21.75" style="909" customWidth="1"/>
    <col min="21" max="21" width="21.625" style="909" customWidth="1"/>
    <col min="22" max="22" width="12.375" style="909" customWidth="1"/>
    <col min="23" max="23" width="17.125" style="909" bestFit="1" customWidth="1"/>
    <col min="24" max="24" width="10.375" style="909" bestFit="1" customWidth="1"/>
    <col min="25" max="25" width="9.25" style="909"/>
    <col min="26" max="26" width="11.375" style="909" bestFit="1" customWidth="1"/>
    <col min="27" max="27" width="15.375" style="909" bestFit="1" customWidth="1"/>
    <col min="28" max="16384" width="9.25" style="909"/>
  </cols>
  <sheetData>
    <row r="1" spans="1:27" ht="12.75" customHeight="1"/>
    <row r="2" spans="1:27" ht="9" customHeight="1"/>
    <row r="3" spans="1:27" ht="8.25" customHeight="1">
      <c r="A3" s="3358"/>
      <c r="B3" s="3358"/>
      <c r="C3" s="3358"/>
      <c r="D3" s="3358"/>
      <c r="E3" s="3358"/>
      <c r="F3" s="3358"/>
      <c r="G3" s="3358"/>
      <c r="H3" s="3358"/>
      <c r="I3" s="3358"/>
      <c r="J3" s="3358"/>
      <c r="K3" s="3358"/>
      <c r="L3" s="3358"/>
      <c r="M3" s="3358"/>
      <c r="N3" s="3358"/>
      <c r="O3" s="3358"/>
      <c r="P3" s="3358"/>
      <c r="Q3" s="3358"/>
      <c r="R3" s="3576"/>
      <c r="S3" s="3358"/>
      <c r="T3" s="3358"/>
      <c r="U3" s="3358"/>
    </row>
    <row r="4" spans="1:27" ht="21.75" customHeight="1">
      <c r="A4" s="3799" t="s">
        <v>165</v>
      </c>
      <c r="B4" s="3799"/>
      <c r="C4" s="3799"/>
      <c r="D4" s="3799"/>
      <c r="E4" s="3799"/>
      <c r="F4" s="3799"/>
      <c r="G4" s="3799"/>
      <c r="H4" s="3799"/>
      <c r="I4" s="3799"/>
      <c r="J4" s="3799"/>
      <c r="K4" s="3799"/>
      <c r="L4" s="3799"/>
      <c r="M4" s="3799"/>
      <c r="N4" s="3799"/>
      <c r="O4" s="3799"/>
      <c r="P4" s="3799"/>
      <c r="Q4" s="3799"/>
      <c r="R4" s="3799"/>
      <c r="S4" s="3799"/>
      <c r="T4" s="3799"/>
      <c r="U4" s="3799"/>
    </row>
    <row r="5" spans="1:27" ht="15.75" customHeight="1">
      <c r="A5" s="3799" t="s">
        <v>171</v>
      </c>
      <c r="B5" s="3799"/>
      <c r="C5" s="3799"/>
      <c r="D5" s="3799"/>
      <c r="E5" s="3799"/>
      <c r="F5" s="3799"/>
      <c r="G5" s="3799"/>
      <c r="H5" s="3799"/>
      <c r="I5" s="3799"/>
      <c r="J5" s="3799"/>
      <c r="K5" s="3799"/>
      <c r="L5" s="3799"/>
      <c r="M5" s="3799"/>
      <c r="N5" s="3799"/>
      <c r="O5" s="3799"/>
      <c r="P5" s="3799"/>
      <c r="Q5" s="3799"/>
      <c r="R5" s="3799"/>
      <c r="S5" s="3799"/>
      <c r="T5" s="3799"/>
      <c r="U5" s="3799"/>
    </row>
    <row r="6" spans="1:27" ht="12.75" customHeight="1">
      <c r="A6" s="3799" t="s">
        <v>726</v>
      </c>
      <c r="B6" s="3799"/>
      <c r="C6" s="3799"/>
      <c r="D6" s="3799"/>
      <c r="E6" s="3799"/>
      <c r="F6" s="3799"/>
      <c r="G6" s="3799"/>
      <c r="H6" s="3799"/>
      <c r="I6" s="3799"/>
      <c r="J6" s="3799"/>
      <c r="K6" s="3799"/>
      <c r="L6" s="3799"/>
      <c r="M6" s="3799"/>
      <c r="N6" s="3799"/>
      <c r="O6" s="3799"/>
      <c r="P6" s="3799"/>
      <c r="Q6" s="3799"/>
      <c r="R6" s="3799"/>
      <c r="S6" s="3799"/>
      <c r="T6" s="3799"/>
      <c r="U6" s="3799"/>
    </row>
    <row r="7" spans="1:27" ht="24.75" customHeight="1">
      <c r="A7" s="3800" t="s">
        <v>602</v>
      </c>
      <c r="B7" s="3800"/>
      <c r="C7" s="3800"/>
      <c r="D7" s="3800"/>
      <c r="E7" s="3800"/>
      <c r="F7" s="3800"/>
      <c r="G7" s="3800"/>
      <c r="H7" s="3358"/>
      <c r="I7" s="3358"/>
      <c r="J7" s="3358"/>
      <c r="K7" s="3358"/>
      <c r="L7" s="3358"/>
      <c r="M7" s="3358"/>
      <c r="N7" s="3358"/>
      <c r="O7" s="3358"/>
      <c r="P7" s="3358"/>
      <c r="Q7" s="3358"/>
      <c r="R7" s="3576"/>
      <c r="S7" s="3358"/>
      <c r="T7" s="3358"/>
      <c r="U7" s="3358"/>
    </row>
    <row r="8" spans="1:27" s="2011" customFormat="1" ht="21.75" customHeight="1">
      <c r="A8" s="3934" t="s">
        <v>541</v>
      </c>
      <c r="B8" s="3934"/>
      <c r="C8" s="3934"/>
      <c r="D8" s="3934"/>
      <c r="E8" s="3934"/>
      <c r="F8" s="3934"/>
      <c r="G8" s="3934"/>
      <c r="H8" s="3361"/>
      <c r="I8" s="3361"/>
      <c r="J8" s="3361"/>
      <c r="K8" s="3361"/>
      <c r="L8" s="3361"/>
      <c r="M8" s="3361"/>
      <c r="N8" s="3361"/>
      <c r="O8" s="3361"/>
      <c r="P8" s="3361"/>
      <c r="Q8" s="3361"/>
      <c r="R8" s="3578"/>
      <c r="S8" s="3361"/>
      <c r="T8" s="3361"/>
      <c r="U8" s="3361"/>
    </row>
    <row r="9" spans="1:27" ht="12.75" customHeight="1">
      <c r="A9" s="3358"/>
      <c r="B9" s="3358"/>
      <c r="C9" s="3358"/>
      <c r="D9" s="3358"/>
      <c r="E9" s="3358"/>
      <c r="F9" s="3358"/>
      <c r="G9" s="3358"/>
      <c r="H9" s="3358"/>
      <c r="I9" s="3358"/>
      <c r="J9" s="3358"/>
      <c r="K9" s="3358"/>
      <c r="L9" s="3358"/>
      <c r="M9" s="3358"/>
      <c r="N9" s="3358"/>
      <c r="O9" s="3358"/>
      <c r="P9" s="3358"/>
      <c r="Q9" s="3358"/>
      <c r="R9" s="3576"/>
      <c r="S9" s="3358"/>
      <c r="T9" s="3358"/>
      <c r="U9" s="3358"/>
    </row>
    <row r="10" spans="1:27" ht="3.75" customHeight="1">
      <c r="A10" s="3358"/>
      <c r="B10" s="3358"/>
      <c r="C10" s="3358"/>
      <c r="D10" s="3358"/>
      <c r="E10" s="3358"/>
      <c r="F10" s="3358"/>
      <c r="G10" s="3358"/>
      <c r="H10" s="3358"/>
      <c r="I10" s="3358"/>
      <c r="J10" s="3358"/>
      <c r="K10" s="3358"/>
      <c r="L10" s="3358"/>
      <c r="M10" s="3358"/>
      <c r="N10" s="3358"/>
      <c r="O10" s="3358"/>
      <c r="P10" s="3358"/>
      <c r="Q10" s="3358"/>
      <c r="R10" s="3576"/>
      <c r="S10" s="3358"/>
      <c r="T10" s="3358"/>
      <c r="U10" s="3358"/>
    </row>
    <row r="11" spans="1:27" ht="12.75" hidden="1" customHeight="1">
      <c r="A11" s="3358"/>
      <c r="B11" s="3358"/>
      <c r="C11" s="3358"/>
      <c r="D11" s="3358"/>
      <c r="E11" s="3358"/>
      <c r="F11" s="3358"/>
      <c r="G11" s="3358"/>
      <c r="H11" s="3358"/>
      <c r="I11" s="3358"/>
      <c r="J11" s="3358"/>
      <c r="K11" s="3358"/>
      <c r="L11" s="3358"/>
      <c r="M11" s="3358"/>
      <c r="N11" s="3358"/>
      <c r="O11" s="3358"/>
      <c r="P11" s="3358"/>
      <c r="Q11" s="3358"/>
      <c r="R11" s="3576"/>
      <c r="S11" s="3358"/>
      <c r="T11" s="3358"/>
      <c r="U11" s="3358"/>
    </row>
    <row r="12" spans="1:27" s="910" customFormat="1" ht="25.5" customHeight="1">
      <c r="A12" s="3956" t="s">
        <v>1826</v>
      </c>
      <c r="B12" s="3956"/>
      <c r="C12" s="3956"/>
      <c r="D12" s="3956"/>
      <c r="E12" s="3956"/>
      <c r="F12" s="3956"/>
      <c r="G12" s="3956"/>
      <c r="H12" s="3956"/>
      <c r="I12" s="3956"/>
      <c r="J12" s="3956"/>
      <c r="K12" s="3956"/>
      <c r="L12" s="3956"/>
      <c r="M12" s="3956"/>
      <c r="N12" s="3956"/>
      <c r="O12" s="3956"/>
      <c r="P12" s="3956"/>
      <c r="Q12" s="3956"/>
      <c r="R12" s="3956"/>
      <c r="S12" s="3956"/>
      <c r="T12" s="3956"/>
      <c r="U12" s="3956"/>
    </row>
    <row r="13" spans="1:27" s="910" customFormat="1" ht="21" customHeight="1">
      <c r="A13" s="1976"/>
      <c r="B13" s="1976"/>
      <c r="C13" s="1385"/>
      <c r="D13" s="1385"/>
      <c r="E13" s="3937"/>
      <c r="F13" s="3937"/>
      <c r="G13" s="3937"/>
      <c r="H13" s="1976"/>
      <c r="I13" s="1976"/>
      <c r="J13" s="1976"/>
      <c r="K13" s="1976"/>
      <c r="L13" s="1976"/>
      <c r="M13" s="1976"/>
      <c r="N13" s="1976"/>
      <c r="O13" s="1976"/>
      <c r="P13" s="1976"/>
      <c r="Q13" s="1976"/>
      <c r="R13" s="1976"/>
      <c r="S13" s="1976"/>
      <c r="T13" s="1976"/>
      <c r="U13" s="1976"/>
    </row>
    <row r="14" spans="1:27" ht="21" customHeight="1">
      <c r="C14" s="1386" t="s">
        <v>894</v>
      </c>
      <c r="D14" s="1387" t="s">
        <v>894</v>
      </c>
      <c r="E14" s="3913">
        <f>'1'!E9:G9</f>
        <v>656</v>
      </c>
      <c r="F14" s="3913"/>
      <c r="G14" s="3913"/>
      <c r="H14" s="917"/>
      <c r="I14" s="917"/>
      <c r="J14" s="916"/>
      <c r="K14" s="918"/>
      <c r="L14" s="919"/>
      <c r="M14" s="920"/>
      <c r="N14" s="920"/>
      <c r="O14" s="920"/>
      <c r="P14" s="920"/>
      <c r="Q14" s="920"/>
      <c r="R14" s="920"/>
      <c r="S14" s="920"/>
      <c r="T14" s="3957" t="s">
        <v>1157</v>
      </c>
      <c r="U14" s="3957"/>
    </row>
    <row r="15" spans="1:27" s="3360" customFormat="1" ht="21.75" customHeight="1">
      <c r="A15" s="3915" t="s">
        <v>1</v>
      </c>
      <c r="B15" s="3938" t="s">
        <v>20</v>
      </c>
      <c r="C15" s="3938"/>
      <c r="D15" s="3938" t="s">
        <v>239</v>
      </c>
      <c r="E15" s="3915" t="s">
        <v>26</v>
      </c>
      <c r="F15" s="3915" t="s">
        <v>9</v>
      </c>
      <c r="G15" s="3966" t="s">
        <v>27</v>
      </c>
      <c r="H15" s="3966"/>
      <c r="I15" s="3966"/>
      <c r="J15" s="3966"/>
      <c r="K15" s="3966"/>
      <c r="L15" s="3966"/>
      <c r="M15" s="3966"/>
      <c r="N15" s="3966"/>
      <c r="O15" s="3966"/>
      <c r="P15" s="3966"/>
      <c r="Q15" s="3966"/>
      <c r="R15" s="3966"/>
      <c r="S15" s="3966"/>
      <c r="T15" s="3927" t="s">
        <v>1165</v>
      </c>
      <c r="U15" s="3926" t="s">
        <v>1155</v>
      </c>
      <c r="W15" s="2853"/>
      <c r="Y15" s="3360">
        <v>46.1</v>
      </c>
      <c r="Z15" s="2742">
        <f>Y15*$E$14</f>
        <v>30241.600000000002</v>
      </c>
      <c r="AA15" s="2743">
        <f>M19*Z15+W18*M19</f>
        <v>1306281.6000000001</v>
      </c>
    </row>
    <row r="16" spans="1:27" s="3360" customFormat="1" ht="32.25" customHeight="1">
      <c r="A16" s="3915"/>
      <c r="B16" s="3938"/>
      <c r="C16" s="3938"/>
      <c r="D16" s="3938"/>
      <c r="E16" s="3915"/>
      <c r="F16" s="3915"/>
      <c r="G16" s="3914" t="s">
        <v>1146</v>
      </c>
      <c r="H16" s="3914"/>
      <c r="I16" s="3926" t="s">
        <v>31</v>
      </c>
      <c r="J16" s="3926"/>
      <c r="K16" s="3926"/>
      <c r="L16" s="3926"/>
      <c r="M16" s="3967" t="s">
        <v>32</v>
      </c>
      <c r="N16" s="3967"/>
      <c r="O16" s="3967"/>
      <c r="P16" s="3967"/>
      <c r="Q16" s="3967"/>
      <c r="R16" s="3967"/>
      <c r="S16" s="3967"/>
      <c r="T16" s="3927"/>
      <c r="U16" s="3926"/>
      <c r="W16" s="2854"/>
      <c r="Y16" s="3360">
        <v>76.900000000000006</v>
      </c>
      <c r="Z16" s="2742">
        <f t="shared" ref="Z16:Z19" si="0">Y16*$E$14</f>
        <v>50446.400000000001</v>
      </c>
      <c r="AA16" s="2743">
        <f>N19*Z16+W18*N19</f>
        <v>281785.59999999998</v>
      </c>
    </row>
    <row r="17" spans="1:26" s="3360" customFormat="1" ht="64.5" customHeight="1">
      <c r="A17" s="3915"/>
      <c r="B17" s="3938"/>
      <c r="C17" s="3938"/>
      <c r="D17" s="3938"/>
      <c r="E17" s="3915"/>
      <c r="F17" s="3915"/>
      <c r="G17" s="2064" t="s">
        <v>362</v>
      </c>
      <c r="H17" s="3365" t="s">
        <v>248</v>
      </c>
      <c r="I17" s="3365" t="s">
        <v>1151</v>
      </c>
      <c r="J17" s="2064" t="s">
        <v>1152</v>
      </c>
      <c r="K17" s="3364" t="s">
        <v>37</v>
      </c>
      <c r="L17" s="3364" t="s">
        <v>38</v>
      </c>
      <c r="M17" s="3368" t="s">
        <v>956</v>
      </c>
      <c r="N17" s="3368" t="s">
        <v>957</v>
      </c>
      <c r="O17" s="3368" t="s">
        <v>1153</v>
      </c>
      <c r="P17" s="3368" t="s">
        <v>1154</v>
      </c>
      <c r="Q17" s="3366" t="s">
        <v>1365</v>
      </c>
      <c r="R17" s="3577" t="s">
        <v>1829</v>
      </c>
      <c r="S17" s="3364" t="s">
        <v>24</v>
      </c>
      <c r="T17" s="3927"/>
      <c r="U17" s="3926"/>
      <c r="W17" s="2739">
        <f>Mủ!AX51</f>
        <v>42.95639779721413</v>
      </c>
      <c r="Y17" s="3360">
        <v>76.8</v>
      </c>
      <c r="Z17" s="2742">
        <f t="shared" si="0"/>
        <v>50380.799999999996</v>
      </c>
    </row>
    <row r="18" spans="1:26" s="2432" customFormat="1" ht="24" customHeight="1">
      <c r="A18" s="2460" t="s">
        <v>606</v>
      </c>
      <c r="B18" s="2461" t="s">
        <v>609</v>
      </c>
      <c r="C18" s="2462" t="s">
        <v>607</v>
      </c>
      <c r="D18" s="2461" t="s">
        <v>611</v>
      </c>
      <c r="E18" s="2461" t="s">
        <v>635</v>
      </c>
      <c r="F18" s="2460" t="s">
        <v>608</v>
      </c>
      <c r="G18" s="2460" t="s">
        <v>609</v>
      </c>
      <c r="H18" s="2460" t="s">
        <v>610</v>
      </c>
      <c r="I18" s="2460" t="s">
        <v>611</v>
      </c>
      <c r="J18" s="2460" t="s">
        <v>635</v>
      </c>
      <c r="K18" s="2460" t="s">
        <v>692</v>
      </c>
      <c r="L18" s="2461" t="s">
        <v>636</v>
      </c>
      <c r="M18" s="2461" t="s">
        <v>637</v>
      </c>
      <c r="N18" s="2461" t="s">
        <v>1256</v>
      </c>
      <c r="O18" s="2461">
        <v>13</v>
      </c>
      <c r="P18" s="2461">
        <v>14</v>
      </c>
      <c r="Q18" s="2461" t="s">
        <v>693</v>
      </c>
      <c r="R18" s="2460" t="s">
        <v>694</v>
      </c>
      <c r="S18" s="2460" t="s">
        <v>1262</v>
      </c>
      <c r="T18" s="2461" t="s">
        <v>1833</v>
      </c>
      <c r="U18" s="2460" t="s">
        <v>1831</v>
      </c>
      <c r="W18" s="2433">
        <v>20000</v>
      </c>
      <c r="Y18" s="2471"/>
      <c r="Z18" s="2742">
        <f t="shared" si="0"/>
        <v>0</v>
      </c>
    </row>
    <row r="19" spans="1:26" s="1543" customFormat="1" ht="29.25" customHeight="1">
      <c r="A19" s="1547">
        <v>1</v>
      </c>
      <c r="B19" s="1548" t="s">
        <v>438</v>
      </c>
      <c r="C19" s="2048" t="str">
        <f>'Chấm công công nhân'!L50</f>
        <v>Thảo tít</v>
      </c>
      <c r="D19" s="1549" t="e">
        <f>VLOOKUP(C19,'Mã số NV'!$B$6:$D$53,3,0)</f>
        <v>#N/A</v>
      </c>
      <c r="E19" s="1550" t="s">
        <v>40</v>
      </c>
      <c r="F19" s="1550"/>
      <c r="G19" s="1551">
        <f>+VLOOKUP(C19,'Tong hop cong'!C51:R51,16,0)</f>
        <v>0</v>
      </c>
      <c r="H19" s="1552">
        <f>G19*25000</f>
        <v>0</v>
      </c>
      <c r="I19" s="1552">
        <f>+VLOOKUP(C19,'Tong hop cong'!C51:S51,17,0)</f>
        <v>2309</v>
      </c>
      <c r="J19" s="1553">
        <f>I19*$W$17/100</f>
        <v>991.86322513767436</v>
      </c>
      <c r="K19" s="1554" t="str">
        <f>+VLOOKUP(C19,'Tong hop cong'!C51:AA51,25,0)</f>
        <v>B</v>
      </c>
      <c r="L19" s="1555">
        <f>IF(K19="A",(J19*(6.1*$E$14)),IF(K19="B",(J19*(5.8*$E$14)),IF(K19="C",(J19*(5.5*$E$14)),IF(K19="D",(J19*(5.2*$E$14)),0))))</f>
        <v>3773841.1990038231</v>
      </c>
      <c r="M19" s="1553">
        <f>+VLOOKUP(C19,'Tong hop cong'!C51:V51,20,0)</f>
        <v>26</v>
      </c>
      <c r="N19" s="1553">
        <f>+VLOOKUP(C19,'Tong hop cong'!C51:W65,21,0)</f>
        <v>4</v>
      </c>
      <c r="O19" s="1553"/>
      <c r="P19" s="1553"/>
      <c r="Q19" s="1553">
        <f>M19+N19</f>
        <v>30</v>
      </c>
      <c r="R19" s="1553">
        <f>VLOOKUP(C19,'BẢNG LƯƠNG KT'!$C$55:$R$70,16,0)</f>
        <v>30</v>
      </c>
      <c r="S19" s="1555">
        <f>((M19*(46.1*$E$14))+(N19*(76.9*$E$14))+(O19*(76.8*$E$14))+(P19*(107.6*$E$14)))+Q19*$W$18+R19*$W$18</f>
        <v>2188067.2000000002</v>
      </c>
      <c r="T19" s="1555">
        <f>H19+L19+S19</f>
        <v>5961908.3990038233</v>
      </c>
      <c r="U19" s="1556">
        <f t="shared" ref="U19:U34" si="1">T19</f>
        <v>5961908.3990038233</v>
      </c>
      <c r="W19" s="2995">
        <v>25000</v>
      </c>
      <c r="Y19" s="2472">
        <v>107.6</v>
      </c>
      <c r="Z19" s="2742">
        <f t="shared" si="0"/>
        <v>70585.599999999991</v>
      </c>
    </row>
    <row r="20" spans="1:26" s="1543" customFormat="1" ht="29.25" customHeight="1">
      <c r="A20" s="1547">
        <v>2</v>
      </c>
      <c r="B20" s="1557" t="s">
        <v>440</v>
      </c>
      <c r="C20" s="2048" t="str">
        <f>'Chấm công công nhân'!L51</f>
        <v>Thảo ớt</v>
      </c>
      <c r="D20" s="1549" t="e">
        <f>VLOOKUP(C20,'Mã số NV'!$B$6:$D$53,3,0)</f>
        <v>#N/A</v>
      </c>
      <c r="E20" s="1550" t="s">
        <v>40</v>
      </c>
      <c r="F20" s="1550"/>
      <c r="G20" s="1551">
        <f>+VLOOKUP(C20,'Tong hop cong'!C52:R52,16,0)</f>
        <v>0</v>
      </c>
      <c r="H20" s="1552">
        <f t="shared" ref="H20:H34" si="2">G20*25000</f>
        <v>0</v>
      </c>
      <c r="I20" s="1552">
        <f>+VLOOKUP(C20,'Tong hop cong'!C52:S52,17,0)</f>
        <v>2580</v>
      </c>
      <c r="J20" s="1553">
        <f t="shared" ref="J20:J34" si="3">I20*$W$17/100</f>
        <v>1108.2750631681247</v>
      </c>
      <c r="K20" s="1554" t="str">
        <f>+VLOOKUP(C20,'Tong hop cong'!C52:AA52,25,0)</f>
        <v>A</v>
      </c>
      <c r="L20" s="1555">
        <f t="shared" ref="L20:L33" si="4">IF(K20="A",(J20*(6.1*$E$14)),IF(K20="B",(J20*(5.8*$E$14)),IF(K20="C",(J20*(5.5*$E$14)),IF(K20="D",(J20*(5.2*$E$14)),0))))</f>
        <v>4434873.4927735673</v>
      </c>
      <c r="M20" s="1553">
        <f>+VLOOKUP(C20,'Tong hop cong'!C52:V52,20,0)</f>
        <v>27</v>
      </c>
      <c r="N20" s="1553">
        <f>+VLOOKUP(C20,'Tong hop cong'!C52:W66,21,0)</f>
        <v>4</v>
      </c>
      <c r="O20" s="1553"/>
      <c r="P20" s="1553"/>
      <c r="Q20" s="1553">
        <f t="shared" ref="Q20:Q34" si="5">M20+N20</f>
        <v>31</v>
      </c>
      <c r="R20" s="1553">
        <f>VLOOKUP(C20,'BẢNG LƯƠNG KT'!$C$55:$R$70,16,0)</f>
        <v>31</v>
      </c>
      <c r="S20" s="1555">
        <f t="shared" ref="S20:S34" si="6">((M20*(46.1*$E$14))+(N20*(76.9*$E$14))+(O20*(76.8*$E$14))+(P20*(107.6*$E$14)))+Q20*$W$18+R20*$W$18</f>
        <v>2258308.7999999998</v>
      </c>
      <c r="T20" s="1555">
        <f t="shared" ref="T20:T34" si="7">H20+L20+S20</f>
        <v>6693182.2927735671</v>
      </c>
      <c r="U20" s="1556">
        <f t="shared" si="1"/>
        <v>6693182.2927735671</v>
      </c>
      <c r="Y20" s="2472"/>
    </row>
    <row r="21" spans="1:26" s="1543" customFormat="1" ht="29.25" customHeight="1">
      <c r="A21" s="1547">
        <v>3</v>
      </c>
      <c r="B21" s="1557" t="s">
        <v>442</v>
      </c>
      <c r="C21" s="2048" t="str">
        <f>'Chấm công công nhân'!L52</f>
        <v>Nàng Ọt</v>
      </c>
      <c r="D21" s="1549" t="e">
        <f>VLOOKUP(C21,'Mã số NV'!$B$6:$D$53,3,0)</f>
        <v>#N/A</v>
      </c>
      <c r="E21" s="1550" t="s">
        <v>40</v>
      </c>
      <c r="F21" s="1550"/>
      <c r="G21" s="1551">
        <f>+VLOOKUP(C21,'Tong hop cong'!C53:R53,16,0)</f>
        <v>0</v>
      </c>
      <c r="H21" s="1552">
        <f t="shared" si="2"/>
        <v>0</v>
      </c>
      <c r="I21" s="1552">
        <f>+VLOOKUP(C21,'Tong hop cong'!C53:S53,17,0)</f>
        <v>2401</v>
      </c>
      <c r="J21" s="1553">
        <f t="shared" si="3"/>
        <v>1031.3831111111112</v>
      </c>
      <c r="K21" s="1554" t="str">
        <f>+VLOOKUP(C21,'Tong hop cong'!C53:AA53,25,0)</f>
        <v>B</v>
      </c>
      <c r="L21" s="1555">
        <f t="shared" si="4"/>
        <v>3924206.4611555557</v>
      </c>
      <c r="M21" s="1553">
        <f>+VLOOKUP(C21,'Tong hop cong'!C53:V53,20,0)</f>
        <v>27</v>
      </c>
      <c r="N21" s="1553">
        <f>+VLOOKUP(C21,'Tong hop cong'!C53:W67,21,0)</f>
        <v>4</v>
      </c>
      <c r="O21" s="1553"/>
      <c r="P21" s="1553"/>
      <c r="Q21" s="1553">
        <f t="shared" si="5"/>
        <v>31</v>
      </c>
      <c r="R21" s="1553">
        <f>VLOOKUP(C21,'BẢNG LƯƠNG KT'!$C$55:$R$70,16,0)</f>
        <v>31</v>
      </c>
      <c r="S21" s="1555">
        <f t="shared" si="6"/>
        <v>2258308.7999999998</v>
      </c>
      <c r="T21" s="1555">
        <f t="shared" si="7"/>
        <v>6182515.261155555</v>
      </c>
      <c r="U21" s="1556">
        <f t="shared" si="1"/>
        <v>6182515.261155555</v>
      </c>
      <c r="Y21" s="2472"/>
    </row>
    <row r="22" spans="1:26" s="1543" customFormat="1" ht="29.25" customHeight="1">
      <c r="A22" s="1547">
        <v>4</v>
      </c>
      <c r="B22" s="1557" t="s">
        <v>444</v>
      </c>
      <c r="C22" s="2048" t="str">
        <f>'Chấm công công nhân'!L53</f>
        <v>Thào Tòng</v>
      </c>
      <c r="D22" s="1549" t="e">
        <f>VLOOKUP(C22,'Mã số NV'!$B$6:$D$53,3,0)</f>
        <v>#N/A</v>
      </c>
      <c r="E22" s="1550" t="s">
        <v>40</v>
      </c>
      <c r="F22" s="1550"/>
      <c r="G22" s="1551">
        <f>+VLOOKUP(C22,'Tong hop cong'!C54:R54,16,0)</f>
        <v>0</v>
      </c>
      <c r="H22" s="1552">
        <f t="shared" si="2"/>
        <v>0</v>
      </c>
      <c r="I22" s="1552">
        <f>+VLOOKUP(C22,'Tong hop cong'!C54:S54,17,0)</f>
        <v>2394</v>
      </c>
      <c r="J22" s="1553">
        <f t="shared" si="3"/>
        <v>1028.3761632653063</v>
      </c>
      <c r="K22" s="1554" t="str">
        <f>+VLOOKUP(C22,'Tong hop cong'!C54:AA54,25,0)</f>
        <v>B</v>
      </c>
      <c r="L22" s="1555">
        <f t="shared" si="4"/>
        <v>3912765.6259918371</v>
      </c>
      <c r="M22" s="1553">
        <f>+VLOOKUP(C22,'Tong hop cong'!C54:V54,20,0)</f>
        <v>27</v>
      </c>
      <c r="N22" s="1553">
        <f>+VLOOKUP(C22,'Tong hop cong'!C54:W68,21,0)</f>
        <v>4</v>
      </c>
      <c r="O22" s="1553"/>
      <c r="P22" s="1553"/>
      <c r="Q22" s="1553">
        <f t="shared" si="5"/>
        <v>31</v>
      </c>
      <c r="R22" s="1553">
        <f>VLOOKUP(C22,'BẢNG LƯƠNG KT'!$C$55:$R$70,16,0)</f>
        <v>31</v>
      </c>
      <c r="S22" s="1555">
        <f t="shared" si="6"/>
        <v>2258308.7999999998</v>
      </c>
      <c r="T22" s="1555">
        <f t="shared" si="7"/>
        <v>6171074.4259918369</v>
      </c>
      <c r="U22" s="1556">
        <f t="shared" si="1"/>
        <v>6171074.4259918369</v>
      </c>
    </row>
    <row r="23" spans="1:26" s="1543" customFormat="1" ht="29.25" customHeight="1">
      <c r="A23" s="1547">
        <v>5</v>
      </c>
      <c r="B23" s="1557" t="s">
        <v>446</v>
      </c>
      <c r="C23" s="2048" t="str">
        <f>'Chấm công công nhân'!L54</f>
        <v>Nàng Nơm</v>
      </c>
      <c r="D23" s="1549" t="e">
        <f>VLOOKUP(C23,'Mã số NV'!$B$6:$D$53,3,0)</f>
        <v>#N/A</v>
      </c>
      <c r="E23" s="1550" t="s">
        <v>40</v>
      </c>
      <c r="F23" s="1550"/>
      <c r="G23" s="1551">
        <f>+VLOOKUP(C23,'Tong hop cong'!C55:R55,16,0)</f>
        <v>0</v>
      </c>
      <c r="H23" s="1552">
        <f t="shared" si="2"/>
        <v>0</v>
      </c>
      <c r="I23" s="1552">
        <f>+VLOOKUP(C23,'Tong hop cong'!C55:S55,17,0)</f>
        <v>2389</v>
      </c>
      <c r="J23" s="1553">
        <f t="shared" si="3"/>
        <v>1026.2283433754455</v>
      </c>
      <c r="K23" s="1554" t="str">
        <f>+VLOOKUP(C23,'Tong hop cong'!C55:AA55,25,0)</f>
        <v>A</v>
      </c>
      <c r="L23" s="1555">
        <f t="shared" si="4"/>
        <v>4106555.3388511827</v>
      </c>
      <c r="M23" s="1553">
        <f>+VLOOKUP(C23,'Tong hop cong'!C55:V55,20,0)</f>
        <v>27</v>
      </c>
      <c r="N23" s="1553">
        <f>+VLOOKUP(C23,'Tong hop cong'!C55:W69,21,0)</f>
        <v>4</v>
      </c>
      <c r="O23" s="1553"/>
      <c r="P23" s="1553"/>
      <c r="Q23" s="1553">
        <f t="shared" si="5"/>
        <v>31</v>
      </c>
      <c r="R23" s="1553">
        <f>VLOOKUP(C23,'BẢNG LƯƠNG KT'!$C$55:$R$70,16,0)</f>
        <v>31</v>
      </c>
      <c r="S23" s="1555">
        <f t="shared" si="6"/>
        <v>2258308.7999999998</v>
      </c>
      <c r="T23" s="1555">
        <f t="shared" si="7"/>
        <v>6364864.1388511825</v>
      </c>
      <c r="U23" s="1556">
        <f t="shared" si="1"/>
        <v>6364864.1388511825</v>
      </c>
    </row>
    <row r="24" spans="1:26" s="1543" customFormat="1" ht="29.25" customHeight="1">
      <c r="A24" s="1547">
        <v>6</v>
      </c>
      <c r="B24" s="1557" t="s">
        <v>448</v>
      </c>
      <c r="C24" s="2048" t="str">
        <f>'Chấm công công nhân'!L55</f>
        <v>Thảo Ây</v>
      </c>
      <c r="D24" s="1549" t="e">
        <f>VLOOKUP(C24,'Mã số NV'!$B$6:$D$53,3,0)</f>
        <v>#N/A</v>
      </c>
      <c r="E24" s="1550" t="s">
        <v>40</v>
      </c>
      <c r="F24" s="1550"/>
      <c r="G24" s="1551">
        <f>+VLOOKUP(C24,'Tong hop cong'!C56:R56,16,0)</f>
        <v>0</v>
      </c>
      <c r="H24" s="1552">
        <f t="shared" si="2"/>
        <v>0</v>
      </c>
      <c r="I24" s="1552">
        <f>+VLOOKUP(C24,'Tong hop cong'!C56:S56,17,0)</f>
        <v>2378</v>
      </c>
      <c r="J24" s="1553">
        <f t="shared" si="3"/>
        <v>1021.503139617752</v>
      </c>
      <c r="K24" s="1554" t="str">
        <f>+VLOOKUP(C24,'Tong hop cong'!C56:AA56,25,0)</f>
        <v>A</v>
      </c>
      <c r="L24" s="1555">
        <f t="shared" si="4"/>
        <v>4087646.9634943963</v>
      </c>
      <c r="M24" s="1553">
        <f>+VLOOKUP(C24,'Tong hop cong'!C56:V56,20,0)</f>
        <v>27</v>
      </c>
      <c r="N24" s="1553">
        <f>+VLOOKUP(C24,'Tong hop cong'!C56:W70,21,0)</f>
        <v>4</v>
      </c>
      <c r="O24" s="1553"/>
      <c r="P24" s="1553"/>
      <c r="Q24" s="1553">
        <f t="shared" si="5"/>
        <v>31</v>
      </c>
      <c r="R24" s="1553">
        <f>VLOOKUP(C24,'BẢNG LƯƠNG KT'!$C$55:$R$70,16,0)</f>
        <v>31</v>
      </c>
      <c r="S24" s="1555">
        <f t="shared" si="6"/>
        <v>2258308.7999999998</v>
      </c>
      <c r="T24" s="1555">
        <f t="shared" si="7"/>
        <v>6345955.7634943966</v>
      </c>
      <c r="U24" s="1556">
        <f t="shared" si="1"/>
        <v>6345955.7634943966</v>
      </c>
    </row>
    <row r="25" spans="1:26" s="1543" customFormat="1" ht="29.25" customHeight="1">
      <c r="A25" s="1547">
        <v>7</v>
      </c>
      <c r="B25" s="1557" t="s">
        <v>452</v>
      </c>
      <c r="C25" s="2048" t="str">
        <f>'Chấm công công nhân'!L56</f>
        <v>Thảo Âm Thong</v>
      </c>
      <c r="D25" s="1549" t="e">
        <f>VLOOKUP(C25,'Mã số NV'!$B$6:$D$53,3,0)</f>
        <v>#N/A</v>
      </c>
      <c r="E25" s="1550" t="s">
        <v>40</v>
      </c>
      <c r="F25" s="1550"/>
      <c r="G25" s="1551">
        <f>+VLOOKUP(C25,'Tong hop cong'!C57:R57,16,0)</f>
        <v>0</v>
      </c>
      <c r="H25" s="1552">
        <f t="shared" si="2"/>
        <v>0</v>
      </c>
      <c r="I25" s="1552">
        <f>+VLOOKUP(C25,'Tong hop cong'!C57:S57,17,0)</f>
        <v>2010</v>
      </c>
      <c r="J25" s="1553">
        <f t="shared" si="3"/>
        <v>863.42359572400392</v>
      </c>
      <c r="K25" s="1554" t="str">
        <f>+VLOOKUP(C25,'Tong hop cong'!C57:AA57,25,0)</f>
        <v>C</v>
      </c>
      <c r="L25" s="1555">
        <f t="shared" si="4"/>
        <v>3115232.333372206</v>
      </c>
      <c r="M25" s="1553">
        <f>+VLOOKUP(C25,'Tong hop cong'!C57:V57,20,0)</f>
        <v>24</v>
      </c>
      <c r="N25" s="1553">
        <f>+VLOOKUP(C25,'Tong hop cong'!C57:W71,21,0)</f>
        <v>3</v>
      </c>
      <c r="O25" s="1553"/>
      <c r="P25" s="1553"/>
      <c r="Q25" s="1553">
        <f t="shared" si="5"/>
        <v>27</v>
      </c>
      <c r="R25" s="1553">
        <f>VLOOKUP(C25,'BẢNG LƯƠNG KT'!$C$55:$R$70,16,0)</f>
        <v>27</v>
      </c>
      <c r="S25" s="1555">
        <f t="shared" si="6"/>
        <v>1957137.6</v>
      </c>
      <c r="T25" s="1555">
        <f t="shared" si="7"/>
        <v>5072369.9333722061</v>
      </c>
      <c r="U25" s="1556">
        <f t="shared" si="1"/>
        <v>5072369.9333722061</v>
      </c>
    </row>
    <row r="26" spans="1:26" s="1543" customFormat="1" ht="29.25" customHeight="1">
      <c r="A26" s="1547">
        <v>8</v>
      </c>
      <c r="B26" s="1557" t="s">
        <v>456</v>
      </c>
      <c r="C26" s="2048" t="str">
        <f>'Chấm công công nhân'!L57</f>
        <v>Nàng phon</v>
      </c>
      <c r="D26" s="1549" t="e">
        <f>VLOOKUP(C26,'Mã số NV'!$B$6:$D$53,3,0)</f>
        <v>#N/A</v>
      </c>
      <c r="E26" s="1550" t="s">
        <v>40</v>
      </c>
      <c r="F26" s="1550"/>
      <c r="G26" s="1551">
        <f>+VLOOKUP(C26,'Tong hop cong'!C58:R58,16,0)</f>
        <v>0</v>
      </c>
      <c r="H26" s="1552">
        <f t="shared" si="2"/>
        <v>0</v>
      </c>
      <c r="I26" s="1552">
        <f>+VLOOKUP(C26,'Tong hop cong'!C58:S58,17,0)</f>
        <v>2214</v>
      </c>
      <c r="J26" s="1553">
        <f t="shared" si="3"/>
        <v>951.05464723032082</v>
      </c>
      <c r="K26" s="1554" t="str">
        <f>+VLOOKUP(C26,'Tong hop cong'!C58:AA58,25,0)</f>
        <v>B</v>
      </c>
      <c r="L26" s="1555">
        <f t="shared" si="4"/>
        <v>3618572.7217819244</v>
      </c>
      <c r="M26" s="1553">
        <f>+VLOOKUP(C26,'Tong hop cong'!C58:V58,20,0)</f>
        <v>24</v>
      </c>
      <c r="N26" s="1553">
        <f>+VLOOKUP(C26,'Tong hop cong'!C58:W72,21,0)</f>
        <v>4</v>
      </c>
      <c r="O26" s="1553"/>
      <c r="P26" s="1553"/>
      <c r="Q26" s="1553">
        <f t="shared" si="5"/>
        <v>28</v>
      </c>
      <c r="R26" s="1553">
        <f>VLOOKUP(C26,'BẢNG LƯƠNG KT'!$C$55:$R$70,16,0)</f>
        <v>28</v>
      </c>
      <c r="S26" s="1555">
        <f t="shared" si="6"/>
        <v>2047584</v>
      </c>
      <c r="T26" s="1555">
        <f t="shared" si="7"/>
        <v>5666156.7217819244</v>
      </c>
      <c r="U26" s="1556">
        <f t="shared" si="1"/>
        <v>5666156.7217819244</v>
      </c>
    </row>
    <row r="27" spans="1:26" s="1543" customFormat="1" ht="29.25" customHeight="1">
      <c r="A27" s="1547">
        <v>9</v>
      </c>
      <c r="B27" s="1557"/>
      <c r="C27" s="2048" t="str">
        <f>'Chấm công công nhân'!L58</f>
        <v>Thảo phắt</v>
      </c>
      <c r="D27" s="1549"/>
      <c r="E27" s="1550" t="s">
        <v>40</v>
      </c>
      <c r="F27" s="1550"/>
      <c r="G27" s="1551">
        <f>+VLOOKUP(C27,'Tong hop cong'!C59:R59,16,0)</f>
        <v>0</v>
      </c>
      <c r="H27" s="1552">
        <f t="shared" si="2"/>
        <v>0</v>
      </c>
      <c r="I27" s="1552">
        <f>+VLOOKUP(C27,'Tong hop cong'!C59:S59,17,0)</f>
        <v>2568</v>
      </c>
      <c r="J27" s="1553">
        <f t="shared" si="3"/>
        <v>1103.1202954324588</v>
      </c>
      <c r="K27" s="1554" t="str">
        <f>+VLOOKUP(C27,'Tong hop cong'!C59:AA59,25,0)</f>
        <v>B</v>
      </c>
      <c r="L27" s="1555">
        <f t="shared" si="4"/>
        <v>4197152.1000614185</v>
      </c>
      <c r="M27" s="1553">
        <f>+VLOOKUP(C27,'Tong hop cong'!C59:V59,20,0)</f>
        <v>27</v>
      </c>
      <c r="N27" s="1553">
        <f>+VLOOKUP(C27,'Tong hop cong'!C59:W73,21,0)</f>
        <v>4</v>
      </c>
      <c r="O27" s="1553"/>
      <c r="P27" s="1553"/>
      <c r="Q27" s="1553">
        <f t="shared" si="5"/>
        <v>31</v>
      </c>
      <c r="R27" s="1553">
        <f>VLOOKUP(C27,'BẢNG LƯƠNG KT'!$C$55:$R$70,16,0)</f>
        <v>31</v>
      </c>
      <c r="S27" s="1555">
        <f t="shared" si="6"/>
        <v>2258308.7999999998</v>
      </c>
      <c r="T27" s="1555">
        <f t="shared" si="7"/>
        <v>6455460.9000614183</v>
      </c>
      <c r="U27" s="1556">
        <f t="shared" si="1"/>
        <v>6455460.9000614183</v>
      </c>
    </row>
    <row r="28" spans="1:26" s="1543" customFormat="1" ht="29.25" customHeight="1">
      <c r="A28" s="1547">
        <v>10</v>
      </c>
      <c r="B28" s="1557"/>
      <c r="C28" s="2048" t="str">
        <f>'Chấm công công nhân'!L59</f>
        <v>Thảo Phon Say</v>
      </c>
      <c r="D28" s="1549"/>
      <c r="E28" s="1550" t="s">
        <v>40</v>
      </c>
      <c r="F28" s="1550"/>
      <c r="G28" s="1551">
        <f>+VLOOKUP(C28,'Tong hop cong'!C60:R60,16,0)</f>
        <v>0</v>
      </c>
      <c r="H28" s="1552">
        <f t="shared" si="2"/>
        <v>0</v>
      </c>
      <c r="I28" s="1552">
        <f>+VLOOKUP(C28,'Tong hop cong'!C60:S60,17,0)</f>
        <v>2663</v>
      </c>
      <c r="J28" s="1553">
        <f t="shared" si="3"/>
        <v>1143.9288733398123</v>
      </c>
      <c r="K28" s="1554" t="str">
        <f>+VLOOKUP(C28,'Tong hop cong'!C60:AA60,25,0)</f>
        <v>B</v>
      </c>
      <c r="L28" s="1555">
        <f t="shared" si="4"/>
        <v>4352420.5772833172</v>
      </c>
      <c r="M28" s="1553">
        <f>+VLOOKUP(C28,'Tong hop cong'!C60:V60,20,0)</f>
        <v>27</v>
      </c>
      <c r="N28" s="1553">
        <f>+VLOOKUP(C28,'Tong hop cong'!C60:W74,21,0)</f>
        <v>4</v>
      </c>
      <c r="O28" s="1553"/>
      <c r="P28" s="1553"/>
      <c r="Q28" s="1553">
        <f t="shared" si="5"/>
        <v>31</v>
      </c>
      <c r="R28" s="1553">
        <f>VLOOKUP(C28,'BẢNG LƯƠNG KT'!$C$55:$R$70,16,0)</f>
        <v>31</v>
      </c>
      <c r="S28" s="1555">
        <f t="shared" si="6"/>
        <v>2258308.7999999998</v>
      </c>
      <c r="T28" s="1555">
        <f t="shared" si="7"/>
        <v>6610729.377283317</v>
      </c>
      <c r="U28" s="1556">
        <f t="shared" si="1"/>
        <v>6610729.377283317</v>
      </c>
    </row>
    <row r="29" spans="1:26" s="1543" customFormat="1" ht="29.25" customHeight="1">
      <c r="A29" s="1547">
        <v>11</v>
      </c>
      <c r="B29" s="1548" t="s">
        <v>475</v>
      </c>
      <c r="C29" s="2048" t="str">
        <f>'Chấm công công nhân'!L60</f>
        <v>Nàng Pít</v>
      </c>
      <c r="D29" s="1549" t="e">
        <f>VLOOKUP(C29,'Mã số NV'!$B$6:$D$53,3,0)</f>
        <v>#N/A</v>
      </c>
      <c r="E29" s="1550" t="s">
        <v>40</v>
      </c>
      <c r="F29" s="1550"/>
      <c r="G29" s="1551">
        <f>+VLOOKUP(C29,'Tong hop cong'!C61:R61,16,0)</f>
        <v>0</v>
      </c>
      <c r="H29" s="1552">
        <f t="shared" si="2"/>
        <v>0</v>
      </c>
      <c r="I29" s="1552">
        <f>+VLOOKUP(C29,'Tong hop cong'!C61:S61,17,0)</f>
        <v>2289</v>
      </c>
      <c r="J29" s="1553">
        <f t="shared" si="3"/>
        <v>983.27194557823134</v>
      </c>
      <c r="K29" s="1554" t="str">
        <f>+VLOOKUP(C29,'Tong hop cong'!C61:AA61,25,0)</f>
        <v>C</v>
      </c>
      <c r="L29" s="1555">
        <f t="shared" si="4"/>
        <v>3547645.1796462587</v>
      </c>
      <c r="M29" s="1553">
        <f>+VLOOKUP(C29,'Tong hop cong'!C61:V61,20,0)</f>
        <v>26</v>
      </c>
      <c r="N29" s="1553">
        <f>+VLOOKUP(C29,'Tong hop cong'!C61:W75,21,0)</f>
        <v>4</v>
      </c>
      <c r="O29" s="1553"/>
      <c r="P29" s="1553"/>
      <c r="Q29" s="1553">
        <f t="shared" si="5"/>
        <v>30</v>
      </c>
      <c r="R29" s="1553">
        <f>VLOOKUP(C29,'BẢNG LƯƠNG KT'!$C$55:$R$70,16,0)</f>
        <v>30</v>
      </c>
      <c r="S29" s="1555">
        <f t="shared" si="6"/>
        <v>2188067.2000000002</v>
      </c>
      <c r="T29" s="1555">
        <f t="shared" si="7"/>
        <v>5735712.3796462584</v>
      </c>
      <c r="U29" s="1556">
        <f t="shared" si="1"/>
        <v>5735712.3796462584</v>
      </c>
    </row>
    <row r="30" spans="1:26" s="1543" customFormat="1" ht="29.25" customHeight="1">
      <c r="A30" s="1547">
        <v>12</v>
      </c>
      <c r="B30" s="1548" t="s">
        <v>477</v>
      </c>
      <c r="C30" s="2048" t="str">
        <f>'Chấm công công nhân'!L61</f>
        <v>Thảo út</v>
      </c>
      <c r="D30" s="1549" t="e">
        <f>VLOOKUP(C30,'Mã số NV'!$B$6:$D$53,3,0)</f>
        <v>#N/A</v>
      </c>
      <c r="E30" s="1550" t="s">
        <v>40</v>
      </c>
      <c r="F30" s="1550"/>
      <c r="G30" s="1551">
        <f>+VLOOKUP(C30,'Tong hop cong'!C62:R62,16,0)</f>
        <v>0</v>
      </c>
      <c r="H30" s="1552">
        <f t="shared" si="2"/>
        <v>0</v>
      </c>
      <c r="I30" s="1552">
        <f>+VLOOKUP(C30,'Tong hop cong'!C62:S62,17,0)</f>
        <v>2619</v>
      </c>
      <c r="J30" s="1553">
        <f t="shared" si="3"/>
        <v>1125.028058309038</v>
      </c>
      <c r="K30" s="1554" t="str">
        <f>+VLOOKUP(C30,'Tong hop cong'!C62:AA62,25,0)</f>
        <v>A</v>
      </c>
      <c r="L30" s="1555">
        <f t="shared" si="4"/>
        <v>4501912.2781294463</v>
      </c>
      <c r="M30" s="1553">
        <f>+VLOOKUP(C30,'Tong hop cong'!C62:V62,20,0)</f>
        <v>27</v>
      </c>
      <c r="N30" s="1553">
        <f>+VLOOKUP(C30,'Tong hop cong'!C62:W76,21,0)</f>
        <v>4</v>
      </c>
      <c r="O30" s="1553"/>
      <c r="P30" s="1553"/>
      <c r="Q30" s="1553">
        <f t="shared" si="5"/>
        <v>31</v>
      </c>
      <c r="R30" s="1553">
        <f>VLOOKUP(C30,'BẢNG LƯƠNG KT'!$C$55:$R$70,16,0)</f>
        <v>31</v>
      </c>
      <c r="S30" s="1555">
        <f t="shared" si="6"/>
        <v>2258308.7999999998</v>
      </c>
      <c r="T30" s="1555">
        <f t="shared" si="7"/>
        <v>6760221.0781294461</v>
      </c>
      <c r="U30" s="1556">
        <f t="shared" si="1"/>
        <v>6760221.0781294461</v>
      </c>
    </row>
    <row r="31" spans="1:26" s="1543" customFormat="1" ht="29.25" customHeight="1">
      <c r="A31" s="1547">
        <v>13</v>
      </c>
      <c r="B31" s="1548"/>
      <c r="C31" s="2048" t="str">
        <f>'Chấm công công nhân'!L62</f>
        <v>Nàng ăm</v>
      </c>
      <c r="D31" s="1549"/>
      <c r="E31" s="1550" t="s">
        <v>40</v>
      </c>
      <c r="F31" s="1550"/>
      <c r="G31" s="1551">
        <f>+VLOOKUP(C31,'Tong hop cong'!C63:R63,16,0)</f>
        <v>0</v>
      </c>
      <c r="H31" s="1552">
        <f t="shared" si="2"/>
        <v>0</v>
      </c>
      <c r="I31" s="1552">
        <f>+VLOOKUP(C31,'Tong hop cong'!C63:S63,17,0)</f>
        <v>2763</v>
      </c>
      <c r="J31" s="1553">
        <f t="shared" si="3"/>
        <v>1186.8852711370264</v>
      </c>
      <c r="K31" s="1554" t="str">
        <f>+VLOOKUP(C31,'Tong hop cong'!C63:AA63,25,0)</f>
        <v>B</v>
      </c>
      <c r="L31" s="1555">
        <f t="shared" si="4"/>
        <v>4515861.0796221578</v>
      </c>
      <c r="M31" s="1553">
        <f>+VLOOKUP(C31,'Tong hop cong'!C63:V63,20,0)</f>
        <v>23</v>
      </c>
      <c r="N31" s="1553">
        <f>+VLOOKUP(C31,'Tong hop cong'!C63:W77,21,0)</f>
        <v>4</v>
      </c>
      <c r="O31" s="1553"/>
      <c r="P31" s="1553"/>
      <c r="Q31" s="1553">
        <f t="shared" si="5"/>
        <v>27</v>
      </c>
      <c r="R31" s="1553">
        <f>VLOOKUP(C31,'BẢNG LƯƠNG KT'!$C$55:$R$70,16,0)</f>
        <v>27</v>
      </c>
      <c r="S31" s="1555">
        <f t="shared" si="6"/>
        <v>1977342.4</v>
      </c>
      <c r="T31" s="1555">
        <f t="shared" si="7"/>
        <v>6493203.4796221573</v>
      </c>
      <c r="U31" s="1556">
        <f t="shared" si="1"/>
        <v>6493203.4796221573</v>
      </c>
    </row>
    <row r="32" spans="1:26" s="1543" customFormat="1" ht="29.25" customHeight="1">
      <c r="A32" s="1547">
        <v>14</v>
      </c>
      <c r="B32" s="1548"/>
      <c r="C32" s="2048" t="str">
        <f>'Chấm công công nhân'!L63</f>
        <v>Nàng Phìn</v>
      </c>
      <c r="D32" s="1549"/>
      <c r="E32" s="1550" t="s">
        <v>40</v>
      </c>
      <c r="F32" s="1550"/>
      <c r="G32" s="1551">
        <f>+VLOOKUP(C32,'Tong hop cong'!C64:R64,16,0)</f>
        <v>0</v>
      </c>
      <c r="H32" s="1552">
        <f t="shared" si="2"/>
        <v>0</v>
      </c>
      <c r="I32" s="1552">
        <f>+VLOOKUP(C32,'Tong hop cong'!C64:S64,17,0)</f>
        <v>2656</v>
      </c>
      <c r="J32" s="1553">
        <f t="shared" si="3"/>
        <v>1140.9219254940074</v>
      </c>
      <c r="K32" s="1554" t="str">
        <f>+VLOOKUP(C32,'Tong hop cong'!C64:AA64,25,0)</f>
        <v>A</v>
      </c>
      <c r="L32" s="1555">
        <f t="shared" si="4"/>
        <v>4565513.1770568201</v>
      </c>
      <c r="M32" s="1553">
        <f>+VLOOKUP(C32,'Tong hop cong'!C64:V64,20,0)</f>
        <v>27</v>
      </c>
      <c r="N32" s="1553">
        <f>+VLOOKUP(C32,'Tong hop cong'!C64:W78,21,0)</f>
        <v>4</v>
      </c>
      <c r="O32" s="1553"/>
      <c r="P32" s="1553"/>
      <c r="Q32" s="1553">
        <f t="shared" si="5"/>
        <v>31</v>
      </c>
      <c r="R32" s="1553">
        <f>VLOOKUP(C32,'BẢNG LƯƠNG KT'!$C$55:$R$70,16,0)</f>
        <v>31</v>
      </c>
      <c r="S32" s="1555">
        <f t="shared" si="6"/>
        <v>2258308.7999999998</v>
      </c>
      <c r="T32" s="1555">
        <f t="shared" si="7"/>
        <v>6823821.9770568199</v>
      </c>
      <c r="U32" s="1556">
        <f t="shared" si="1"/>
        <v>6823821.9770568199</v>
      </c>
    </row>
    <row r="33" spans="1:24" s="1543" customFormat="1" ht="29.25" customHeight="1">
      <c r="A33" s="1547">
        <v>15</v>
      </c>
      <c r="B33" s="1548"/>
      <c r="C33" s="2048" t="str">
        <f>'Chấm công công nhân'!L64</f>
        <v>May</v>
      </c>
      <c r="D33" s="1549"/>
      <c r="E33" s="1550" t="s">
        <v>40</v>
      </c>
      <c r="F33" s="1550"/>
      <c r="G33" s="1551">
        <f>+VLOOKUP(C33,'Tong hop cong'!C65:R65,16,0)</f>
        <v>0</v>
      </c>
      <c r="H33" s="1552">
        <f t="shared" si="2"/>
        <v>0</v>
      </c>
      <c r="I33" s="1552">
        <f>+VLOOKUP(C33,'Tong hop cong'!C65:S65,17,0)</f>
        <v>2811</v>
      </c>
      <c r="J33" s="1553">
        <f t="shared" si="3"/>
        <v>1207.5043420796892</v>
      </c>
      <c r="K33" s="1554" t="str">
        <f>+VLOOKUP(C33,'Tong hop cong'!C65:AA65,25,0)</f>
        <v>A</v>
      </c>
      <c r="L33" s="1555">
        <f t="shared" si="4"/>
        <v>4831949.3752660844</v>
      </c>
      <c r="M33" s="1553">
        <f>+VLOOKUP(C33,'Tong hop cong'!C65:V65,20,0)</f>
        <v>24</v>
      </c>
      <c r="N33" s="1553">
        <f>+VLOOKUP(C33,'Tong hop cong'!C65:W79,21,0)</f>
        <v>4</v>
      </c>
      <c r="O33" s="1553"/>
      <c r="P33" s="1553"/>
      <c r="Q33" s="1553">
        <f t="shared" si="5"/>
        <v>28</v>
      </c>
      <c r="R33" s="1553">
        <f>VLOOKUP(C33,'BẢNG LƯƠNG KT'!$C$55:$R$70,16,0)</f>
        <v>28</v>
      </c>
      <c r="S33" s="1555">
        <f t="shared" si="6"/>
        <v>2047584</v>
      </c>
      <c r="T33" s="1555">
        <f t="shared" si="7"/>
        <v>6879533.3752660844</v>
      </c>
      <c r="U33" s="1556">
        <f t="shared" si="1"/>
        <v>6879533.3752660844</v>
      </c>
    </row>
    <row r="34" spans="1:24" s="1543" customFormat="1" ht="29.25" hidden="1" customHeight="1">
      <c r="A34" s="1547">
        <v>16</v>
      </c>
      <c r="B34" s="1548"/>
      <c r="C34" s="3455" t="str">
        <f>'Tong hop cong'!C66</f>
        <v>Thảo e</v>
      </c>
      <c r="D34" s="1549"/>
      <c r="E34" s="1550"/>
      <c r="F34" s="1550"/>
      <c r="G34" s="3453">
        <f>+VLOOKUP(C34,'Tong hop cong'!C66:R66,16,0)</f>
        <v>0</v>
      </c>
      <c r="H34" s="1552">
        <f t="shared" si="2"/>
        <v>0</v>
      </c>
      <c r="I34" s="1552"/>
      <c r="J34" s="1553">
        <f t="shared" si="3"/>
        <v>0</v>
      </c>
      <c r="K34" s="1554">
        <f>+VLOOKUP(C34,'Tong hop cong'!C66:AA66,24,0)</f>
        <v>0</v>
      </c>
      <c r="L34" s="1555"/>
      <c r="M34" s="1553">
        <f>+VLOOKUP(C34,'Tong hop cong'!C66:V66,19,0)</f>
        <v>0</v>
      </c>
      <c r="N34" s="1553">
        <f>+VLOOKUP(C34,'Tong hop cong'!C66:W80,20,0)</f>
        <v>0</v>
      </c>
      <c r="O34" s="1553"/>
      <c r="P34" s="1553"/>
      <c r="Q34" s="1553">
        <f t="shared" si="5"/>
        <v>0</v>
      </c>
      <c r="R34" s="1553">
        <f>VLOOKUP(C34,'BẢNG LƯƠNG KT'!$C$55:$R$70,16,0)</f>
        <v>0</v>
      </c>
      <c r="S34" s="1555">
        <f t="shared" si="6"/>
        <v>0</v>
      </c>
      <c r="T34" s="1555">
        <f t="shared" si="7"/>
        <v>0</v>
      </c>
      <c r="U34" s="1556">
        <f t="shared" si="1"/>
        <v>0</v>
      </c>
    </row>
    <row r="35" spans="1:24" s="1546" customFormat="1" ht="29.25" customHeight="1">
      <c r="A35" s="3960" t="s">
        <v>688</v>
      </c>
      <c r="B35" s="3960"/>
      <c r="C35" s="3960"/>
      <c r="D35" s="3960"/>
      <c r="E35" s="3960"/>
      <c r="F35" s="3367"/>
      <c r="G35" s="2049">
        <f>SUM(G19:G34)</f>
        <v>0</v>
      </c>
      <c r="H35" s="2049">
        <f t="shared" ref="H35:U35" si="8">SUM(H19:H34)</f>
        <v>0</v>
      </c>
      <c r="I35" s="2049">
        <f t="shared" si="8"/>
        <v>37044</v>
      </c>
      <c r="J35" s="2049">
        <f t="shared" si="8"/>
        <v>15912.768000000004</v>
      </c>
      <c r="K35" s="2049">
        <f t="shared" si="8"/>
        <v>0</v>
      </c>
      <c r="L35" s="2049">
        <f t="shared" si="8"/>
        <v>61486147.903489992</v>
      </c>
      <c r="M35" s="2049">
        <f t="shared" si="8"/>
        <v>390</v>
      </c>
      <c r="N35" s="2049">
        <f t="shared" si="8"/>
        <v>59</v>
      </c>
      <c r="O35" s="2049">
        <f t="shared" si="8"/>
        <v>0</v>
      </c>
      <c r="P35" s="2049">
        <f t="shared" si="8"/>
        <v>0</v>
      </c>
      <c r="Q35" s="2049">
        <f t="shared" si="8"/>
        <v>449</v>
      </c>
      <c r="R35" s="2049">
        <f t="shared" si="8"/>
        <v>449</v>
      </c>
      <c r="S35" s="2049">
        <f>SUM(S19:S34)</f>
        <v>32730561.599999998</v>
      </c>
      <c r="T35" s="2049">
        <f t="shared" si="8"/>
        <v>94216709.503490001</v>
      </c>
      <c r="U35" s="2049">
        <f t="shared" si="8"/>
        <v>94216709.503490001</v>
      </c>
      <c r="V35" s="1545"/>
      <c r="W35" s="3281">
        <f>L35+S35</f>
        <v>94216709.503489986</v>
      </c>
    </row>
    <row r="36" spans="1:24" s="910" customFormat="1" ht="36" customHeight="1">
      <c r="A36" s="3942" t="s">
        <v>1857</v>
      </c>
      <c r="B36" s="3942"/>
      <c r="C36" s="3942"/>
      <c r="D36" s="3942"/>
      <c r="E36" s="3942"/>
      <c r="F36" s="3942"/>
      <c r="G36" s="3942"/>
      <c r="H36" s="3942"/>
      <c r="I36" s="3942"/>
      <c r="J36" s="3942"/>
      <c r="K36" s="3942"/>
      <c r="L36" s="3942"/>
      <c r="M36" s="3942"/>
      <c r="N36" s="3942"/>
      <c r="O36" s="3942"/>
      <c r="P36" s="3942"/>
      <c r="Q36" s="3942"/>
      <c r="R36" s="3942"/>
      <c r="S36" s="3942"/>
      <c r="T36" s="3942"/>
      <c r="U36" s="3942"/>
      <c r="W36" s="3531"/>
      <c r="X36" s="910">
        <v>33</v>
      </c>
    </row>
    <row r="37" spans="1:24" ht="21.75" customHeight="1">
      <c r="O37" s="1957"/>
      <c r="P37" s="1957"/>
      <c r="Q37" s="1957"/>
      <c r="R37" s="1957"/>
      <c r="T37" s="1957" t="s">
        <v>1783</v>
      </c>
      <c r="U37" s="1957"/>
      <c r="V37" s="925"/>
    </row>
    <row r="38" spans="1:24" s="1871" customFormat="1" ht="23.25" customHeight="1">
      <c r="F38" s="1871" t="s">
        <v>45</v>
      </c>
      <c r="I38" s="3934" t="s">
        <v>44</v>
      </c>
      <c r="J38" s="3934"/>
      <c r="K38" s="3934"/>
      <c r="L38" s="3934"/>
      <c r="O38" s="1333"/>
      <c r="P38" s="1333"/>
      <c r="Q38" s="3750" t="s">
        <v>1107</v>
      </c>
      <c r="R38" s="3750"/>
      <c r="S38" s="3750"/>
      <c r="T38" s="3750"/>
      <c r="U38" s="3750"/>
      <c r="X38" s="3311"/>
    </row>
    <row r="39" spans="1:24">
      <c r="A39" s="909"/>
      <c r="C39" s="926"/>
      <c r="D39" s="926"/>
      <c r="G39" s="927"/>
      <c r="H39" s="928"/>
      <c r="I39" s="928"/>
      <c r="J39" s="912"/>
      <c r="K39" s="3359"/>
      <c r="L39" s="929"/>
      <c r="M39" s="926"/>
      <c r="N39" s="926"/>
      <c r="O39" s="926"/>
      <c r="P39" s="926"/>
      <c r="Q39" s="926"/>
      <c r="R39" s="926"/>
      <c r="S39" s="930"/>
    </row>
    <row r="40" spans="1:24">
      <c r="A40" s="909"/>
      <c r="C40" s="909"/>
      <c r="D40" s="909"/>
      <c r="G40" s="927"/>
      <c r="K40" s="3359"/>
      <c r="L40" s="926"/>
      <c r="N40" s="923"/>
      <c r="P40" s="923"/>
      <c r="Q40" s="923"/>
      <c r="R40" s="923"/>
      <c r="S40" s="926"/>
    </row>
    <row r="41" spans="1:24">
      <c r="A41" s="909"/>
      <c r="C41" s="909"/>
      <c r="D41" s="909"/>
      <c r="E41" s="925"/>
      <c r="F41" s="925"/>
      <c r="G41" s="1975"/>
      <c r="K41" s="3359"/>
      <c r="L41" s="3932"/>
      <c r="M41" s="3932"/>
      <c r="U41" s="3363"/>
    </row>
    <row r="42" spans="1:24">
      <c r="A42" s="909"/>
      <c r="C42" s="909"/>
      <c r="D42" s="909"/>
      <c r="E42" s="925"/>
      <c r="F42" s="925"/>
      <c r="G42" s="1975"/>
      <c r="K42" s="3359"/>
      <c r="L42" s="3363"/>
      <c r="M42" s="3363"/>
      <c r="O42" s="3363"/>
      <c r="U42" s="3363"/>
      <c r="W42" s="3613">
        <v>85236709.503490001</v>
      </c>
    </row>
    <row r="43" spans="1:24">
      <c r="A43" s="909"/>
      <c r="C43" s="909"/>
      <c r="D43" s="909"/>
      <c r="G43" s="1974"/>
      <c r="K43" s="3359"/>
      <c r="L43" s="909"/>
      <c r="M43" s="933"/>
      <c r="N43" s="3800"/>
      <c r="O43" s="3800"/>
      <c r="P43" s="3800"/>
      <c r="Q43" s="3800"/>
      <c r="R43" s="3800"/>
      <c r="S43" s="3800"/>
    </row>
    <row r="44" spans="1:24">
      <c r="A44" s="909"/>
      <c r="C44" s="909"/>
      <c r="D44" s="909"/>
      <c r="E44" s="934"/>
      <c r="F44" s="934"/>
      <c r="G44" s="1973"/>
      <c r="H44" s="1975"/>
      <c r="I44" s="1975"/>
      <c r="J44" s="3799"/>
      <c r="K44" s="3799"/>
      <c r="L44" s="3799"/>
      <c r="M44" s="3799"/>
      <c r="N44" s="3799"/>
      <c r="O44" s="3799"/>
      <c r="P44" s="3799"/>
      <c r="Q44" s="3799"/>
      <c r="R44" s="3799"/>
      <c r="S44" s="3799"/>
      <c r="T44" s="3799"/>
      <c r="U44" s="3799"/>
    </row>
    <row r="45" spans="1:24" s="935" customFormat="1" ht="17.25">
      <c r="G45" s="1972"/>
      <c r="H45" s="936"/>
      <c r="I45" s="936"/>
      <c r="J45" s="937"/>
      <c r="K45" s="938"/>
      <c r="L45" s="939"/>
      <c r="M45" s="940"/>
      <c r="N45" s="940"/>
      <c r="O45" s="940"/>
      <c r="P45" s="940"/>
      <c r="Q45" s="940"/>
      <c r="R45" s="940"/>
    </row>
    <row r="46" spans="1:24">
      <c r="E46" s="941"/>
      <c r="F46" s="941"/>
      <c r="T46" s="925"/>
    </row>
    <row r="47" spans="1:24">
      <c r="A47" s="942"/>
      <c r="M47" s="912"/>
      <c r="N47" s="912"/>
      <c r="O47" s="912"/>
      <c r="P47" s="912"/>
      <c r="Q47" s="912"/>
      <c r="R47" s="912"/>
      <c r="S47" s="912"/>
      <c r="T47" s="3363"/>
    </row>
    <row r="48" spans="1:24">
      <c r="A48" s="943"/>
      <c r="N48" s="1975"/>
      <c r="P48" s="1975"/>
      <c r="Q48" s="1975"/>
      <c r="R48" s="1975"/>
      <c r="S48" s="925"/>
    </row>
    <row r="49" spans="1:19">
      <c r="A49" s="943"/>
      <c r="S49" s="941"/>
    </row>
    <row r="50" spans="1:19">
      <c r="L50" s="944"/>
    </row>
  </sheetData>
  <mergeCells count="28">
    <mergeCell ref="I38:L38"/>
    <mergeCell ref="Q38:U38"/>
    <mergeCell ref="L41:M41"/>
    <mergeCell ref="N43:S43"/>
    <mergeCell ref="J44:M44"/>
    <mergeCell ref="N44:U44"/>
    <mergeCell ref="A36:U36"/>
    <mergeCell ref="E13:G13"/>
    <mergeCell ref="E14:G14"/>
    <mergeCell ref="T14:U14"/>
    <mergeCell ref="A15:A17"/>
    <mergeCell ref="B15:C17"/>
    <mergeCell ref="D15:D17"/>
    <mergeCell ref="E15:E17"/>
    <mergeCell ref="F15:F17"/>
    <mergeCell ref="G15:S15"/>
    <mergeCell ref="T15:T17"/>
    <mergeCell ref="U15:U17"/>
    <mergeCell ref="G16:H16"/>
    <mergeCell ref="I16:L16"/>
    <mergeCell ref="M16:S16"/>
    <mergeCell ref="A35:E35"/>
    <mergeCell ref="A12:U12"/>
    <mergeCell ref="A4:U4"/>
    <mergeCell ref="A5:U5"/>
    <mergeCell ref="A6:U6"/>
    <mergeCell ref="A7:G7"/>
    <mergeCell ref="A8:G8"/>
  </mergeCells>
  <pageMargins left="0.51181102362204722" right="0.51181102362204722" top="0" bottom="0" header="0" footer="0"/>
  <pageSetup paperSize="9" scale="53" orientation="landscape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132"/>
  <sheetViews>
    <sheetView workbookViewId="0">
      <pane ySplit="11" topLeftCell="A16" activePane="bottomLeft" state="frozen"/>
      <selection pane="bottomLeft" activeCell="N106" sqref="N106"/>
    </sheetView>
  </sheetViews>
  <sheetFormatPr defaultColWidth="8" defaultRowHeight="16.5"/>
  <cols>
    <col min="1" max="1" width="5.125" style="2183" customWidth="1"/>
    <col min="2" max="2" width="4.75" style="2186" customWidth="1"/>
    <col min="3" max="3" width="8" style="2187" hidden="1" customWidth="1"/>
    <col min="4" max="4" width="16.5" style="2185" customWidth="1"/>
    <col min="5" max="5" width="15.875" style="2185" customWidth="1"/>
    <col min="6" max="6" width="15.5" style="2188" customWidth="1"/>
    <col min="7" max="7" width="14.75" style="2185" customWidth="1"/>
    <col min="8" max="8" width="13.25" style="2185" customWidth="1"/>
    <col min="9" max="9" width="9.375" style="2185" hidden="1" customWidth="1"/>
    <col min="10" max="10" width="12.875" style="2185" hidden="1" customWidth="1"/>
    <col min="11" max="11" width="16.625" style="2185" customWidth="1"/>
    <col min="12" max="12" width="12.625" style="2185" hidden="1" customWidth="1"/>
    <col min="13" max="13" width="8" style="2185" hidden="1" customWidth="1"/>
    <col min="14" max="14" width="20.25" style="2189" customWidth="1"/>
    <col min="15" max="16" width="8" style="2185"/>
    <col min="17" max="17" width="12.125" style="2185" bestFit="1" customWidth="1"/>
    <col min="18" max="16384" width="8" style="2185"/>
  </cols>
  <sheetData>
    <row r="1" spans="1:18" ht="22.5">
      <c r="B1" s="3987" t="s">
        <v>165</v>
      </c>
      <c r="C1" s="3987"/>
      <c r="D1" s="3987"/>
      <c r="E1" s="3987"/>
      <c r="F1" s="3987"/>
      <c r="G1" s="3987"/>
      <c r="H1" s="3987"/>
      <c r="I1" s="3987"/>
      <c r="J1" s="3987"/>
      <c r="K1" s="3987"/>
      <c r="L1" s="3987"/>
      <c r="M1" s="3987"/>
      <c r="N1" s="3987"/>
      <c r="O1" s="2184"/>
      <c r="P1" s="2184"/>
      <c r="Q1" s="2184"/>
      <c r="R1" s="2184"/>
    </row>
    <row r="2" spans="1:18" ht="22.5">
      <c r="B2" s="3987" t="s">
        <v>55</v>
      </c>
      <c r="C2" s="3987"/>
      <c r="D2" s="3987"/>
      <c r="E2" s="3987"/>
      <c r="F2" s="3987"/>
      <c r="G2" s="3987"/>
      <c r="H2" s="3987"/>
      <c r="I2" s="3987"/>
      <c r="J2" s="3987"/>
      <c r="K2" s="3987"/>
      <c r="L2" s="3987"/>
      <c r="M2" s="3987"/>
      <c r="N2" s="3987"/>
      <c r="O2" s="2184"/>
      <c r="P2" s="2184"/>
      <c r="Q2" s="2184"/>
      <c r="R2" s="2184"/>
    </row>
    <row r="3" spans="1:18" ht="15" customHeight="1">
      <c r="B3" s="3988" t="s">
        <v>995</v>
      </c>
      <c r="C3" s="3988"/>
      <c r="D3" s="3988"/>
      <c r="E3" s="3988"/>
      <c r="F3" s="3988"/>
      <c r="G3" s="3988"/>
      <c r="H3" s="3988"/>
      <c r="I3" s="3988"/>
      <c r="J3" s="3988"/>
      <c r="K3" s="3988"/>
      <c r="L3" s="3988"/>
      <c r="M3" s="3988"/>
      <c r="N3" s="3988"/>
      <c r="O3" s="2184"/>
      <c r="P3" s="2184"/>
      <c r="Q3" s="2184"/>
      <c r="R3" s="2184"/>
    </row>
    <row r="5" spans="1:18" s="2191" customFormat="1">
      <c r="A5" s="3989" t="s">
        <v>574</v>
      </c>
      <c r="B5" s="3989"/>
      <c r="C5" s="3989"/>
      <c r="D5" s="3989"/>
      <c r="E5" s="3989"/>
      <c r="F5" s="3989"/>
      <c r="G5" s="3989"/>
      <c r="H5" s="2242"/>
      <c r="I5" s="2242"/>
      <c r="J5" s="2242"/>
      <c r="K5" s="2242"/>
      <c r="L5" s="2190"/>
      <c r="M5" s="2190"/>
      <c r="N5" s="2190"/>
    </row>
    <row r="6" spans="1:18" s="2191" customFormat="1">
      <c r="A6" s="3990" t="s">
        <v>1202</v>
      </c>
      <c r="B6" s="3990"/>
      <c r="C6" s="3990"/>
      <c r="D6" s="3990"/>
      <c r="E6" s="3990"/>
      <c r="F6" s="3990"/>
      <c r="G6" s="3990"/>
      <c r="H6" s="2225"/>
      <c r="I6" s="2225"/>
      <c r="J6" s="2225"/>
      <c r="K6" s="2225"/>
      <c r="L6" s="2190"/>
      <c r="M6" s="2190"/>
      <c r="N6" s="2190"/>
    </row>
    <row r="7" spans="1:18" s="2191" customFormat="1">
      <c r="A7" s="2183"/>
      <c r="F7" s="2192"/>
      <c r="N7" s="2189"/>
    </row>
    <row r="8" spans="1:18" s="2191" customFormat="1" ht="20.25">
      <c r="A8" s="2183"/>
      <c r="B8" s="3986" t="s">
        <v>1823</v>
      </c>
      <c r="C8" s="3986"/>
      <c r="D8" s="3986"/>
      <c r="E8" s="3986"/>
      <c r="F8" s="3986"/>
      <c r="G8" s="3986"/>
      <c r="H8" s="3986"/>
      <c r="I8" s="3986"/>
      <c r="J8" s="3986"/>
      <c r="K8" s="3986"/>
      <c r="L8" s="3986"/>
      <c r="M8" s="3986"/>
      <c r="N8" s="3986"/>
    </row>
    <row r="9" spans="1:18">
      <c r="B9" s="2193"/>
      <c r="C9" s="2194"/>
      <c r="D9" s="2189"/>
      <c r="E9" s="2189"/>
      <c r="F9" s="2195"/>
      <c r="G9" s="2189"/>
      <c r="H9" s="2189"/>
      <c r="I9" s="2189"/>
      <c r="J9" s="2189"/>
      <c r="K9" s="2189"/>
      <c r="L9" s="2189"/>
      <c r="M9" s="3957"/>
      <c r="N9" s="3957"/>
    </row>
    <row r="10" spans="1:18" ht="31.5" customHeight="1">
      <c r="A10" s="3991" t="s">
        <v>1</v>
      </c>
      <c r="B10" s="3992"/>
      <c r="C10" s="3683" t="s">
        <v>1194</v>
      </c>
      <c r="D10" s="3992" t="s">
        <v>20</v>
      </c>
      <c r="E10" s="3680" t="s">
        <v>5</v>
      </c>
      <c r="F10" s="3968" t="s">
        <v>1195</v>
      </c>
      <c r="G10" s="3969"/>
      <c r="H10" s="3969"/>
      <c r="I10" s="3970"/>
      <c r="J10" s="3681" t="s">
        <v>1611</v>
      </c>
      <c r="K10" s="3681" t="s">
        <v>1196</v>
      </c>
      <c r="L10" s="3683" t="s">
        <v>11</v>
      </c>
      <c r="M10" s="3683" t="s">
        <v>12</v>
      </c>
      <c r="N10" s="3683" t="s">
        <v>634</v>
      </c>
    </row>
    <row r="11" spans="1:18" ht="45" customHeight="1">
      <c r="A11" s="3993"/>
      <c r="B11" s="3994"/>
      <c r="C11" s="3683"/>
      <c r="D11" s="3994"/>
      <c r="E11" s="3680"/>
      <c r="F11" s="2196" t="s">
        <v>30</v>
      </c>
      <c r="G11" s="2197" t="s">
        <v>31</v>
      </c>
      <c r="H11" s="2197" t="s">
        <v>57</v>
      </c>
      <c r="I11" s="2973" t="s">
        <v>1365</v>
      </c>
      <c r="J11" s="3682"/>
      <c r="K11" s="3682"/>
      <c r="L11" s="3683"/>
      <c r="M11" s="3680"/>
      <c r="N11" s="3680"/>
    </row>
    <row r="12" spans="1:18" ht="22.5" customHeight="1">
      <c r="A12" s="3968" t="s">
        <v>321</v>
      </c>
      <c r="B12" s="3969"/>
      <c r="C12" s="3969"/>
      <c r="D12" s="3970"/>
      <c r="E12" s="2198"/>
      <c r="F12" s="2199">
        <f t="shared" ref="F12:M12" si="0">SUM(F13:F49)</f>
        <v>0</v>
      </c>
      <c r="G12" s="2199">
        <f t="shared" si="0"/>
        <v>139328159.60353053</v>
      </c>
      <c r="H12" s="2199">
        <f t="shared" si="0"/>
        <v>73110091.200000018</v>
      </c>
      <c r="I12" s="2199"/>
      <c r="J12" s="2199"/>
      <c r="K12" s="2199">
        <f t="shared" si="0"/>
        <v>212438250.80353057</v>
      </c>
      <c r="L12" s="2199">
        <f t="shared" si="0"/>
        <v>0</v>
      </c>
      <c r="M12" s="2199">
        <f t="shared" si="0"/>
        <v>0</v>
      </c>
      <c r="N12" s="2200"/>
    </row>
    <row r="13" spans="1:18" s="2207" customFormat="1" ht="16.5" customHeight="1">
      <c r="A13" s="2201">
        <v>1</v>
      </c>
      <c r="B13" s="2201">
        <v>1</v>
      </c>
      <c r="C13" s="2202"/>
      <c r="D13" s="2203" t="str">
        <f>'Chấm công công nhân'!L13</f>
        <v>Vắt Đi</v>
      </c>
      <c r="E13" s="2203" t="s">
        <v>40</v>
      </c>
      <c r="F13" s="2204">
        <f>'BẢNG LƯƠNG KT'!H17</f>
        <v>0</v>
      </c>
      <c r="G13" s="2204">
        <f>'BẢNG LƯƠNG KT'!L17</f>
        <v>5165366.8331253603</v>
      </c>
      <c r="H13" s="2204">
        <f>'BẢNG LƯƠNG KT'!S17</f>
        <v>2349180.8000000003</v>
      </c>
      <c r="I13" s="2204"/>
      <c r="J13" s="2204"/>
      <c r="K13" s="2204">
        <f>SUM(F13:H13)</f>
        <v>7514547.6331253611</v>
      </c>
      <c r="L13" s="2204"/>
      <c r="M13" s="2204"/>
      <c r="N13" s="2205"/>
      <c r="O13" s="2206"/>
    </row>
    <row r="14" spans="1:18" s="2207" customFormat="1" ht="16.5" customHeight="1">
      <c r="A14" s="2201">
        <v>2</v>
      </c>
      <c r="B14" s="2201">
        <v>2</v>
      </c>
      <c r="C14" s="2202"/>
      <c r="D14" s="2203" t="str">
        <f>'Chấm công công nhân'!L14</f>
        <v>T Ô Vên</v>
      </c>
      <c r="E14" s="2203" t="s">
        <v>40</v>
      </c>
      <c r="F14" s="2204">
        <f>'BẢNG LƯƠNG KT'!H18</f>
        <v>0</v>
      </c>
      <c r="G14" s="2204">
        <f>'BẢNG LƯƠNG KT'!L18</f>
        <v>4297011.6905100318</v>
      </c>
      <c r="H14" s="2204">
        <f>'BẢNG LƯƠNG KT'!S18</f>
        <v>2439561.5999999996</v>
      </c>
      <c r="I14" s="2204"/>
      <c r="J14" s="2204"/>
      <c r="K14" s="2204">
        <f t="shared" ref="K14:K49" si="1">SUM(F14:H14)</f>
        <v>6736573.2905100314</v>
      </c>
      <c r="L14" s="2204"/>
      <c r="M14" s="2204"/>
      <c r="N14" s="2205"/>
      <c r="O14" s="2206"/>
    </row>
    <row r="15" spans="1:18" s="2207" customFormat="1" ht="16.5" customHeight="1">
      <c r="A15" s="2201">
        <v>3</v>
      </c>
      <c r="B15" s="2201">
        <v>3</v>
      </c>
      <c r="C15" s="2202">
        <f>[14]CNKT!B18</f>
        <v>0</v>
      </c>
      <c r="D15" s="2203" t="str">
        <f>'Chấm công công nhân'!L15</f>
        <v>Nàng Túc</v>
      </c>
      <c r="E15" s="2203" t="s">
        <v>40</v>
      </c>
      <c r="F15" s="2204">
        <f>'BẢNG LƯƠNG KT'!H19</f>
        <v>0</v>
      </c>
      <c r="G15" s="2204">
        <f>'BẢNG LƯƠNG KT'!L19</f>
        <v>4189421.9476039791</v>
      </c>
      <c r="H15" s="2204">
        <f>'BẢNG LƯƠNG KT'!S19</f>
        <v>2439561.5999999996</v>
      </c>
      <c r="I15" s="2204"/>
      <c r="J15" s="2204"/>
      <c r="K15" s="2204">
        <f t="shared" si="1"/>
        <v>6628983.5476039788</v>
      </c>
      <c r="L15" s="2204"/>
      <c r="M15" s="2204"/>
      <c r="N15" s="2205"/>
      <c r="O15" s="2206"/>
    </row>
    <row r="16" spans="1:18" s="2207" customFormat="1" ht="16.5" customHeight="1">
      <c r="A16" s="2201">
        <v>4</v>
      </c>
      <c r="B16" s="2201">
        <v>4</v>
      </c>
      <c r="C16" s="2202">
        <f>[14]CNKT!B19</f>
        <v>0</v>
      </c>
      <c r="D16" s="2203" t="str">
        <f>'Chấm công công nhân'!L16</f>
        <v>Thảo Say</v>
      </c>
      <c r="E16" s="2203" t="s">
        <v>40</v>
      </c>
      <c r="F16" s="2204">
        <f>'BẢNG LƯƠNG KT'!H20</f>
        <v>0</v>
      </c>
      <c r="G16" s="2204">
        <f>'BẢNG LƯƠNG KT'!L20</f>
        <v>2394234.1285347468</v>
      </c>
      <c r="H16" s="2204">
        <f>'BẢNG LƯƠNG KT'!S20</f>
        <v>1425724.7999999998</v>
      </c>
      <c r="I16" s="2204"/>
      <c r="J16" s="2204"/>
      <c r="K16" s="2204">
        <f t="shared" si="1"/>
        <v>3819958.9285347466</v>
      </c>
      <c r="L16" s="2204"/>
      <c r="M16" s="2204"/>
      <c r="N16" s="2205"/>
      <c r="O16" s="2206"/>
    </row>
    <row r="17" spans="1:15" s="2207" customFormat="1" ht="16.5" customHeight="1">
      <c r="A17" s="2201">
        <v>5</v>
      </c>
      <c r="B17" s="2201">
        <v>5</v>
      </c>
      <c r="C17" s="2202">
        <f>[14]CNKT!B20</f>
        <v>0</v>
      </c>
      <c r="D17" s="2203" t="str">
        <f>'Chấm công công nhân'!L17</f>
        <v>Thảo Pheng</v>
      </c>
      <c r="E17" s="2203" t="s">
        <v>40</v>
      </c>
      <c r="F17" s="2204">
        <f>'BẢNG LƯƠNG KT'!H21</f>
        <v>0</v>
      </c>
      <c r="G17" s="2204">
        <f>'BẢNG LƯƠNG KT'!L21</f>
        <v>3421688.3002971606</v>
      </c>
      <c r="H17" s="2204">
        <f>'BẢNG LƯƠNG KT'!S21</f>
        <v>2329532.7999999998</v>
      </c>
      <c r="I17" s="2204"/>
      <c r="J17" s="2204"/>
      <c r="K17" s="2204">
        <f t="shared" si="1"/>
        <v>5751221.1002971604</v>
      </c>
      <c r="L17" s="2204"/>
      <c r="M17" s="2204"/>
      <c r="N17" s="2205"/>
      <c r="O17" s="2206"/>
    </row>
    <row r="18" spans="1:15" s="2207" customFormat="1" ht="16.5" customHeight="1">
      <c r="A18" s="2201">
        <v>6</v>
      </c>
      <c r="B18" s="2201">
        <v>6</v>
      </c>
      <c r="C18" s="2202">
        <f>[14]CNKT!B21</f>
        <v>0</v>
      </c>
      <c r="D18" s="2203" t="str">
        <f>'Chấm công công nhân'!L18</f>
        <v>Nàng Chay</v>
      </c>
      <c r="E18" s="2203" t="s">
        <v>40</v>
      </c>
      <c r="F18" s="2204">
        <f>'BẢNG LƯƠNG KT'!H22</f>
        <v>0</v>
      </c>
      <c r="G18" s="2204">
        <f>'BẢNG LƯƠNG KT'!L22</f>
        <v>3991467.9698529979</v>
      </c>
      <c r="H18" s="2204">
        <f>'BẢNG LƯƠNG KT'!S22</f>
        <v>2580536</v>
      </c>
      <c r="I18" s="2204"/>
      <c r="J18" s="2204"/>
      <c r="K18" s="2204">
        <f t="shared" si="1"/>
        <v>6572003.9698529979</v>
      </c>
      <c r="L18" s="2204"/>
      <c r="M18" s="2204"/>
      <c r="N18" s="2205"/>
      <c r="O18" s="2206"/>
    </row>
    <row r="19" spans="1:15" s="2207" customFormat="1" ht="16.5" customHeight="1">
      <c r="A19" s="2201">
        <v>7</v>
      </c>
      <c r="B19" s="2201">
        <v>7</v>
      </c>
      <c r="C19" s="2202">
        <f>[14]CNKT!B22</f>
        <v>0</v>
      </c>
      <c r="D19" s="2203" t="str">
        <f>'Chấm công công nhân'!L19</f>
        <v>Nàng Hđao</v>
      </c>
      <c r="E19" s="2203" t="s">
        <v>40</v>
      </c>
      <c r="F19" s="2204">
        <f>'BẢNG LƯƠNG KT'!H23</f>
        <v>0</v>
      </c>
      <c r="G19" s="2204">
        <f>'BẢNG LƯƠNG KT'!L23</f>
        <v>3409479.9305062662</v>
      </c>
      <c r="H19" s="2204">
        <f>'BẢNG LƯƠNG KT'!S23</f>
        <v>2078529.6</v>
      </c>
      <c r="I19" s="2204"/>
      <c r="J19" s="2204"/>
      <c r="K19" s="2204">
        <f t="shared" si="1"/>
        <v>5488009.5305062663</v>
      </c>
      <c r="L19" s="2204"/>
      <c r="M19" s="2204"/>
      <c r="N19" s="2205"/>
      <c r="O19" s="2206"/>
    </row>
    <row r="20" spans="1:15" s="2207" customFormat="1" ht="16.5" customHeight="1">
      <c r="A20" s="2201">
        <v>8</v>
      </c>
      <c r="B20" s="2201">
        <v>8</v>
      </c>
      <c r="C20" s="2202">
        <f>[14]CNKT!B23</f>
        <v>0</v>
      </c>
      <c r="D20" s="2203" t="str">
        <f>'Chấm công công nhân'!L20</f>
        <v xml:space="preserve">Thảo Ken </v>
      </c>
      <c r="E20" s="2203" t="s">
        <v>40</v>
      </c>
      <c r="F20" s="2204">
        <f>'BẢNG LƯƠNG KT'!H24</f>
        <v>0</v>
      </c>
      <c r="G20" s="2204">
        <f>'BẢNG LƯƠNG KT'!L24</f>
        <v>4218326.2386385845</v>
      </c>
      <c r="H20" s="2204">
        <f>'BẢNG LƯƠNG KT'!S24</f>
        <v>2560396.7999999998</v>
      </c>
      <c r="I20" s="2204"/>
      <c r="J20" s="2204"/>
      <c r="K20" s="2204">
        <f t="shared" si="1"/>
        <v>6778723.0386385843</v>
      </c>
      <c r="L20" s="2204"/>
      <c r="M20" s="2204"/>
      <c r="N20" s="2205"/>
      <c r="O20" s="2206"/>
    </row>
    <row r="21" spans="1:15" s="2207" customFormat="1" ht="16.5" customHeight="1">
      <c r="A21" s="2201">
        <v>9</v>
      </c>
      <c r="B21" s="2201">
        <v>9</v>
      </c>
      <c r="C21" s="2202">
        <f>[14]CNKT!B24</f>
        <v>0</v>
      </c>
      <c r="D21" s="2203" t="str">
        <f>'Chấm công công nhân'!L21</f>
        <v>Thảo Cợt</v>
      </c>
      <c r="E21" s="2203" t="s">
        <v>40</v>
      </c>
      <c r="F21" s="2204">
        <f>'BẢNG LƯƠNG KT'!H25</f>
        <v>0</v>
      </c>
      <c r="G21" s="2204">
        <f>'BẢNG LƯƠNG KT'!L25</f>
        <v>3537193.9724740214</v>
      </c>
      <c r="H21" s="2204">
        <f>'BẢNG LƯƠNG KT'!S25</f>
        <v>1937980.7999999998</v>
      </c>
      <c r="I21" s="2204"/>
      <c r="J21" s="2204"/>
      <c r="K21" s="2204">
        <f t="shared" si="1"/>
        <v>5475174.7724740207</v>
      </c>
      <c r="L21" s="2204"/>
      <c r="M21" s="2204"/>
      <c r="N21" s="2205"/>
      <c r="O21" s="2206"/>
    </row>
    <row r="22" spans="1:15" s="2207" customFormat="1" ht="16.5" customHeight="1">
      <c r="A22" s="2201">
        <v>10</v>
      </c>
      <c r="B22" s="2201">
        <v>10</v>
      </c>
      <c r="C22" s="2202">
        <f>[14]CNKT!B25</f>
        <v>0</v>
      </c>
      <c r="D22" s="2203" t="str">
        <f>'Chấm công công nhân'!L22</f>
        <v>Thảo Mi</v>
      </c>
      <c r="E22" s="2203" t="s">
        <v>40</v>
      </c>
      <c r="F22" s="2204">
        <f>'BẢNG LƯƠNG KT'!H26</f>
        <v>0</v>
      </c>
      <c r="G22" s="2204">
        <f>'BẢNG LƯƠNG KT'!L26</f>
        <v>2376451.1606658185</v>
      </c>
      <c r="H22" s="2204">
        <f>'BẢNG LƯƠNG KT'!S26</f>
        <v>1576457.6</v>
      </c>
      <c r="I22" s="2204"/>
      <c r="J22" s="2204"/>
      <c r="K22" s="2204">
        <f t="shared" si="1"/>
        <v>3952908.7606658186</v>
      </c>
      <c r="L22" s="2204"/>
      <c r="M22" s="2204"/>
      <c r="N22" s="2205"/>
      <c r="O22" s="2206"/>
    </row>
    <row r="23" spans="1:15" s="2207" customFormat="1" ht="16.5" customHeight="1">
      <c r="A23" s="2201">
        <v>11</v>
      </c>
      <c r="B23" s="2201">
        <v>11</v>
      </c>
      <c r="C23" s="2202">
        <f>[14]CNKT!B26</f>
        <v>0</v>
      </c>
      <c r="D23" s="2203" t="str">
        <f>'Chấm công công nhân'!L23</f>
        <v>Thảo Phét</v>
      </c>
      <c r="E23" s="2203" t="s">
        <v>40</v>
      </c>
      <c r="F23" s="2204">
        <f>'BẢNG LƯƠNG KT'!H27</f>
        <v>0</v>
      </c>
      <c r="G23" s="2204">
        <f>'BẢNG LƯƠNG KT'!L27</f>
        <v>3757557.8344986988</v>
      </c>
      <c r="H23" s="2204">
        <f>'BẢNG LƯƠNG KT'!S27</f>
        <v>2027379.2</v>
      </c>
      <c r="I23" s="2204"/>
      <c r="J23" s="2204"/>
      <c r="K23" s="2204">
        <f t="shared" si="1"/>
        <v>5784937.034498699</v>
      </c>
      <c r="L23" s="2204"/>
      <c r="M23" s="2204"/>
      <c r="N23" s="2205"/>
      <c r="O23" s="2206"/>
    </row>
    <row r="24" spans="1:15" s="2207" customFormat="1" ht="16.5" customHeight="1">
      <c r="A24" s="2201">
        <v>12</v>
      </c>
      <c r="B24" s="2201">
        <v>12</v>
      </c>
      <c r="C24" s="2202">
        <f>[14]CNKT!B27</f>
        <v>0</v>
      </c>
      <c r="D24" s="2203" t="str">
        <f>'Chấm công công nhân'!L24</f>
        <v>Thảo Hăm</v>
      </c>
      <c r="E24" s="2203" t="s">
        <v>40</v>
      </c>
      <c r="F24" s="2204">
        <f>'BẢNG LƯƠNG KT'!H28</f>
        <v>0</v>
      </c>
      <c r="G24" s="2204">
        <f>'BẢNG LƯƠNG KT'!L28</f>
        <v>4344144.9172598077</v>
      </c>
      <c r="H24" s="2204">
        <f>'BẢNG LƯƠNG KT'!S28</f>
        <v>2047584</v>
      </c>
      <c r="I24" s="2204"/>
      <c r="J24" s="2204"/>
      <c r="K24" s="2204">
        <f t="shared" si="1"/>
        <v>6391728.9172598077</v>
      </c>
      <c r="L24" s="2204"/>
      <c r="M24" s="2204"/>
      <c r="N24" s="2205"/>
      <c r="O24" s="2206"/>
    </row>
    <row r="25" spans="1:15" s="2207" customFormat="1" ht="16.5" customHeight="1">
      <c r="A25" s="2201">
        <v>13</v>
      </c>
      <c r="B25" s="2201">
        <v>13</v>
      </c>
      <c r="C25" s="2202">
        <f>[14]CNKT!B28</f>
        <v>0</v>
      </c>
      <c r="D25" s="2203" t="str">
        <f>'Chấm công công nhân'!L25</f>
        <v>Nang Lon</v>
      </c>
      <c r="E25" s="2203" t="s">
        <v>40</v>
      </c>
      <c r="F25" s="2204">
        <f>'BẢNG LƯƠNG KT'!H29</f>
        <v>0</v>
      </c>
      <c r="G25" s="2204">
        <f>'BẢNG LƯƠNG KT'!L29</f>
        <v>4349245.6745012086</v>
      </c>
      <c r="H25" s="2204">
        <f>'BẢNG LƯƠNG KT'!S29</f>
        <v>2117825.6</v>
      </c>
      <c r="I25" s="2204"/>
      <c r="J25" s="2204"/>
      <c r="K25" s="2204">
        <f t="shared" si="1"/>
        <v>6467071.2745012082</v>
      </c>
      <c r="L25" s="2204"/>
      <c r="M25" s="2204"/>
      <c r="N25" s="2205"/>
      <c r="O25" s="2206"/>
    </row>
    <row r="26" spans="1:15" s="2207" customFormat="1" ht="16.5" customHeight="1">
      <c r="A26" s="2201">
        <v>14</v>
      </c>
      <c r="B26" s="2201">
        <v>14</v>
      </c>
      <c r="C26" s="2202">
        <f>[14]CNKT!B29</f>
        <v>0</v>
      </c>
      <c r="D26" s="2203" t="str">
        <f>'Chấm công công nhân'!L26</f>
        <v>Thảo Phết</v>
      </c>
      <c r="E26" s="2203" t="s">
        <v>40</v>
      </c>
      <c r="F26" s="2204">
        <f>'BẢNG LƯƠNG KT'!H30</f>
        <v>0</v>
      </c>
      <c r="G26" s="2204">
        <f>'BẢNG LƯƠNG KT'!L30</f>
        <v>3962368.567885661</v>
      </c>
      <c r="H26" s="2204">
        <f>'BẢNG LƯƠNG KT'!S30</f>
        <v>1676171.2</v>
      </c>
      <c r="I26" s="2204"/>
      <c r="J26" s="2204"/>
      <c r="K26" s="2204">
        <f t="shared" si="1"/>
        <v>5638539.7678856608</v>
      </c>
      <c r="L26" s="2204"/>
      <c r="M26" s="2204"/>
      <c r="N26" s="2205"/>
      <c r="O26" s="2206"/>
    </row>
    <row r="27" spans="1:15" s="2207" customFormat="1" ht="16.5" customHeight="1">
      <c r="A27" s="2201">
        <v>15</v>
      </c>
      <c r="B27" s="2201">
        <v>15</v>
      </c>
      <c r="C27" s="2202">
        <f>[14]CNKT!B30</f>
        <v>0</v>
      </c>
      <c r="D27" s="2203" t="str">
        <f>'Chấm công công nhân'!L27</f>
        <v>Vĩ Lay</v>
      </c>
      <c r="E27" s="2203" t="s">
        <v>40</v>
      </c>
      <c r="F27" s="2204">
        <f>'BẢNG LƯƠNG KT'!H31</f>
        <v>0</v>
      </c>
      <c r="G27" s="2204">
        <f>'BẢNG LƯƠNG KT'!L31</f>
        <v>5400001.6662298031</v>
      </c>
      <c r="H27" s="2204">
        <f>'BẢNG LƯƠNG KT'!S31</f>
        <v>2258308.7999999998</v>
      </c>
      <c r="I27" s="2204"/>
      <c r="J27" s="2204"/>
      <c r="K27" s="2204">
        <f t="shared" si="1"/>
        <v>7658310.4662298029</v>
      </c>
      <c r="L27" s="2204"/>
      <c r="M27" s="2204"/>
      <c r="N27" s="2205"/>
      <c r="O27" s="2206"/>
    </row>
    <row r="28" spans="1:15" s="2207" customFormat="1" ht="16.5" customHeight="1">
      <c r="A28" s="2201">
        <v>16</v>
      </c>
      <c r="B28" s="2201">
        <v>16</v>
      </c>
      <c r="C28" s="2202">
        <f>[14]CNKT!B31</f>
        <v>0</v>
      </c>
      <c r="D28" s="2203" t="str">
        <f>'Chấm công công nhân'!L28</f>
        <v>Pha Xúc</v>
      </c>
      <c r="E28" s="2203" t="s">
        <v>40</v>
      </c>
      <c r="F28" s="2204">
        <f>'BẢNG LƯƠNG KT'!H32</f>
        <v>0</v>
      </c>
      <c r="G28" s="2204">
        <f>'BẢNG LƯƠNG KT'!L32</f>
        <v>3924182.5710511291</v>
      </c>
      <c r="H28" s="2204">
        <f>'BẢNG LƯƠNG KT'!S32</f>
        <v>2097620.7999999998</v>
      </c>
      <c r="I28" s="2204"/>
      <c r="J28" s="2204"/>
      <c r="K28" s="2204">
        <f t="shared" si="1"/>
        <v>6021803.371051129</v>
      </c>
      <c r="L28" s="2204"/>
      <c r="M28" s="2204"/>
      <c r="N28" s="2205"/>
      <c r="O28" s="2206"/>
    </row>
    <row r="29" spans="1:15" s="2207" customFormat="1" ht="16.5" customHeight="1">
      <c r="A29" s="2201">
        <v>17</v>
      </c>
      <c r="B29" s="2201">
        <v>17</v>
      </c>
      <c r="C29" s="2202">
        <f>[14]CNKT!B32</f>
        <v>0</v>
      </c>
      <c r="D29" s="2203" t="str">
        <f>'Chấm công công nhân'!L29</f>
        <v>Nàng Đao</v>
      </c>
      <c r="E29" s="2203" t="s">
        <v>40</v>
      </c>
      <c r="F29" s="2204">
        <f>'BẢNG LƯƠNG KT'!H33</f>
        <v>0</v>
      </c>
      <c r="G29" s="2204">
        <f>'BẢNG LƯƠNG KT'!L33</f>
        <v>3734423.2524748575</v>
      </c>
      <c r="H29" s="2204">
        <f>'BẢNG LƯƠNG KT'!S33</f>
        <v>2188067.2000000002</v>
      </c>
      <c r="I29" s="2204"/>
      <c r="J29" s="2204"/>
      <c r="K29" s="2204">
        <f t="shared" si="1"/>
        <v>5922490.4524748577</v>
      </c>
      <c r="L29" s="2204"/>
      <c r="M29" s="2204"/>
      <c r="N29" s="2205"/>
      <c r="O29" s="2206"/>
    </row>
    <row r="30" spans="1:15" s="2207" customFormat="1" ht="16.5" customHeight="1">
      <c r="A30" s="2201">
        <v>18</v>
      </c>
      <c r="B30" s="2201">
        <v>18</v>
      </c>
      <c r="C30" s="2202">
        <f>[14]CNKT!B33</f>
        <v>0</v>
      </c>
      <c r="D30" s="2203" t="str">
        <f>'Chấm công công nhân'!L30</f>
        <v>Nàng Kiên</v>
      </c>
      <c r="E30" s="2203" t="s">
        <v>40</v>
      </c>
      <c r="F30" s="2204">
        <f>'BẢNG LƯƠNG KT'!H34</f>
        <v>0</v>
      </c>
      <c r="G30" s="2204">
        <f>'BẢNG LƯƠNG KT'!L34</f>
        <v>3619837.3889808729</v>
      </c>
      <c r="H30" s="2204">
        <f>'BẢNG LƯƠNG KT'!S34</f>
        <v>2117825.6</v>
      </c>
      <c r="I30" s="2204"/>
      <c r="J30" s="2204"/>
      <c r="K30" s="2204">
        <f t="shared" si="1"/>
        <v>5737662.9889808726</v>
      </c>
      <c r="L30" s="2204"/>
      <c r="M30" s="2204"/>
      <c r="N30" s="2205"/>
      <c r="O30" s="2206"/>
    </row>
    <row r="31" spans="1:15" s="2207" customFormat="1" ht="16.5" customHeight="1">
      <c r="A31" s="2201">
        <v>19</v>
      </c>
      <c r="B31" s="2201">
        <v>19</v>
      </c>
      <c r="C31" s="2202">
        <f>[14]CNKT!B34</f>
        <v>0</v>
      </c>
      <c r="D31" s="2203" t="str">
        <f>'Chấm công công nhân'!L31</f>
        <v>Nàng Túc 2</v>
      </c>
      <c r="E31" s="2203" t="s">
        <v>40</v>
      </c>
      <c r="F31" s="2204">
        <f>'BẢNG LƯƠNG KT'!H35</f>
        <v>0</v>
      </c>
      <c r="G31" s="2204">
        <f>'BẢNG LƯƠNG KT'!L35</f>
        <v>3737656.5193601171</v>
      </c>
      <c r="H31" s="2204">
        <f>'BẢNG LƯƠNG KT'!S35</f>
        <v>2097620.7999999998</v>
      </c>
      <c r="I31" s="2204"/>
      <c r="J31" s="2204"/>
      <c r="K31" s="2204">
        <f t="shared" si="1"/>
        <v>5835277.3193601165</v>
      </c>
      <c r="L31" s="2204"/>
      <c r="M31" s="2204"/>
      <c r="N31" s="2205"/>
      <c r="O31" s="2206"/>
    </row>
    <row r="32" spans="1:15" s="2207" customFormat="1" ht="16.5" customHeight="1">
      <c r="A32" s="2201">
        <v>20</v>
      </c>
      <c r="B32" s="2201">
        <v>20</v>
      </c>
      <c r="C32" s="2202">
        <f>[14]CNKT!B35</f>
        <v>0</v>
      </c>
      <c r="D32" s="2203" t="str">
        <f>'Chấm công công nhân'!L32</f>
        <v>Nàng Phon</v>
      </c>
      <c r="E32" s="2203" t="s">
        <v>40</v>
      </c>
      <c r="F32" s="2204">
        <f>'BẢNG LƯƠNG KT'!H36</f>
        <v>0</v>
      </c>
      <c r="G32" s="2204">
        <f>'BẢNG LƯƠNG KT'!L36</f>
        <v>3351169.6346100331</v>
      </c>
      <c r="H32" s="2204">
        <f>'BẢNG LƯƠNG KT'!S36</f>
        <v>2278939.2000000002</v>
      </c>
      <c r="I32" s="2204"/>
      <c r="J32" s="2204"/>
      <c r="K32" s="2204">
        <f t="shared" si="1"/>
        <v>5630108.8346100338</v>
      </c>
      <c r="L32" s="2204"/>
      <c r="M32" s="2204"/>
      <c r="N32" s="2205"/>
      <c r="O32" s="2206"/>
    </row>
    <row r="33" spans="1:15" s="2207" customFormat="1" ht="16.5" customHeight="1">
      <c r="A33" s="2201">
        <v>21</v>
      </c>
      <c r="B33" s="2201">
        <v>21</v>
      </c>
      <c r="C33" s="2202">
        <f>[14]CNKT!B36</f>
        <v>0</v>
      </c>
      <c r="D33" s="2203" t="str">
        <f>'Chấm công công nhân'!L33</f>
        <v>Thảo Chòi</v>
      </c>
      <c r="E33" s="2203" t="s">
        <v>40</v>
      </c>
      <c r="F33" s="2204">
        <f>'BẢNG LƯƠNG KT'!H37</f>
        <v>0</v>
      </c>
      <c r="G33" s="2204">
        <f>'BẢNG LƯƠNG KT'!L37</f>
        <v>4119711.5986381662</v>
      </c>
      <c r="H33" s="2204">
        <f>'BẢNG LƯƠNG KT'!S37</f>
        <v>2349180.8000000003</v>
      </c>
      <c r="I33" s="2204"/>
      <c r="J33" s="2204"/>
      <c r="K33" s="2204">
        <f t="shared" si="1"/>
        <v>6468892.3986381665</v>
      </c>
      <c r="L33" s="2204"/>
      <c r="M33" s="2204"/>
      <c r="N33" s="2205"/>
      <c r="O33" s="2206"/>
    </row>
    <row r="34" spans="1:15" s="2207" customFormat="1" ht="16.5" customHeight="1">
      <c r="A34" s="2201">
        <v>22</v>
      </c>
      <c r="B34" s="2201">
        <v>22</v>
      </c>
      <c r="C34" s="2202">
        <f>[14]CNKT!B37</f>
        <v>0</v>
      </c>
      <c r="D34" s="2203" t="str">
        <f>'Chấm công công nhân'!L34</f>
        <v>Thong La</v>
      </c>
      <c r="E34" s="2203" t="s">
        <v>40</v>
      </c>
      <c r="F34" s="2204">
        <f>'BẢNG LƯƠNG KT'!H38</f>
        <v>0</v>
      </c>
      <c r="G34" s="2204">
        <f>'BẢNG LƯƠNG KT'!L38</f>
        <v>4847419.6317447005</v>
      </c>
      <c r="H34" s="2204">
        <f>'BẢNG LƯƠNG KT'!S38</f>
        <v>2419422.4</v>
      </c>
      <c r="I34" s="2204"/>
      <c r="J34" s="2204"/>
      <c r="K34" s="2204">
        <f t="shared" si="1"/>
        <v>7266842.0317446999</v>
      </c>
      <c r="L34" s="2204"/>
      <c r="M34" s="2204"/>
      <c r="N34" s="2205"/>
      <c r="O34" s="2206"/>
    </row>
    <row r="35" spans="1:15" s="2207" customFormat="1" ht="16.5" customHeight="1">
      <c r="A35" s="2201">
        <v>23</v>
      </c>
      <c r="B35" s="2201">
        <v>23</v>
      </c>
      <c r="C35" s="2202">
        <f>[14]CNKT!B38</f>
        <v>0</v>
      </c>
      <c r="D35" s="2203" t="str">
        <f>'Chấm công công nhân'!L35</f>
        <v>Thảo kok</v>
      </c>
      <c r="E35" s="2203" t="s">
        <v>40</v>
      </c>
      <c r="F35" s="2204">
        <f>'BẢNG LƯƠNG KT'!H39</f>
        <v>0</v>
      </c>
      <c r="G35" s="2204">
        <f>'BẢNG LƯƠNG KT'!L39</f>
        <v>4573678.9931228505</v>
      </c>
      <c r="H35" s="2204">
        <f>'BẢNG LƯƠNG KT'!S39</f>
        <v>2278939.2000000002</v>
      </c>
      <c r="I35" s="2204"/>
      <c r="J35" s="2204"/>
      <c r="K35" s="2204">
        <f t="shared" si="1"/>
        <v>6852618.1931228507</v>
      </c>
      <c r="L35" s="2204"/>
      <c r="M35" s="2204"/>
      <c r="N35" s="2205"/>
      <c r="O35" s="2206"/>
    </row>
    <row r="36" spans="1:15" s="2207" customFormat="1" ht="16.5" customHeight="1">
      <c r="A36" s="2201">
        <v>24</v>
      </c>
      <c r="B36" s="2201">
        <v>24</v>
      </c>
      <c r="C36" s="2202">
        <f>[14]CNKT!B39</f>
        <v>0</v>
      </c>
      <c r="D36" s="2203" t="str">
        <f>'Chấm công công nhân'!L36</f>
        <v>Thảo Hôm</v>
      </c>
      <c r="E36" s="2203" t="s">
        <v>40</v>
      </c>
      <c r="F36" s="2204">
        <f>'BẢNG LƯƠNG KT'!H40</f>
        <v>0</v>
      </c>
      <c r="G36" s="2204">
        <f>'BẢNG LƯƠNG KT'!L40</f>
        <v>2251998.2585737137</v>
      </c>
      <c r="H36" s="2204">
        <f>'BẢNG LƯƠNG KT'!S40</f>
        <v>1455622.4</v>
      </c>
      <c r="I36" s="2204"/>
      <c r="J36" s="2204"/>
      <c r="K36" s="2204">
        <f t="shared" si="1"/>
        <v>3707620.6585737136</v>
      </c>
      <c r="L36" s="2204"/>
      <c r="M36" s="2204"/>
      <c r="N36" s="2205"/>
      <c r="O36" s="2206"/>
    </row>
    <row r="37" spans="1:15" s="2207" customFormat="1" ht="16.5" customHeight="1">
      <c r="A37" s="2201">
        <v>25</v>
      </c>
      <c r="B37" s="2201">
        <v>25</v>
      </c>
      <c r="C37" s="2202">
        <f>[14]CNKT!B40</f>
        <v>0</v>
      </c>
      <c r="D37" s="2203" t="str">
        <f>'Chấm công công nhân'!L37</f>
        <v>Nàng Lam</v>
      </c>
      <c r="E37" s="2203" t="s">
        <v>40</v>
      </c>
      <c r="F37" s="2204">
        <f>'BẢNG LƯƠNG KT'!H41</f>
        <v>0</v>
      </c>
      <c r="G37" s="2204">
        <f>'BẢNG LƯƠNG KT'!L41</f>
        <v>2402317.2957478957</v>
      </c>
      <c r="H37" s="2204">
        <f>'BẢNG LƯƠNG KT'!S41</f>
        <v>1475827.2</v>
      </c>
      <c r="I37" s="2204"/>
      <c r="J37" s="2204"/>
      <c r="K37" s="2204">
        <f t="shared" si="1"/>
        <v>3878144.4957478959</v>
      </c>
      <c r="L37" s="2204"/>
      <c r="M37" s="2204"/>
      <c r="N37" s="2205"/>
      <c r="O37" s="2206"/>
    </row>
    <row r="38" spans="1:15" s="2207" customFormat="1" ht="16.5" customHeight="1">
      <c r="A38" s="2201">
        <v>26</v>
      </c>
      <c r="B38" s="2201">
        <v>26</v>
      </c>
      <c r="C38" s="2202">
        <f>[14]CNKT!B41</f>
        <v>0</v>
      </c>
      <c r="D38" s="2203" t="str">
        <f>'Chấm công công nhân'!L38</f>
        <v>Thảo Hơ Phơ</v>
      </c>
      <c r="E38" s="2203" t="s">
        <v>40</v>
      </c>
      <c r="F38" s="2204">
        <f>'BẢNG LƯƠNG KT'!H42</f>
        <v>0</v>
      </c>
      <c r="G38" s="2204">
        <f>'BẢNG LƯƠNG KT'!L42</f>
        <v>3507620.7296700524</v>
      </c>
      <c r="H38" s="2204">
        <f>'BẢNG LƯƠNG KT'!S42</f>
        <v>1636384</v>
      </c>
      <c r="I38" s="2204"/>
      <c r="J38" s="2204"/>
      <c r="K38" s="2204">
        <f t="shared" si="1"/>
        <v>5144004.7296700524</v>
      </c>
      <c r="L38" s="2204"/>
      <c r="M38" s="2204"/>
      <c r="N38" s="2205"/>
      <c r="O38" s="2206"/>
    </row>
    <row r="39" spans="1:15" s="2207" customFormat="1" ht="16.5" customHeight="1">
      <c r="A39" s="2201">
        <v>27</v>
      </c>
      <c r="B39" s="2201">
        <v>27</v>
      </c>
      <c r="C39" s="2202">
        <f>[14]CNKT!B42</f>
        <v>0</v>
      </c>
      <c r="D39" s="2203" t="str">
        <f>'Chấm công công nhân'!L39</f>
        <v>Thảo Lay</v>
      </c>
      <c r="E39" s="2203" t="s">
        <v>40</v>
      </c>
      <c r="F39" s="2204">
        <f>'BẢNG LƯƠNG KT'!H43</f>
        <v>0</v>
      </c>
      <c r="G39" s="2204">
        <f>'BẢNG LƯƠNG KT'!L43</f>
        <v>4546474.9545020452</v>
      </c>
      <c r="H39" s="2204">
        <f>'BẢNG LƯƠNG KT'!S43</f>
        <v>2258308.7999999998</v>
      </c>
      <c r="I39" s="2204"/>
      <c r="J39" s="2204"/>
      <c r="K39" s="2204">
        <f t="shared" si="1"/>
        <v>6804783.754502045</v>
      </c>
      <c r="L39" s="2204"/>
      <c r="M39" s="2204"/>
      <c r="N39" s="2205"/>
      <c r="O39" s="2206"/>
    </row>
    <row r="40" spans="1:15" s="2207" customFormat="1" ht="16.5" customHeight="1">
      <c r="A40" s="2201">
        <v>28</v>
      </c>
      <c r="B40" s="2201">
        <v>28</v>
      </c>
      <c r="C40" s="2202">
        <f>[14]CNKT!B43</f>
        <v>0</v>
      </c>
      <c r="D40" s="2203" t="str">
        <f>'Chấm công công nhân'!L40</f>
        <v>Thảo Khốc</v>
      </c>
      <c r="E40" s="2203" t="s">
        <v>40</v>
      </c>
      <c r="F40" s="2204">
        <f>'BẢNG LƯƠNG KT'!H44</f>
        <v>0</v>
      </c>
      <c r="G40" s="2204">
        <f>'BẢNG LƯƠNG KT'!L44</f>
        <v>4481865.3627776336</v>
      </c>
      <c r="H40" s="2204">
        <f>'BẢNG LƯƠNG KT'!S44</f>
        <v>1676171.2</v>
      </c>
      <c r="I40" s="2204"/>
      <c r="J40" s="2204"/>
      <c r="K40" s="2204">
        <f t="shared" si="1"/>
        <v>6158036.5627776338</v>
      </c>
      <c r="L40" s="2204"/>
      <c r="M40" s="2204"/>
      <c r="N40" s="2205"/>
      <c r="O40" s="2206"/>
    </row>
    <row r="41" spans="1:15" s="2207" customFormat="1" ht="16.5" customHeight="1">
      <c r="A41" s="2201">
        <v>29</v>
      </c>
      <c r="B41" s="2201">
        <v>29</v>
      </c>
      <c r="C41" s="2202">
        <f>[14]CNKT!B44</f>
        <v>0</v>
      </c>
      <c r="D41" s="2203" t="str">
        <f>'Chấm công công nhân'!L41</f>
        <v>Thảo Sợt</v>
      </c>
      <c r="E41" s="2203" t="s">
        <v>40</v>
      </c>
      <c r="F41" s="2204">
        <f>'BẢNG LƯƠNG KT'!H45</f>
        <v>0</v>
      </c>
      <c r="G41" s="2204">
        <f>'BẢNG LƯƠNG KT'!L45</f>
        <v>4272762.1888705846</v>
      </c>
      <c r="H41" s="2204">
        <f>'BẢNG LƯƠNG KT'!S45</f>
        <v>1676171.2</v>
      </c>
      <c r="I41" s="2204"/>
      <c r="J41" s="2204"/>
      <c r="K41" s="2204">
        <f t="shared" si="1"/>
        <v>5948933.3888705848</v>
      </c>
      <c r="L41" s="2204"/>
      <c r="M41" s="2204"/>
      <c r="N41" s="2205"/>
      <c r="O41" s="2206"/>
    </row>
    <row r="42" spans="1:15" s="2207" customFormat="1" ht="16.5" customHeight="1">
      <c r="A42" s="2201">
        <v>30</v>
      </c>
      <c r="B42" s="2201">
        <v>30</v>
      </c>
      <c r="C42" s="2202">
        <f>[14]CNKT!B45</f>
        <v>0</v>
      </c>
      <c r="D42" s="2203" t="str">
        <f>'Chấm công công nhân'!L42</f>
        <v>Thảo Văn</v>
      </c>
      <c r="E42" s="2203" t="s">
        <v>40</v>
      </c>
      <c r="F42" s="2204">
        <f>'BẢNG LƯƠNG KT'!H46</f>
        <v>0</v>
      </c>
      <c r="G42" s="2204">
        <f>'BẢNG LƯƠNG KT'!L46</f>
        <v>4560522.9416586906</v>
      </c>
      <c r="H42" s="2204">
        <f>'BẢNG LƯƠNG KT'!S46</f>
        <v>2047584</v>
      </c>
      <c r="I42" s="2204"/>
      <c r="J42" s="2204"/>
      <c r="K42" s="2204">
        <f t="shared" si="1"/>
        <v>6608106.9416586906</v>
      </c>
      <c r="L42" s="2204"/>
      <c r="M42" s="2204"/>
      <c r="N42" s="2205"/>
      <c r="O42" s="2206"/>
    </row>
    <row r="43" spans="1:15" s="2207" customFormat="1" ht="16.5" customHeight="1">
      <c r="A43" s="2201">
        <v>31</v>
      </c>
      <c r="B43" s="2201">
        <v>31</v>
      </c>
      <c r="C43" s="2202">
        <f>[14]CNKT!B46</f>
        <v>0</v>
      </c>
      <c r="D43" s="2203" t="str">
        <f>'Chấm công công nhân'!L43</f>
        <v>Thảo Thong</v>
      </c>
      <c r="E43" s="2203" t="s">
        <v>40</v>
      </c>
      <c r="F43" s="2204">
        <f>'BẢNG LƯƠNG KT'!H47</f>
        <v>0</v>
      </c>
      <c r="G43" s="2204">
        <f>'BẢNG LƯƠNG KT'!L47</f>
        <v>3800064.1448437064</v>
      </c>
      <c r="H43" s="2204">
        <f>'BẢNG LƯƠNG KT'!S47</f>
        <v>1836859.2000000002</v>
      </c>
      <c r="I43" s="2204"/>
      <c r="J43" s="2204"/>
      <c r="K43" s="2204">
        <f t="shared" si="1"/>
        <v>5636923.3448437061</v>
      </c>
      <c r="L43" s="2204"/>
      <c r="M43" s="2204"/>
      <c r="N43" s="2205"/>
      <c r="O43" s="2206"/>
    </row>
    <row r="44" spans="1:15" s="2207" customFormat="1" ht="16.5" customHeight="1">
      <c r="A44" s="2201">
        <v>32</v>
      </c>
      <c r="B44" s="2201">
        <v>32</v>
      </c>
      <c r="C44" s="2202">
        <f>[14]CNKT!B47</f>
        <v>0</v>
      </c>
      <c r="D44" s="2203" t="str">
        <f>'Chấm công công nhân'!L44</f>
        <v xml:space="preserve"> Nàng Ngột</v>
      </c>
      <c r="E44" s="2203" t="s">
        <v>40</v>
      </c>
      <c r="F44" s="2204">
        <f>'BẢNG LƯƠNG KT'!H48</f>
        <v>0</v>
      </c>
      <c r="G44" s="2204">
        <f>'BẢNG LƯƠNG KT'!L48</f>
        <v>3618025.6446055118</v>
      </c>
      <c r="H44" s="2204">
        <f>'BẢNG LƯƠNG KT'!S48</f>
        <v>1836859.2000000002</v>
      </c>
      <c r="I44" s="2204"/>
      <c r="J44" s="2204"/>
      <c r="K44" s="2204">
        <f t="shared" si="1"/>
        <v>5454884.844605512</v>
      </c>
      <c r="L44" s="2204"/>
      <c r="M44" s="2204"/>
      <c r="N44" s="2205"/>
      <c r="O44" s="2206"/>
    </row>
    <row r="45" spans="1:15" s="2207" customFormat="1" ht="16.5" customHeight="1">
      <c r="A45" s="2201">
        <v>33</v>
      </c>
      <c r="B45" s="2201">
        <v>33</v>
      </c>
      <c r="C45" s="2202">
        <f>[14]CNKT!B48</f>
        <v>0</v>
      </c>
      <c r="D45" s="2203" t="str">
        <f>'Chấm công công nhân'!L45</f>
        <v>Nàng Chon</v>
      </c>
      <c r="E45" s="2203" t="s">
        <v>40</v>
      </c>
      <c r="F45" s="2204">
        <f>'BẢNG LƯƠNG KT'!H49</f>
        <v>0</v>
      </c>
      <c r="G45" s="2204">
        <f>'BẢNG LƯƠNG KT'!L49</f>
        <v>3336731.4255879251</v>
      </c>
      <c r="H45" s="2204">
        <f>'BẢNG LƯƠNG KT'!S49</f>
        <v>1535688</v>
      </c>
      <c r="I45" s="2204"/>
      <c r="J45" s="2204"/>
      <c r="K45" s="2204">
        <f t="shared" si="1"/>
        <v>4872419.4255879251</v>
      </c>
      <c r="L45" s="2204"/>
      <c r="M45" s="2204"/>
      <c r="N45" s="2205"/>
      <c r="O45" s="2206"/>
    </row>
    <row r="46" spans="1:15" s="2207" customFormat="1" ht="16.5" customHeight="1">
      <c r="A46" s="2201">
        <v>34</v>
      </c>
      <c r="B46" s="2201">
        <v>34</v>
      </c>
      <c r="C46" s="2202">
        <f>[14]CNKT!B49</f>
        <v>0</v>
      </c>
      <c r="D46" s="2203" t="str">
        <f>'Chấm công công nhân'!L46</f>
        <v>Bun han</v>
      </c>
      <c r="E46" s="2203" t="s">
        <v>40</v>
      </c>
      <c r="F46" s="2204">
        <f>'BẢNG LƯƠNG KT'!H50</f>
        <v>0</v>
      </c>
      <c r="G46" s="2204">
        <f>'BẢNG LƯƠNG KT'!L50</f>
        <v>3567910.0078839883</v>
      </c>
      <c r="H46" s="2204">
        <f>'BẢNG LƯƠNG KT'!S50</f>
        <v>1907100.8</v>
      </c>
      <c r="I46" s="2204"/>
      <c r="J46" s="2204"/>
      <c r="K46" s="2204">
        <f t="shared" si="1"/>
        <v>5475010.8078839881</v>
      </c>
      <c r="L46" s="2204"/>
      <c r="M46" s="2204"/>
      <c r="N46" s="2205"/>
      <c r="O46" s="2206"/>
    </row>
    <row r="47" spans="1:15" s="2207" customFormat="1" ht="16.5" customHeight="1">
      <c r="A47" s="2201">
        <v>35</v>
      </c>
      <c r="B47" s="2201">
        <v>35</v>
      </c>
      <c r="C47" s="2202">
        <f>[14]CNKT!B50</f>
        <v>0</v>
      </c>
      <c r="D47" s="2203" t="str">
        <f>'Chấm công công nhân'!L47</f>
        <v>Hăn</v>
      </c>
      <c r="E47" s="2203" t="s">
        <v>40</v>
      </c>
      <c r="F47" s="2204">
        <f>'BẢNG LƯƠNG KT'!H51</f>
        <v>0</v>
      </c>
      <c r="G47" s="2204">
        <f>'BẢNG LƯƠNG KT'!L51</f>
        <v>3747356.320015897</v>
      </c>
      <c r="H47" s="2204">
        <f>'BẢNG LƯƠNG KT'!S51</f>
        <v>1836859.2000000002</v>
      </c>
      <c r="I47" s="2204"/>
      <c r="J47" s="2204"/>
      <c r="K47" s="2204">
        <f t="shared" si="1"/>
        <v>5584215.5200158972</v>
      </c>
      <c r="L47" s="2204"/>
      <c r="M47" s="2204"/>
      <c r="N47" s="2205"/>
      <c r="O47" s="2206"/>
    </row>
    <row r="48" spans="1:15" s="2207" customFormat="1" ht="16.5" customHeight="1">
      <c r="A48" s="2201">
        <v>36</v>
      </c>
      <c r="B48" s="2201">
        <v>36</v>
      </c>
      <c r="C48" s="2202">
        <f>[14]CNKT!B51</f>
        <v>0</v>
      </c>
      <c r="D48" s="2203" t="str">
        <f>'Chấm công công nhân'!L48</f>
        <v>Thảo Tuỳ</v>
      </c>
      <c r="E48" s="2203" t="s">
        <v>40</v>
      </c>
      <c r="F48" s="2204">
        <f>'BẢNG LƯƠNG KT'!H52</f>
        <v>0</v>
      </c>
      <c r="G48" s="2204">
        <f>'BẢNG LƯƠNG KT'!L52</f>
        <v>4512469.9062260389</v>
      </c>
      <c r="H48" s="2204">
        <f>'BẢNG LƯƠNG KT'!S52</f>
        <v>2258308.7999999998</v>
      </c>
      <c r="I48" s="2204"/>
      <c r="J48" s="2204"/>
      <c r="K48" s="2204">
        <f t="shared" si="1"/>
        <v>6770778.7062260387</v>
      </c>
      <c r="L48" s="2204"/>
      <c r="M48" s="2204"/>
      <c r="N48" s="2205"/>
      <c r="O48" s="2206"/>
    </row>
    <row r="49" spans="1:16" s="2207" customFormat="1" ht="16.5" customHeight="1">
      <c r="A49" s="2201">
        <v>37</v>
      </c>
      <c r="B49" s="2201">
        <v>37</v>
      </c>
      <c r="C49" s="2202">
        <f>[14]CNKT!B52</f>
        <v>0</v>
      </c>
      <c r="D49" s="2203" t="str">
        <f>'BẢNG LƯƠNG KT'!C53</f>
        <v>Thảo e</v>
      </c>
      <c r="E49" s="2203" t="s">
        <v>259</v>
      </c>
      <c r="F49" s="2204">
        <f>'BẢNG LƯƠNG KT'!H53</f>
        <v>0</v>
      </c>
      <c r="G49" s="2204">
        <f>'BẢNG LƯƠNG KT'!L53</f>
        <v>0</v>
      </c>
      <c r="H49" s="2204">
        <f>'BẢNG LƯƠNG KT'!S53</f>
        <v>0</v>
      </c>
      <c r="I49" s="2204"/>
      <c r="J49" s="2204"/>
      <c r="K49" s="2204">
        <f t="shared" si="1"/>
        <v>0</v>
      </c>
      <c r="L49" s="2204"/>
      <c r="M49" s="2204"/>
      <c r="N49" s="2205"/>
      <c r="O49" s="2206"/>
    </row>
    <row r="50" spans="1:16" s="2207" customFormat="1" ht="22.5" customHeight="1">
      <c r="A50" s="3968" t="s">
        <v>322</v>
      </c>
      <c r="B50" s="3969"/>
      <c r="C50" s="3969"/>
      <c r="D50" s="3970"/>
      <c r="E50" s="2198"/>
      <c r="F50" s="2199">
        <f t="shared" ref="F50:M50" si="2">SUM(F51:F66)</f>
        <v>0</v>
      </c>
      <c r="G50" s="2199">
        <f t="shared" si="2"/>
        <v>61486147.903489992</v>
      </c>
      <c r="H50" s="2199">
        <f t="shared" si="2"/>
        <v>32730561.599999998</v>
      </c>
      <c r="I50" s="2199"/>
      <c r="J50" s="2199"/>
      <c r="K50" s="2199">
        <f t="shared" si="2"/>
        <v>94216709.503490001</v>
      </c>
      <c r="L50" s="2199">
        <f t="shared" si="2"/>
        <v>0</v>
      </c>
      <c r="M50" s="2199">
        <f t="shared" si="2"/>
        <v>0</v>
      </c>
      <c r="N50" s="2208"/>
      <c r="O50" s="2206" t="e">
        <f>K50-#REF!-#REF!-M50</f>
        <v>#REF!</v>
      </c>
      <c r="P50" s="2209"/>
    </row>
    <row r="51" spans="1:16" s="2207" customFormat="1" ht="16.5" customHeight="1">
      <c r="A51" s="2201">
        <v>38</v>
      </c>
      <c r="B51" s="2201">
        <v>1</v>
      </c>
      <c r="C51" s="2210"/>
      <c r="D51" s="2211" t="str">
        <f>'Chấm công công nhân'!L50</f>
        <v>Thảo tít</v>
      </c>
      <c r="E51" s="2203" t="s">
        <v>40</v>
      </c>
      <c r="F51" s="2204">
        <f>'BẢNG LƯƠNG KT'!H55</f>
        <v>0</v>
      </c>
      <c r="G51" s="2204">
        <f>'BẢNG LƯƠNG KT'!L55</f>
        <v>3773841.1990038231</v>
      </c>
      <c r="H51" s="2204">
        <f>'BẢNG LƯƠNG KT'!S55</f>
        <v>2188067.2000000002</v>
      </c>
      <c r="I51" s="2204"/>
      <c r="J51" s="2204"/>
      <c r="K51" s="2204">
        <f t="shared" ref="K51:K66" si="3">SUM(F51:H51)</f>
        <v>5961908.3990038233</v>
      </c>
      <c r="L51" s="2204"/>
      <c r="M51" s="2204"/>
      <c r="N51" s="2205"/>
      <c r="O51" s="2212"/>
      <c r="P51" s="2209"/>
    </row>
    <row r="52" spans="1:16" s="2207" customFormat="1" ht="16.5" customHeight="1">
      <c r="A52" s="2201">
        <v>39</v>
      </c>
      <c r="B52" s="2201">
        <v>2</v>
      </c>
      <c r="C52" s="2210"/>
      <c r="D52" s="2211" t="str">
        <f>'Chấm công công nhân'!L51</f>
        <v>Thảo ớt</v>
      </c>
      <c r="E52" s="2203" t="s">
        <v>40</v>
      </c>
      <c r="F52" s="2204">
        <f>'BẢNG LƯƠNG KT'!H56</f>
        <v>0</v>
      </c>
      <c r="G52" s="2204">
        <f>'BẢNG LƯƠNG KT'!L56</f>
        <v>4434873.4927735673</v>
      </c>
      <c r="H52" s="2204">
        <f>'BẢNG LƯƠNG KT'!S56</f>
        <v>2258308.7999999998</v>
      </c>
      <c r="I52" s="2204"/>
      <c r="J52" s="2204"/>
      <c r="K52" s="2204">
        <f t="shared" si="3"/>
        <v>6693182.2927735671</v>
      </c>
      <c r="L52" s="2204"/>
      <c r="M52" s="2204"/>
      <c r="N52" s="2205"/>
      <c r="O52" s="2212"/>
      <c r="P52" s="2209"/>
    </row>
    <row r="53" spans="1:16" s="2207" customFormat="1" ht="16.5" customHeight="1">
      <c r="A53" s="2201">
        <v>40</v>
      </c>
      <c r="B53" s="2201">
        <v>3</v>
      </c>
      <c r="C53" s="2210"/>
      <c r="D53" s="2211" t="str">
        <f>'Chấm công công nhân'!L52</f>
        <v>Nàng Ọt</v>
      </c>
      <c r="E53" s="2203" t="s">
        <v>40</v>
      </c>
      <c r="F53" s="2204">
        <f>'BẢNG LƯƠNG KT'!H57</f>
        <v>0</v>
      </c>
      <c r="G53" s="2204">
        <f>'BẢNG LƯƠNG KT'!L57</f>
        <v>3924206.4611555557</v>
      </c>
      <c r="H53" s="2204">
        <f>'BẢNG LƯƠNG KT'!S57</f>
        <v>2258308.7999999998</v>
      </c>
      <c r="I53" s="2204"/>
      <c r="J53" s="2204"/>
      <c r="K53" s="2204">
        <f t="shared" si="3"/>
        <v>6182515.261155555</v>
      </c>
      <c r="L53" s="2204"/>
      <c r="M53" s="2204"/>
      <c r="N53" s="2205"/>
      <c r="O53" s="2212"/>
      <c r="P53" s="2209"/>
    </row>
    <row r="54" spans="1:16" s="2207" customFormat="1" ht="16.5" customHeight="1">
      <c r="A54" s="2201">
        <v>41</v>
      </c>
      <c r="B54" s="2201">
        <v>4</v>
      </c>
      <c r="C54" s="2210"/>
      <c r="D54" s="2211" t="str">
        <f>'Chấm công công nhân'!L53</f>
        <v>Thào Tòng</v>
      </c>
      <c r="E54" s="2203" t="s">
        <v>40</v>
      </c>
      <c r="F54" s="2204">
        <f>'BẢNG LƯƠNG KT'!H58</f>
        <v>0</v>
      </c>
      <c r="G54" s="2204">
        <f>'BẢNG LƯƠNG KT'!L58</f>
        <v>3912765.6259918371</v>
      </c>
      <c r="H54" s="2204">
        <f>'BẢNG LƯƠNG KT'!S58</f>
        <v>2258308.7999999998</v>
      </c>
      <c r="I54" s="2204"/>
      <c r="J54" s="2204"/>
      <c r="K54" s="2204">
        <f t="shared" si="3"/>
        <v>6171074.4259918369</v>
      </c>
      <c r="L54" s="2204"/>
      <c r="M54" s="2204"/>
      <c r="N54" s="2205"/>
      <c r="O54" s="2212"/>
      <c r="P54" s="2209"/>
    </row>
    <row r="55" spans="1:16" s="2207" customFormat="1" ht="16.5" customHeight="1">
      <c r="A55" s="2201">
        <v>42</v>
      </c>
      <c r="B55" s="2201">
        <v>5</v>
      </c>
      <c r="C55" s="2210"/>
      <c r="D55" s="2211" t="str">
        <f>'Chấm công công nhân'!L54</f>
        <v>Nàng Nơm</v>
      </c>
      <c r="E55" s="2203" t="s">
        <v>40</v>
      </c>
      <c r="F55" s="2204">
        <f>'BẢNG LƯƠNG KT'!H59</f>
        <v>0</v>
      </c>
      <c r="G55" s="2204">
        <f>'BẢNG LƯƠNG KT'!L59</f>
        <v>4106555.3388511827</v>
      </c>
      <c r="H55" s="2204">
        <f>'BẢNG LƯƠNG KT'!S59</f>
        <v>2258308.7999999998</v>
      </c>
      <c r="I55" s="2204"/>
      <c r="J55" s="2204"/>
      <c r="K55" s="2204">
        <f t="shared" si="3"/>
        <v>6364864.1388511825</v>
      </c>
      <c r="L55" s="2204"/>
      <c r="M55" s="2204"/>
      <c r="N55" s="2205"/>
      <c r="O55" s="2212"/>
      <c r="P55" s="2209"/>
    </row>
    <row r="56" spans="1:16" s="2207" customFormat="1" ht="16.5" customHeight="1">
      <c r="A56" s="2201">
        <v>43</v>
      </c>
      <c r="B56" s="2201">
        <v>6</v>
      </c>
      <c r="C56" s="2210"/>
      <c r="D56" s="2211" t="str">
        <f>'Chấm công công nhân'!L55</f>
        <v>Thảo Ây</v>
      </c>
      <c r="E56" s="2203" t="s">
        <v>40</v>
      </c>
      <c r="F56" s="2204">
        <f>'BẢNG LƯƠNG KT'!H60</f>
        <v>0</v>
      </c>
      <c r="G56" s="2204">
        <f>'BẢNG LƯƠNG KT'!L60</f>
        <v>4087646.9634943963</v>
      </c>
      <c r="H56" s="2204">
        <f>'BẢNG LƯƠNG KT'!S60</f>
        <v>2258308.7999999998</v>
      </c>
      <c r="I56" s="2204"/>
      <c r="J56" s="2204"/>
      <c r="K56" s="2204">
        <f t="shared" si="3"/>
        <v>6345955.7634943966</v>
      </c>
      <c r="L56" s="2204"/>
      <c r="M56" s="2204"/>
      <c r="N56" s="2205"/>
      <c r="O56" s="2212"/>
      <c r="P56" s="2209"/>
    </row>
    <row r="57" spans="1:16" s="2207" customFormat="1" ht="16.5" customHeight="1">
      <c r="A57" s="2201">
        <v>44</v>
      </c>
      <c r="B57" s="2201">
        <v>7</v>
      </c>
      <c r="C57" s="2210"/>
      <c r="D57" s="2211" t="str">
        <f>'Chấm công công nhân'!L56</f>
        <v>Thảo Âm Thong</v>
      </c>
      <c r="E57" s="2203" t="s">
        <v>40</v>
      </c>
      <c r="F57" s="2204">
        <f>'BẢNG LƯƠNG KT'!H61</f>
        <v>0</v>
      </c>
      <c r="G57" s="2204">
        <f>'BẢNG LƯƠNG KT'!L61</f>
        <v>3115232.333372206</v>
      </c>
      <c r="H57" s="2204">
        <f>'BẢNG LƯƠNG KT'!S61</f>
        <v>1957137.6</v>
      </c>
      <c r="I57" s="2204"/>
      <c r="J57" s="2204"/>
      <c r="K57" s="2204">
        <f t="shared" si="3"/>
        <v>5072369.9333722061</v>
      </c>
      <c r="L57" s="2204"/>
      <c r="M57" s="2204"/>
      <c r="N57" s="2205"/>
      <c r="O57" s="2212"/>
      <c r="P57" s="2209"/>
    </row>
    <row r="58" spans="1:16" s="2207" customFormat="1" ht="16.5" customHeight="1">
      <c r="A58" s="2201">
        <v>45</v>
      </c>
      <c r="B58" s="2201">
        <v>8</v>
      </c>
      <c r="C58" s="2210"/>
      <c r="D58" s="2211" t="str">
        <f>'Chấm công công nhân'!L57</f>
        <v>Nàng phon</v>
      </c>
      <c r="E58" s="2203" t="s">
        <v>40</v>
      </c>
      <c r="F58" s="2204">
        <f>'BẢNG LƯƠNG KT'!H62</f>
        <v>0</v>
      </c>
      <c r="G58" s="2204">
        <f>'BẢNG LƯƠNG KT'!L62</f>
        <v>3618572.7217819244</v>
      </c>
      <c r="H58" s="2204">
        <f>'BẢNG LƯƠNG KT'!S62</f>
        <v>2047584</v>
      </c>
      <c r="I58" s="2204"/>
      <c r="J58" s="2204"/>
      <c r="K58" s="2204">
        <f t="shared" si="3"/>
        <v>5666156.7217819244</v>
      </c>
      <c r="L58" s="2204"/>
      <c r="M58" s="2204"/>
      <c r="N58" s="2205"/>
      <c r="O58" s="2212"/>
      <c r="P58" s="2209"/>
    </row>
    <row r="59" spans="1:16" s="2207" customFormat="1" ht="16.5" customHeight="1">
      <c r="A59" s="2201">
        <v>46</v>
      </c>
      <c r="B59" s="2201">
        <v>9</v>
      </c>
      <c r="C59" s="2210"/>
      <c r="D59" s="2211" t="str">
        <f>'Chấm công công nhân'!L58</f>
        <v>Thảo phắt</v>
      </c>
      <c r="E59" s="2203" t="s">
        <v>40</v>
      </c>
      <c r="F59" s="2204">
        <f>'BẢNG LƯƠNG KT'!H63</f>
        <v>0</v>
      </c>
      <c r="G59" s="2204">
        <f>'BẢNG LƯƠNG KT'!L63</f>
        <v>4197152.1000614185</v>
      </c>
      <c r="H59" s="2204">
        <f>'BẢNG LƯƠNG KT'!S63</f>
        <v>2258308.7999999998</v>
      </c>
      <c r="I59" s="2204"/>
      <c r="J59" s="2204"/>
      <c r="K59" s="2204">
        <f t="shared" si="3"/>
        <v>6455460.9000614183</v>
      </c>
      <c r="L59" s="2204"/>
      <c r="M59" s="2204"/>
      <c r="N59" s="2205"/>
      <c r="O59" s="2212"/>
      <c r="P59" s="2209"/>
    </row>
    <row r="60" spans="1:16" s="2207" customFormat="1" ht="16.5" customHeight="1">
      <c r="A60" s="2201">
        <v>47</v>
      </c>
      <c r="B60" s="2201">
        <v>10</v>
      </c>
      <c r="C60" s="2210"/>
      <c r="D60" s="2211" t="str">
        <f>'Chấm công công nhân'!L59</f>
        <v>Thảo Phon Say</v>
      </c>
      <c r="E60" s="2203" t="s">
        <v>40</v>
      </c>
      <c r="F60" s="2204">
        <f>'BẢNG LƯƠNG KT'!H64</f>
        <v>0</v>
      </c>
      <c r="G60" s="2204">
        <f>'BẢNG LƯƠNG KT'!L64</f>
        <v>4352420.5772833172</v>
      </c>
      <c r="H60" s="2204">
        <f>'BẢNG LƯƠNG KT'!S64</f>
        <v>2258308.7999999998</v>
      </c>
      <c r="I60" s="2204"/>
      <c r="J60" s="2204"/>
      <c r="K60" s="2204">
        <f t="shared" si="3"/>
        <v>6610729.377283317</v>
      </c>
      <c r="L60" s="2204"/>
      <c r="M60" s="2204"/>
      <c r="N60" s="2205"/>
      <c r="O60" s="2212"/>
      <c r="P60" s="2209"/>
    </row>
    <row r="61" spans="1:16" s="2207" customFormat="1" ht="16.5" customHeight="1">
      <c r="A61" s="2201">
        <v>48</v>
      </c>
      <c r="B61" s="2201">
        <v>11</v>
      </c>
      <c r="C61" s="2210"/>
      <c r="D61" s="2211" t="str">
        <f>'Chấm công công nhân'!L60</f>
        <v>Nàng Pít</v>
      </c>
      <c r="E61" s="2203" t="s">
        <v>40</v>
      </c>
      <c r="F61" s="2204">
        <f>'BẢNG LƯƠNG KT'!H65</f>
        <v>0</v>
      </c>
      <c r="G61" s="2204">
        <f>'BẢNG LƯƠNG KT'!L65</f>
        <v>3547645.1796462587</v>
      </c>
      <c r="H61" s="2204">
        <f>'BẢNG LƯƠNG KT'!S65</f>
        <v>2188067.2000000002</v>
      </c>
      <c r="I61" s="2204"/>
      <c r="J61" s="2204"/>
      <c r="K61" s="2204">
        <f t="shared" si="3"/>
        <v>5735712.3796462584</v>
      </c>
      <c r="L61" s="2204"/>
      <c r="M61" s="2204"/>
      <c r="N61" s="2205"/>
      <c r="O61" s="2212"/>
      <c r="P61" s="2209"/>
    </row>
    <row r="62" spans="1:16" s="2207" customFormat="1" ht="16.5" customHeight="1">
      <c r="A62" s="2201">
        <v>49</v>
      </c>
      <c r="B62" s="2201">
        <v>12</v>
      </c>
      <c r="C62" s="2210"/>
      <c r="D62" s="2211" t="str">
        <f>'Chấm công công nhân'!L61</f>
        <v>Thảo út</v>
      </c>
      <c r="E62" s="2203" t="s">
        <v>40</v>
      </c>
      <c r="F62" s="2204">
        <f>'BẢNG LƯƠNG KT'!H66</f>
        <v>0</v>
      </c>
      <c r="G62" s="2204">
        <f>'BẢNG LƯƠNG KT'!L66</f>
        <v>4501912.2781294463</v>
      </c>
      <c r="H62" s="2204">
        <f>'BẢNG LƯƠNG KT'!S66</f>
        <v>2258308.7999999998</v>
      </c>
      <c r="I62" s="2204"/>
      <c r="J62" s="2204"/>
      <c r="K62" s="2204">
        <f t="shared" si="3"/>
        <v>6760221.0781294461</v>
      </c>
      <c r="L62" s="2204"/>
      <c r="M62" s="2204"/>
      <c r="N62" s="2205"/>
      <c r="O62" s="2212"/>
      <c r="P62" s="2209"/>
    </row>
    <row r="63" spans="1:16" s="2207" customFormat="1" ht="16.5" customHeight="1">
      <c r="A63" s="2201">
        <v>50</v>
      </c>
      <c r="B63" s="2201">
        <v>13</v>
      </c>
      <c r="C63" s="2210"/>
      <c r="D63" s="2211" t="str">
        <f>'Chấm công công nhân'!L62</f>
        <v>Nàng ăm</v>
      </c>
      <c r="E63" s="2203" t="s">
        <v>40</v>
      </c>
      <c r="F63" s="2204">
        <f>'BẢNG LƯƠNG KT'!H67</f>
        <v>0</v>
      </c>
      <c r="G63" s="2204">
        <f>'BẢNG LƯƠNG KT'!L67</f>
        <v>4515861.0796221578</v>
      </c>
      <c r="H63" s="2204">
        <f>'BẢNG LƯƠNG KT'!S67</f>
        <v>1977342.4</v>
      </c>
      <c r="I63" s="2204"/>
      <c r="J63" s="2204"/>
      <c r="K63" s="2204">
        <f t="shared" si="3"/>
        <v>6493203.4796221573</v>
      </c>
      <c r="L63" s="2204"/>
      <c r="M63" s="2204"/>
      <c r="N63" s="2205"/>
      <c r="O63" s="2212"/>
      <c r="P63" s="2209"/>
    </row>
    <row r="64" spans="1:16" s="2207" customFormat="1" ht="16.5" customHeight="1">
      <c r="A64" s="2201">
        <v>51</v>
      </c>
      <c r="B64" s="2201">
        <v>14</v>
      </c>
      <c r="C64" s="2210"/>
      <c r="D64" s="2211" t="str">
        <f>'Chấm công công nhân'!L63</f>
        <v>Nàng Phìn</v>
      </c>
      <c r="E64" s="2203" t="s">
        <v>40</v>
      </c>
      <c r="F64" s="2204">
        <f>'BẢNG LƯƠNG KT'!H68</f>
        <v>0</v>
      </c>
      <c r="G64" s="2204">
        <f>'BẢNG LƯƠNG KT'!L68</f>
        <v>4565513.1770568201</v>
      </c>
      <c r="H64" s="2204">
        <f>'BẢNG LƯƠNG KT'!S68</f>
        <v>2258308.7999999998</v>
      </c>
      <c r="I64" s="2204"/>
      <c r="J64" s="2204"/>
      <c r="K64" s="2204">
        <f t="shared" si="3"/>
        <v>6823821.9770568199</v>
      </c>
      <c r="L64" s="2204"/>
      <c r="M64" s="2204"/>
      <c r="N64" s="2205"/>
      <c r="O64" s="2212"/>
      <c r="P64" s="2209"/>
    </row>
    <row r="65" spans="1:17" s="2207" customFormat="1" ht="16.5" customHeight="1">
      <c r="A65" s="2201">
        <v>52</v>
      </c>
      <c r="B65" s="2201">
        <v>15</v>
      </c>
      <c r="C65" s="2210"/>
      <c r="D65" s="2211" t="str">
        <f>'Chấm công công nhân'!L64</f>
        <v>May</v>
      </c>
      <c r="E65" s="2203" t="s">
        <v>40</v>
      </c>
      <c r="F65" s="2204">
        <f>'BẢNG LƯƠNG KT'!H69</f>
        <v>0</v>
      </c>
      <c r="G65" s="2204">
        <f>'BẢNG LƯƠNG KT'!L69</f>
        <v>4831949.3752660844</v>
      </c>
      <c r="H65" s="2204">
        <f>'BẢNG LƯƠNG KT'!S69</f>
        <v>2047584</v>
      </c>
      <c r="I65" s="2204"/>
      <c r="J65" s="2204"/>
      <c r="K65" s="2204">
        <f t="shared" si="3"/>
        <v>6879533.3752660844</v>
      </c>
      <c r="L65" s="2204"/>
      <c r="M65" s="2204"/>
      <c r="N65" s="2205"/>
      <c r="O65" s="2212"/>
      <c r="P65" s="2209"/>
    </row>
    <row r="66" spans="1:17" s="2207" customFormat="1" ht="16.5" customHeight="1">
      <c r="A66" s="2201">
        <v>53</v>
      </c>
      <c r="B66" s="2201">
        <v>16</v>
      </c>
      <c r="C66" s="2210"/>
      <c r="D66" s="2211" t="str">
        <f>'Tong hop cong'!C66</f>
        <v>Thảo e</v>
      </c>
      <c r="E66" s="2203" t="s">
        <v>1142</v>
      </c>
      <c r="F66" s="2204">
        <f>'BẢNG LƯƠNG KT'!H70</f>
        <v>0</v>
      </c>
      <c r="G66" s="2204">
        <f>'BẢNG LƯƠNG KT'!L70</f>
        <v>0</v>
      </c>
      <c r="H66" s="2204">
        <f>'BẢNG LƯƠNG KT'!S70</f>
        <v>0</v>
      </c>
      <c r="I66" s="2204"/>
      <c r="J66" s="2204"/>
      <c r="K66" s="2204">
        <f t="shared" si="3"/>
        <v>0</v>
      </c>
      <c r="L66" s="2204"/>
      <c r="M66" s="2204"/>
      <c r="N66" s="2205"/>
      <c r="O66" s="2212"/>
      <c r="P66" s="2209"/>
    </row>
    <row r="67" spans="1:17" s="2207" customFormat="1" ht="21" customHeight="1">
      <c r="A67" s="3968" t="s">
        <v>371</v>
      </c>
      <c r="B67" s="3969"/>
      <c r="C67" s="3969"/>
      <c r="D67" s="3969"/>
      <c r="E67" s="3970"/>
      <c r="F67" s="2199">
        <f>SUM(F68:F84)</f>
        <v>0</v>
      </c>
      <c r="G67" s="2199">
        <f t="shared" ref="G67:L67" si="4">SUM(G68:G84)</f>
        <v>49791285.896097407</v>
      </c>
      <c r="H67" s="2199">
        <f t="shared" si="4"/>
        <v>41520000</v>
      </c>
      <c r="I67" s="2199">
        <f t="shared" si="4"/>
        <v>0</v>
      </c>
      <c r="J67" s="2199"/>
      <c r="K67" s="2199">
        <f>SUM(K68:K84)</f>
        <v>91311285.896097392</v>
      </c>
      <c r="L67" s="2199">
        <f t="shared" si="4"/>
        <v>0</v>
      </c>
      <c r="M67" s="2199">
        <f t="shared" ref="M67" si="5">SUM(M68:M75)</f>
        <v>0</v>
      </c>
      <c r="N67" s="2198"/>
      <c r="O67" s="2206" t="e">
        <f>K67-#REF!-#REF!-M67</f>
        <v>#REF!</v>
      </c>
      <c r="P67" s="2209" t="e">
        <f>#REF!-O67</f>
        <v>#REF!</v>
      </c>
    </row>
    <row r="68" spans="1:17" s="1979" customFormat="1" ht="16.5" customHeight="1">
      <c r="A68" s="2201">
        <v>54</v>
      </c>
      <c r="B68" s="2201">
        <v>1</v>
      </c>
      <c r="C68" s="2202"/>
      <c r="D68" s="2211" t="str">
        <f>'Chấm công công nhân'!L66</f>
        <v>Phò Đăm</v>
      </c>
      <c r="E68" s="2211" t="s">
        <v>40</v>
      </c>
      <c r="F68" s="2204">
        <f>'BẢNG LƯƠNG KT'!H72</f>
        <v>0</v>
      </c>
      <c r="G68" s="2204">
        <f>'BẢNG LƯƠNG KT'!L72</f>
        <v>5352523.2896268172</v>
      </c>
      <c r="H68" s="2204">
        <f>'BẢNG LƯƠNG KT'!S72</f>
        <v>2400000</v>
      </c>
      <c r="I68" s="2204">
        <f>'BẢNG LƯƠNG KT'!T72</f>
        <v>0</v>
      </c>
      <c r="J68" s="2204"/>
      <c r="K68" s="2204">
        <f>SUM(F68:J68)</f>
        <v>7752523.2896268172</v>
      </c>
      <c r="L68" s="2204"/>
      <c r="M68" s="2204"/>
      <c r="N68" s="2213"/>
    </row>
    <row r="69" spans="1:17" s="1979" customFormat="1" ht="16.5" customHeight="1">
      <c r="A69" s="2201">
        <v>55</v>
      </c>
      <c r="B69" s="2201">
        <v>2</v>
      </c>
      <c r="C69" s="2202"/>
      <c r="D69" s="2211" t="str">
        <f>'Chấm công công nhân'!L67</f>
        <v>Thảo Mai</v>
      </c>
      <c r="E69" s="2211" t="s">
        <v>40</v>
      </c>
      <c r="F69" s="2204">
        <f>'BẢNG LƯƠNG KT'!H73</f>
        <v>0</v>
      </c>
      <c r="G69" s="2204">
        <f>'BẢNG LƯƠNG KT'!L73</f>
        <v>965101.50347731484</v>
      </c>
      <c r="H69" s="2204">
        <f>'BẢNG LƯƠNG KT'!S73</f>
        <v>840000</v>
      </c>
      <c r="I69" s="2204">
        <f>'BẢNG LƯƠNG KT'!T73</f>
        <v>0</v>
      </c>
      <c r="J69" s="2204"/>
      <c r="K69" s="2204">
        <f t="shared" ref="K69:K82" si="6">SUM(F69:J69)</f>
        <v>1805101.503477315</v>
      </c>
      <c r="L69" s="2204"/>
      <c r="M69" s="2204"/>
      <c r="N69" s="2213"/>
      <c r="Q69" s="3332"/>
    </row>
    <row r="70" spans="1:17" s="1979" customFormat="1" ht="16.5" customHeight="1">
      <c r="A70" s="2201">
        <v>56</v>
      </c>
      <c r="B70" s="2201">
        <v>3</v>
      </c>
      <c r="C70" s="2202"/>
      <c r="D70" s="2211" t="str">
        <f>'Chấm công công nhân'!L68</f>
        <v>Thảo Tưng</v>
      </c>
      <c r="E70" s="2211" t="s">
        <v>40</v>
      </c>
      <c r="F70" s="2204">
        <f>'BẢNG LƯƠNG KT'!H74</f>
        <v>0</v>
      </c>
      <c r="G70" s="2204">
        <f>'BẢNG LƯƠNG KT'!L74</f>
        <v>2090722.9695453125</v>
      </c>
      <c r="H70" s="2204">
        <f>'BẢNG LƯƠNG KT'!S74</f>
        <v>2520000</v>
      </c>
      <c r="I70" s="2204">
        <f>'BẢNG LƯƠNG KT'!T74</f>
        <v>0</v>
      </c>
      <c r="J70" s="2204"/>
      <c r="K70" s="2204">
        <f t="shared" si="6"/>
        <v>4610722.9695453122</v>
      </c>
      <c r="L70" s="2204"/>
      <c r="M70" s="2204"/>
      <c r="N70" s="2213"/>
    </row>
    <row r="71" spans="1:17" s="1979" customFormat="1" ht="16.5" customHeight="1">
      <c r="A71" s="2201">
        <v>57</v>
      </c>
      <c r="B71" s="2201">
        <v>4</v>
      </c>
      <c r="C71" s="2202"/>
      <c r="D71" s="2211" t="str">
        <f>'Chấm công công nhân'!L69</f>
        <v>Thảo Xay</v>
      </c>
      <c r="E71" s="2211" t="s">
        <v>40</v>
      </c>
      <c r="F71" s="2204">
        <f>'BẢNG LƯƠNG KT'!H75</f>
        <v>0</v>
      </c>
      <c r="G71" s="2204">
        <f>'BẢNG LƯƠNG KT'!L75</f>
        <v>3568348.8597512115</v>
      </c>
      <c r="H71" s="2204">
        <f>'BẢNG LƯƠNG KT'!S75</f>
        <v>3000000</v>
      </c>
      <c r="I71" s="2204">
        <f>'BẢNG LƯƠNG KT'!T75</f>
        <v>0</v>
      </c>
      <c r="J71" s="2204"/>
      <c r="K71" s="2204">
        <f t="shared" si="6"/>
        <v>6568348.8597512115</v>
      </c>
      <c r="L71" s="2204"/>
      <c r="M71" s="2204"/>
      <c r="N71" s="2213"/>
    </row>
    <row r="72" spans="1:17" s="1979" customFormat="1" ht="16.5" customHeight="1">
      <c r="A72" s="2201">
        <v>58</v>
      </c>
      <c r="B72" s="2201">
        <v>5</v>
      </c>
      <c r="C72" s="2202"/>
      <c r="D72" s="2211" t="str">
        <f>'Chấm công công nhân'!L70</f>
        <v>Nàng Nọi</v>
      </c>
      <c r="E72" s="2211" t="s">
        <v>40</v>
      </c>
      <c r="F72" s="2204">
        <f>'BẢNG LƯƠNG KT'!H76</f>
        <v>0</v>
      </c>
      <c r="G72" s="2204">
        <f>'BẢNG LƯƠNG KT'!L76</f>
        <v>2891341.0545655079</v>
      </c>
      <c r="H72" s="2204">
        <f>'BẢNG LƯƠNG KT'!S76</f>
        <v>2520000</v>
      </c>
      <c r="I72" s="2204">
        <f>'BẢNG LƯƠNG KT'!T76</f>
        <v>0</v>
      </c>
      <c r="J72" s="2204"/>
      <c r="K72" s="2204">
        <f t="shared" si="6"/>
        <v>5411341.0545655079</v>
      </c>
      <c r="L72" s="2204"/>
      <c r="M72" s="2204"/>
      <c r="N72" s="2213"/>
    </row>
    <row r="73" spans="1:17" s="1979" customFormat="1" ht="16.5" customHeight="1">
      <c r="A73" s="2201">
        <v>59</v>
      </c>
      <c r="B73" s="2201">
        <v>6</v>
      </c>
      <c r="C73" s="2202"/>
      <c r="D73" s="2211" t="str">
        <f>'Chấm công công nhân'!L71</f>
        <v>Thảo Đăm</v>
      </c>
      <c r="E73" s="2211" t="s">
        <v>40</v>
      </c>
      <c r="F73" s="2204">
        <f>'BẢNG LƯƠNG KT'!H77</f>
        <v>0</v>
      </c>
      <c r="G73" s="2204">
        <f>'BẢNG LƯƠNG KT'!L77</f>
        <v>2954260.9164451892</v>
      </c>
      <c r="H73" s="2204">
        <f>'BẢNG LƯƠNG KT'!S77</f>
        <v>2640000</v>
      </c>
      <c r="I73" s="2204">
        <f>'BẢNG LƯƠNG KT'!T77</f>
        <v>0</v>
      </c>
      <c r="J73" s="2204"/>
      <c r="K73" s="2204">
        <f t="shared" si="6"/>
        <v>5594260.9164451892</v>
      </c>
      <c r="L73" s="2204"/>
      <c r="M73" s="2204"/>
      <c r="N73" s="2213"/>
    </row>
    <row r="74" spans="1:17" s="1979" customFormat="1" ht="16.5" customHeight="1">
      <c r="A74" s="2201">
        <v>60</v>
      </c>
      <c r="B74" s="2201">
        <v>7</v>
      </c>
      <c r="C74" s="2202"/>
      <c r="D74" s="2211" t="str">
        <f>'Chấm công công nhân'!L72</f>
        <v>Thảo chăn</v>
      </c>
      <c r="E74" s="2211" t="s">
        <v>40</v>
      </c>
      <c r="F74" s="2204">
        <f>'BẢNG LƯƠNG KT'!H78</f>
        <v>0</v>
      </c>
      <c r="G74" s="2204">
        <f>'BẢNG LƯƠNG KT'!L78</f>
        <v>4622256.5462358724</v>
      </c>
      <c r="H74" s="2204">
        <f>'BẢNG LƯƠNG KT'!S78</f>
        <v>3120000</v>
      </c>
      <c r="I74" s="2204">
        <f>'BẢNG LƯƠNG KT'!T78</f>
        <v>0</v>
      </c>
      <c r="J74" s="2204"/>
      <c r="K74" s="2204">
        <f t="shared" si="6"/>
        <v>7742256.5462358724</v>
      </c>
      <c r="L74" s="2204"/>
      <c r="M74" s="2204"/>
      <c r="N74" s="2213"/>
    </row>
    <row r="75" spans="1:17" s="1979" customFormat="1" ht="16.5" customHeight="1">
      <c r="A75" s="2201">
        <v>61</v>
      </c>
      <c r="B75" s="2201">
        <v>8</v>
      </c>
      <c r="C75" s="2202"/>
      <c r="D75" s="2211" t="str">
        <f>'Chấm công công nhân'!L73</f>
        <v>Hồ Văn Tăng</v>
      </c>
      <c r="E75" s="2211" t="s">
        <v>40</v>
      </c>
      <c r="F75" s="2204">
        <f>'BẢNG LƯƠNG KT'!H79</f>
        <v>0</v>
      </c>
      <c r="G75" s="2204">
        <f>'BẢNG LƯƠNG KT'!L79</f>
        <v>2356274.5125965653</v>
      </c>
      <c r="H75" s="2204">
        <f>'BẢNG LƯƠNG KT'!S79</f>
        <v>2520000</v>
      </c>
      <c r="I75" s="2204">
        <f>'BẢNG LƯƠNG KT'!T79</f>
        <v>0</v>
      </c>
      <c r="J75" s="2204"/>
      <c r="K75" s="2204">
        <f t="shared" si="6"/>
        <v>4876274.5125965653</v>
      </c>
      <c r="L75" s="2204"/>
      <c r="M75" s="2204"/>
      <c r="N75" s="2213"/>
    </row>
    <row r="76" spans="1:17" s="1979" customFormat="1" ht="16.5" customHeight="1">
      <c r="A76" s="2201">
        <v>62</v>
      </c>
      <c r="B76" s="2201">
        <v>9</v>
      </c>
      <c r="C76" s="2584"/>
      <c r="D76" s="2211" t="str">
        <f>'Chấm công công nhân'!L74</f>
        <v>Hồ Văn Khoa</v>
      </c>
      <c r="E76" s="2211" t="s">
        <v>40</v>
      </c>
      <c r="F76" s="2204">
        <f>'BẢNG LƯƠNG KT'!H80</f>
        <v>0</v>
      </c>
      <c r="G76" s="2204">
        <f>'BẢNG LƯƠNG KT'!L80</f>
        <v>3047618.8807991454</v>
      </c>
      <c r="H76" s="2204">
        <f>'BẢNG LƯƠNG KT'!S80</f>
        <v>2400000</v>
      </c>
      <c r="I76" s="2204">
        <f>'BẢNG LƯƠNG KT'!T80</f>
        <v>0</v>
      </c>
      <c r="J76" s="2204"/>
      <c r="K76" s="2204">
        <f t="shared" si="6"/>
        <v>5447618.8807991454</v>
      </c>
      <c r="L76" s="2204"/>
      <c r="M76" s="2204"/>
      <c r="N76" s="2213"/>
    </row>
    <row r="77" spans="1:17" s="1979" customFormat="1" ht="16.5" customHeight="1">
      <c r="A77" s="2201">
        <v>63</v>
      </c>
      <c r="B77" s="2201">
        <v>10</v>
      </c>
      <c r="C77" s="2584"/>
      <c r="D77" s="2211" t="str">
        <f>'Chấm công công nhân'!L75</f>
        <v>Hồ Xa My</v>
      </c>
      <c r="E77" s="2211" t="s">
        <v>40</v>
      </c>
      <c r="F77" s="2204">
        <f>'BẢNG LƯƠNG KT'!H81</f>
        <v>0</v>
      </c>
      <c r="G77" s="2204">
        <f>'BẢNG LƯƠNG KT'!L81</f>
        <v>2975007.1307460684</v>
      </c>
      <c r="H77" s="2204">
        <f>'BẢNG LƯƠNG KT'!S81</f>
        <v>2520000</v>
      </c>
      <c r="I77" s="2204">
        <f>'BẢNG LƯƠNG KT'!T81</f>
        <v>0</v>
      </c>
      <c r="J77" s="2204"/>
      <c r="K77" s="2204">
        <f t="shared" si="6"/>
        <v>5495007.1307460684</v>
      </c>
      <c r="L77" s="2204"/>
      <c r="M77" s="2204"/>
      <c r="N77" s="2213"/>
    </row>
    <row r="78" spans="1:17" s="1979" customFormat="1" ht="16.5" customHeight="1">
      <c r="A78" s="2201">
        <v>64</v>
      </c>
      <c r="B78" s="2201">
        <v>11</v>
      </c>
      <c r="C78" s="2584"/>
      <c r="D78" s="2211" t="str">
        <f>'Chấm công công nhân'!L76</f>
        <v>Thảo lay</v>
      </c>
      <c r="E78" s="2211" t="s">
        <v>40</v>
      </c>
      <c r="F78" s="2204">
        <f>'BẢNG LƯƠNG KT'!H82</f>
        <v>0</v>
      </c>
      <c r="G78" s="2204">
        <f>'BẢNG LƯƠNG KT'!L82</f>
        <v>2609935.6880485085</v>
      </c>
      <c r="H78" s="2204">
        <f>'BẢNG LƯƠNG KT'!S82</f>
        <v>1920000</v>
      </c>
      <c r="I78" s="2204">
        <f>'BẢNG LƯƠNG KT'!T82</f>
        <v>0</v>
      </c>
      <c r="J78" s="2204"/>
      <c r="K78" s="2204">
        <f t="shared" si="6"/>
        <v>4529935.688048508</v>
      </c>
      <c r="L78" s="2204"/>
      <c r="M78" s="2204"/>
      <c r="N78" s="2213"/>
    </row>
    <row r="79" spans="1:17" s="1979" customFormat="1" ht="16.5" customHeight="1">
      <c r="A79" s="2201">
        <v>65</v>
      </c>
      <c r="B79" s="2201">
        <v>12</v>
      </c>
      <c r="C79" s="2584"/>
      <c r="D79" s="2211" t="str">
        <f>'Chấm công công nhân'!L77</f>
        <v>Thảo khên</v>
      </c>
      <c r="E79" s="2211" t="s">
        <v>40</v>
      </c>
      <c r="F79" s="2204">
        <f>'BẢNG LƯƠNG KT'!H83</f>
        <v>0</v>
      </c>
      <c r="G79" s="2204">
        <f>'BẢNG LƯƠNG KT'!L83</f>
        <v>6147103.2973504886</v>
      </c>
      <c r="H79" s="2204">
        <f>'BẢNG LƯƠNG KT'!S83</f>
        <v>3240000</v>
      </c>
      <c r="I79" s="2204">
        <f>'BẢNG LƯƠNG KT'!T83</f>
        <v>0</v>
      </c>
      <c r="J79" s="2204"/>
      <c r="K79" s="2204">
        <f t="shared" si="6"/>
        <v>9387103.2973504886</v>
      </c>
      <c r="L79" s="2204"/>
      <c r="M79" s="2204"/>
      <c r="N79" s="2213"/>
    </row>
    <row r="80" spans="1:17" s="1979" customFormat="1" ht="16.5" customHeight="1">
      <c r="A80" s="2201">
        <v>66</v>
      </c>
      <c r="B80" s="2201">
        <v>13</v>
      </c>
      <c r="C80" s="2584"/>
      <c r="D80" s="2211" t="str">
        <f>'Chấm công công nhân'!L78</f>
        <v>Thảo khon</v>
      </c>
      <c r="E80" s="2211" t="s">
        <v>40</v>
      </c>
      <c r="F80" s="2204">
        <f>'BẢNG LƯƠNG KT'!H84</f>
        <v>0</v>
      </c>
      <c r="G80" s="2204">
        <f>'BẢNG LƯƠNG KT'!L84</f>
        <v>3626562.117789499</v>
      </c>
      <c r="H80" s="2204">
        <f>'BẢNG LƯƠNG KT'!S84</f>
        <v>3000000</v>
      </c>
      <c r="I80" s="2204">
        <f>'BẢNG LƯƠNG KT'!T84</f>
        <v>0</v>
      </c>
      <c r="J80" s="2204"/>
      <c r="K80" s="2204">
        <f t="shared" si="6"/>
        <v>6626562.1177894995</v>
      </c>
      <c r="L80" s="2204"/>
      <c r="M80" s="2204"/>
      <c r="N80" s="2213"/>
    </row>
    <row r="81" spans="1:16" s="1979" customFormat="1" ht="16.5" customHeight="1">
      <c r="A81" s="2201">
        <v>67</v>
      </c>
      <c r="B81" s="2201">
        <v>14</v>
      </c>
      <c r="C81" s="2584"/>
      <c r="D81" s="2211" t="str">
        <f>'Chấm công công nhân'!L79</f>
        <v>Thảo nga</v>
      </c>
      <c r="E81" s="2211" t="s">
        <v>40</v>
      </c>
      <c r="F81" s="2204">
        <f>'BẢNG LƯƠNG KT'!H85</f>
        <v>0</v>
      </c>
      <c r="G81" s="2204">
        <f>'BẢNG LƯƠNG KT'!L85</f>
        <v>3819378.0527918492</v>
      </c>
      <c r="H81" s="2204">
        <f>'BẢNG LƯƠNG KT'!S85</f>
        <v>3000000</v>
      </c>
      <c r="I81" s="2204">
        <f>'BẢNG LƯƠNG KT'!T85</f>
        <v>0</v>
      </c>
      <c r="J81" s="2204"/>
      <c r="K81" s="2204">
        <f t="shared" si="6"/>
        <v>6819378.0527918488</v>
      </c>
      <c r="L81" s="2204"/>
      <c r="M81" s="2204"/>
      <c r="N81" s="2213"/>
    </row>
    <row r="82" spans="1:16" s="1979" customFormat="1" ht="16.5" customHeight="1">
      <c r="A82" s="2201">
        <v>68</v>
      </c>
      <c r="B82" s="2201">
        <v>15</v>
      </c>
      <c r="C82" s="2584"/>
      <c r="D82" s="2211" t="str">
        <f>'Chấm công công nhân'!L80</f>
        <v>Thảo lăm ma</v>
      </c>
      <c r="E82" s="2211" t="s">
        <v>40</v>
      </c>
      <c r="F82" s="2204">
        <f>'BẢNG LƯƠNG KT'!H86</f>
        <v>0</v>
      </c>
      <c r="G82" s="2204">
        <f>'BẢNG LƯƠNG KT'!L86</f>
        <v>2176277.8801622218</v>
      </c>
      <c r="H82" s="2204">
        <f>'BẢNG LƯƠNG KT'!S86</f>
        <v>3360000</v>
      </c>
      <c r="I82" s="2204">
        <f>'BẢNG LƯƠNG KT'!T86</f>
        <v>0</v>
      </c>
      <c r="J82" s="2204"/>
      <c r="K82" s="2204">
        <f t="shared" si="6"/>
        <v>5536277.8801622223</v>
      </c>
      <c r="L82" s="2204"/>
      <c r="M82" s="2204"/>
      <c r="N82" s="2213"/>
    </row>
    <row r="83" spans="1:16" s="1979" customFormat="1" ht="16.5" customHeight="1">
      <c r="A83" s="2201">
        <v>69</v>
      </c>
      <c r="B83" s="2201">
        <v>16</v>
      </c>
      <c r="C83" s="2584"/>
      <c r="D83" s="2211" t="str">
        <f>'Chấm công công nhân'!L81</f>
        <v>Thảo Hôm</v>
      </c>
      <c r="E83" s="2211" t="s">
        <v>40</v>
      </c>
      <c r="F83" s="2204">
        <f>'BẢNG LƯƠNG KT'!H87</f>
        <v>0</v>
      </c>
      <c r="G83" s="2204">
        <f>'BẢNG LƯƠNG KT'!L87</f>
        <v>588573.19616583677</v>
      </c>
      <c r="H83" s="2204">
        <f>'BẢNG LƯƠNG KT'!S87</f>
        <v>2520000</v>
      </c>
      <c r="I83" s="2204"/>
      <c r="J83" s="2204"/>
      <c r="K83" s="2204">
        <f t="shared" ref="K83:K84" si="7">SUM(F83:H83)</f>
        <v>3108573.1961658369</v>
      </c>
      <c r="L83" s="2204"/>
      <c r="M83" s="2204"/>
      <c r="N83" s="2213"/>
    </row>
    <row r="84" spans="1:16" s="1979" customFormat="1" ht="16.5" customHeight="1">
      <c r="A84" s="2201">
        <v>70</v>
      </c>
      <c r="B84" s="2201">
        <v>17</v>
      </c>
      <c r="C84" s="2584"/>
      <c r="D84" s="2585" t="str">
        <f>'Tong hop cong'!C49</f>
        <v>Thảo e</v>
      </c>
      <c r="E84" s="2586" t="s">
        <v>259</v>
      </c>
      <c r="F84" s="2204">
        <f>'BẢNG LƯƠNG KT'!H88</f>
        <v>0</v>
      </c>
      <c r="G84" s="2204">
        <f>'BẢNG LƯƠNG KT'!L88</f>
        <v>0</v>
      </c>
      <c r="H84" s="2204">
        <f>'BẢNG LƯƠNG KT'!S88</f>
        <v>0</v>
      </c>
      <c r="I84" s="2204"/>
      <c r="J84" s="2204"/>
      <c r="K84" s="2204">
        <f t="shared" si="7"/>
        <v>0</v>
      </c>
      <c r="L84" s="2204"/>
      <c r="M84" s="2204"/>
      <c r="N84" s="2213"/>
    </row>
    <row r="85" spans="1:16" s="2217" customFormat="1" ht="18.75" customHeight="1">
      <c r="A85" s="3968" t="s">
        <v>1197</v>
      </c>
      <c r="B85" s="3969"/>
      <c r="C85" s="3969"/>
      <c r="D85" s="3969"/>
      <c r="E85" s="3970"/>
      <c r="F85" s="2199"/>
      <c r="G85" s="2199"/>
      <c r="H85" s="2199"/>
      <c r="I85" s="2199"/>
      <c r="J85" s="2199"/>
      <c r="K85" s="2199">
        <f>SUM(K86:K98)</f>
        <v>31106451.612903226</v>
      </c>
      <c r="L85" s="2199"/>
      <c r="M85" s="2199"/>
      <c r="N85" s="2214"/>
      <c r="O85" s="2215"/>
      <c r="P85" s="2216"/>
    </row>
    <row r="86" spans="1:16" s="2292" customFormat="1" ht="17.25" customHeight="1">
      <c r="A86" s="2201">
        <v>63</v>
      </c>
      <c r="B86" s="2201">
        <v>1</v>
      </c>
      <c r="C86" s="2202"/>
      <c r="D86" s="2211" t="str">
        <f>BV!C13</f>
        <v>Phò Đan</v>
      </c>
      <c r="E86" s="2211" t="s">
        <v>1836</v>
      </c>
      <c r="F86" s="2204"/>
      <c r="G86" s="2204"/>
      <c r="H86" s="2204"/>
      <c r="I86" s="2204"/>
      <c r="J86" s="2204"/>
      <c r="K86" s="2204">
        <f>BV!U13</f>
        <v>2600000</v>
      </c>
      <c r="L86" s="2204"/>
      <c r="M86" s="2204"/>
      <c r="N86" s="2203"/>
      <c r="O86" s="2290"/>
      <c r="P86" s="2291"/>
    </row>
    <row r="87" spans="1:16" s="2292" customFormat="1" ht="17.25" customHeight="1">
      <c r="A87" s="2201">
        <v>64</v>
      </c>
      <c r="B87" s="2201">
        <v>2</v>
      </c>
      <c r="C87" s="2202"/>
      <c r="D87" s="2211" t="str">
        <f>BV!C14</f>
        <v>Sâm Say</v>
      </c>
      <c r="E87" s="2211" t="s">
        <v>1836</v>
      </c>
      <c r="F87" s="2204"/>
      <c r="G87" s="2204"/>
      <c r="H87" s="2204"/>
      <c r="I87" s="2204"/>
      <c r="J87" s="2204"/>
      <c r="K87" s="2204">
        <f>BV!U14</f>
        <v>2600000</v>
      </c>
      <c r="L87" s="2204"/>
      <c r="M87" s="2204"/>
      <c r="N87" s="2203"/>
      <c r="O87" s="2290"/>
      <c r="P87" s="2291"/>
    </row>
    <row r="88" spans="1:16" s="2292" customFormat="1" ht="17.25" customHeight="1">
      <c r="A88" s="2201">
        <v>65</v>
      </c>
      <c r="B88" s="2201">
        <v>3</v>
      </c>
      <c r="C88" s="2202"/>
      <c r="D88" s="2211" t="str">
        <f>BV!C15</f>
        <v>Thảo Chanh</v>
      </c>
      <c r="E88" s="2211" t="s">
        <v>1836</v>
      </c>
      <c r="F88" s="2204"/>
      <c r="G88" s="2204"/>
      <c r="H88" s="2204"/>
      <c r="I88" s="2204"/>
      <c r="J88" s="2204"/>
      <c r="K88" s="2204">
        <f>BV!U15</f>
        <v>2600000</v>
      </c>
      <c r="L88" s="2204"/>
      <c r="M88" s="2204"/>
      <c r="N88" s="2203"/>
      <c r="O88" s="2290"/>
      <c r="P88" s="2291"/>
    </row>
    <row r="89" spans="1:16" s="2292" customFormat="1" ht="17.25" customHeight="1">
      <c r="A89" s="2201">
        <v>66</v>
      </c>
      <c r="B89" s="2201">
        <v>4</v>
      </c>
      <c r="C89" s="2202"/>
      <c r="D89" s="2211" t="str">
        <f>BV!C16</f>
        <v>Phò Viu</v>
      </c>
      <c r="E89" s="2211" t="s">
        <v>1836</v>
      </c>
      <c r="F89" s="2204"/>
      <c r="G89" s="2204"/>
      <c r="H89" s="2204"/>
      <c r="I89" s="2204"/>
      <c r="J89" s="2204"/>
      <c r="K89" s="2204">
        <f>BV!U16</f>
        <v>2600000</v>
      </c>
      <c r="L89" s="2204"/>
      <c r="M89" s="2204"/>
      <c r="N89" s="2203"/>
      <c r="O89" s="2290"/>
      <c r="P89" s="2291"/>
    </row>
    <row r="90" spans="1:16" s="2292" customFormat="1" ht="17.25" customHeight="1">
      <c r="A90" s="2201">
        <v>67</v>
      </c>
      <c r="B90" s="2201">
        <v>5</v>
      </c>
      <c r="C90" s="2584"/>
      <c r="D90" s="2211" t="str">
        <f>BV!C17</f>
        <v>Thảo Mi</v>
      </c>
      <c r="E90" s="2211" t="s">
        <v>1837</v>
      </c>
      <c r="F90" s="2204"/>
      <c r="G90" s="2204"/>
      <c r="H90" s="2204"/>
      <c r="I90" s="2204"/>
      <c r="J90" s="2204"/>
      <c r="K90" s="2204">
        <f>BV!U17</f>
        <v>2450967.7419354841</v>
      </c>
      <c r="L90" s="2204"/>
      <c r="M90" s="2204"/>
      <c r="N90" s="2203"/>
      <c r="O90" s="2290"/>
      <c r="P90" s="2291"/>
    </row>
    <row r="91" spans="1:16" s="2292" customFormat="1" ht="17.25" customHeight="1">
      <c r="A91" s="2201">
        <v>68</v>
      </c>
      <c r="B91" s="2201">
        <v>6</v>
      </c>
      <c r="C91" s="2584"/>
      <c r="D91" s="2211" t="str">
        <f>BV!C18</f>
        <v>Thảo Xi</v>
      </c>
      <c r="E91" s="2211" t="s">
        <v>1837</v>
      </c>
      <c r="F91" s="2204"/>
      <c r="G91" s="2204"/>
      <c r="H91" s="2204"/>
      <c r="I91" s="2204"/>
      <c r="J91" s="2204"/>
      <c r="K91" s="2204">
        <f>BV!U18</f>
        <v>2450967.7419354841</v>
      </c>
      <c r="L91" s="2204"/>
      <c r="M91" s="2204"/>
      <c r="N91" s="2203"/>
      <c r="O91" s="2290"/>
      <c r="P91" s="2291"/>
    </row>
    <row r="92" spans="1:16" s="2292" customFormat="1" ht="17.25" customHeight="1">
      <c r="A92" s="2201">
        <v>69</v>
      </c>
      <c r="B92" s="2201">
        <v>7</v>
      </c>
      <c r="C92" s="2584"/>
      <c r="D92" s="2211" t="str">
        <f>BV!C19</f>
        <v>Thảo Cu Đê</v>
      </c>
      <c r="E92" s="2211" t="s">
        <v>1837</v>
      </c>
      <c r="F92" s="2204"/>
      <c r="G92" s="2204"/>
      <c r="H92" s="2204"/>
      <c r="I92" s="2204"/>
      <c r="J92" s="2204"/>
      <c r="K92" s="2204">
        <f>BV!U19</f>
        <v>2450967.7419354841</v>
      </c>
      <c r="L92" s="2204"/>
      <c r="M92" s="2204"/>
      <c r="N92" s="2203"/>
      <c r="O92" s="2290"/>
      <c r="P92" s="2291"/>
    </row>
    <row r="93" spans="1:16" s="2292" customFormat="1" ht="17.25" customHeight="1">
      <c r="A93" s="2201">
        <v>70</v>
      </c>
      <c r="B93" s="2201">
        <v>8</v>
      </c>
      <c r="C93" s="2584"/>
      <c r="D93" s="2211" t="str">
        <f>BV!C20</f>
        <v>Thảo Đin</v>
      </c>
      <c r="E93" s="2211" t="s">
        <v>1837</v>
      </c>
      <c r="F93" s="2204"/>
      <c r="G93" s="2204"/>
      <c r="H93" s="2204"/>
      <c r="I93" s="2204"/>
      <c r="J93" s="2204"/>
      <c r="K93" s="2204">
        <f>BV!U20</f>
        <v>2450967.7419354841</v>
      </c>
      <c r="L93" s="2204"/>
      <c r="M93" s="2204"/>
      <c r="N93" s="2203"/>
      <c r="O93" s="2290"/>
      <c r="P93" s="2291"/>
    </row>
    <row r="94" spans="1:16" s="2292" customFormat="1" ht="17.25" customHeight="1">
      <c r="A94" s="2201">
        <v>71</v>
      </c>
      <c r="B94" s="2201">
        <v>9</v>
      </c>
      <c r="C94" s="2584"/>
      <c r="D94" s="2211" t="str">
        <f>BV!C21</f>
        <v>Thảo Pong</v>
      </c>
      <c r="E94" s="2211" t="s">
        <v>1837</v>
      </c>
      <c r="F94" s="2204"/>
      <c r="G94" s="2204"/>
      <c r="H94" s="2204"/>
      <c r="I94" s="2204"/>
      <c r="J94" s="2204"/>
      <c r="K94" s="2204">
        <f>BV!U21</f>
        <v>2450967.7419354841</v>
      </c>
      <c r="L94" s="2204"/>
      <c r="M94" s="2204"/>
      <c r="N94" s="2203"/>
      <c r="O94" s="2290"/>
      <c r="P94" s="2291"/>
    </row>
    <row r="95" spans="1:16" s="2292" customFormat="1" ht="17.25" customHeight="1">
      <c r="A95" s="2201">
        <v>72</v>
      </c>
      <c r="B95" s="2201">
        <v>10</v>
      </c>
      <c r="C95" s="2584"/>
      <c r="D95" s="2211" t="str">
        <f>BV!C22</f>
        <v>Thảo Mút</v>
      </c>
      <c r="E95" s="2211" t="s">
        <v>1837</v>
      </c>
      <c r="F95" s="2204"/>
      <c r="G95" s="2204"/>
      <c r="H95" s="2204"/>
      <c r="I95" s="2204"/>
      <c r="J95" s="2204"/>
      <c r="K95" s="2204">
        <f>BV!U22</f>
        <v>1098709.6774193549</v>
      </c>
      <c r="L95" s="2204"/>
      <c r="M95" s="2204"/>
      <c r="N95" s="2203"/>
      <c r="O95" s="2290"/>
      <c r="P95" s="2291"/>
    </row>
    <row r="96" spans="1:16" s="2292" customFormat="1" ht="17.25" customHeight="1">
      <c r="A96" s="2201">
        <v>73</v>
      </c>
      <c r="B96" s="2201">
        <v>11</v>
      </c>
      <c r="C96" s="2584"/>
      <c r="D96" s="2211" t="str">
        <f>BV!C23</f>
        <v>Thảo Đăm</v>
      </c>
      <c r="E96" s="2211" t="s">
        <v>1837</v>
      </c>
      <c r="F96" s="2204"/>
      <c r="G96" s="2204"/>
      <c r="H96" s="2204"/>
      <c r="I96" s="2204"/>
      <c r="J96" s="2204"/>
      <c r="K96" s="2204">
        <f>BV!U23</f>
        <v>2450967.7419354841</v>
      </c>
      <c r="L96" s="2204"/>
      <c r="M96" s="2204"/>
      <c r="N96" s="2203"/>
      <c r="O96" s="2290"/>
      <c r="P96" s="2291"/>
    </row>
    <row r="97" spans="1:17" s="2292" customFormat="1" ht="17.25" customHeight="1">
      <c r="A97" s="2201">
        <v>74</v>
      </c>
      <c r="B97" s="2201">
        <v>12</v>
      </c>
      <c r="C97" s="2584"/>
      <c r="D97" s="2211" t="str">
        <f>BV!C24</f>
        <v>Phò Đăm</v>
      </c>
      <c r="E97" s="2211" t="s">
        <v>1837</v>
      </c>
      <c r="F97" s="2204"/>
      <c r="G97" s="2204"/>
      <c r="H97" s="2204"/>
      <c r="I97" s="2204"/>
      <c r="J97" s="2204"/>
      <c r="K97" s="2204">
        <f>BV!U24</f>
        <v>2450967.7419354841</v>
      </c>
      <c r="L97" s="2204"/>
      <c r="M97" s="2204"/>
      <c r="N97" s="2203"/>
      <c r="O97" s="2290"/>
      <c r="P97" s="2291"/>
    </row>
    <row r="98" spans="1:17" s="2292" customFormat="1" ht="17.25" customHeight="1">
      <c r="A98" s="2201">
        <v>75</v>
      </c>
      <c r="B98" s="2201">
        <v>13</v>
      </c>
      <c r="C98" s="2584"/>
      <c r="D98" s="2211" t="str">
        <f>BV!C25</f>
        <v>Thảo Bay</v>
      </c>
      <c r="E98" s="2211" t="s">
        <v>1837</v>
      </c>
      <c r="F98" s="2204"/>
      <c r="G98" s="2204"/>
      <c r="H98" s="2204"/>
      <c r="I98" s="2204"/>
      <c r="J98" s="2204"/>
      <c r="K98" s="2204">
        <f>BV!U25</f>
        <v>2450967.7419354841</v>
      </c>
      <c r="L98" s="2204"/>
      <c r="M98" s="2204"/>
      <c r="N98" s="2203"/>
      <c r="O98" s="2290"/>
      <c r="P98" s="2291"/>
    </row>
    <row r="99" spans="1:17" s="2207" customFormat="1" ht="31.5" customHeight="1">
      <c r="A99" s="3971" t="s">
        <v>1198</v>
      </c>
      <c r="B99" s="3972"/>
      <c r="C99" s="3972"/>
      <c r="D99" s="3972"/>
      <c r="E99" s="3973"/>
      <c r="F99" s="2199">
        <f t="shared" ref="F99:L99" si="8">F12+F50+F67</f>
        <v>0</v>
      </c>
      <c r="G99" s="2199">
        <f t="shared" si="8"/>
        <v>250605593.40311795</v>
      </c>
      <c r="H99" s="2199">
        <f t="shared" si="8"/>
        <v>147360652.80000001</v>
      </c>
      <c r="I99" s="2199"/>
      <c r="J99" s="2199"/>
      <c r="K99" s="2199">
        <f t="shared" si="8"/>
        <v>397966246.20311797</v>
      </c>
      <c r="L99" s="2199">
        <f t="shared" si="8"/>
        <v>0</v>
      </c>
      <c r="M99" s="2199" t="e">
        <f>M12+M50+M67+#REF!</f>
        <v>#REF!</v>
      </c>
      <c r="N99" s="2218"/>
      <c r="O99" s="2219"/>
      <c r="P99" s="2220"/>
    </row>
    <row r="100" spans="1:17" s="2207" customFormat="1" ht="27.75" customHeight="1">
      <c r="A100" s="3971" t="s">
        <v>1199</v>
      </c>
      <c r="B100" s="3972"/>
      <c r="C100" s="3972"/>
      <c r="D100" s="3972"/>
      <c r="E100" s="3973"/>
      <c r="F100" s="2199"/>
      <c r="G100" s="2199"/>
      <c r="H100" s="2199"/>
      <c r="I100" s="2199"/>
      <c r="J100" s="2199"/>
      <c r="K100" s="2199">
        <f>K85</f>
        <v>31106451.612903226</v>
      </c>
      <c r="L100" s="2199">
        <f>L85</f>
        <v>0</v>
      </c>
      <c r="M100" s="2199"/>
      <c r="N100" s="2218"/>
      <c r="O100" s="2219"/>
      <c r="P100" s="2220"/>
      <c r="Q100" s="3312">
        <f>F101+H101+G101+J67+K100</f>
        <v>429072697.8160212</v>
      </c>
    </row>
    <row r="101" spans="1:17" s="2207" customFormat="1" ht="21.75" customHeight="1">
      <c r="A101" s="3974" t="s">
        <v>1201</v>
      </c>
      <c r="B101" s="3975"/>
      <c r="C101" s="3975"/>
      <c r="D101" s="3975"/>
      <c r="E101" s="3976"/>
      <c r="F101" s="2199">
        <f>SUM(F99:F100)</f>
        <v>0</v>
      </c>
      <c r="G101" s="2199">
        <f t="shared" ref="G101:L101" si="9">SUM(G99:G100)</f>
        <v>250605593.40311795</v>
      </c>
      <c r="H101" s="2199">
        <f t="shared" si="9"/>
        <v>147360652.80000001</v>
      </c>
      <c r="I101" s="2199"/>
      <c r="J101" s="2199"/>
      <c r="K101" s="2199">
        <f t="shared" si="9"/>
        <v>429072697.8160212</v>
      </c>
      <c r="L101" s="2199">
        <f t="shared" si="9"/>
        <v>0</v>
      </c>
      <c r="M101" s="2199" t="e">
        <f>SUM(M99:M100)</f>
        <v>#REF!</v>
      </c>
      <c r="N101" s="2221"/>
      <c r="O101" s="2206"/>
      <c r="P101" s="2209"/>
      <c r="Q101" s="3312">
        <f>K99+K100</f>
        <v>429072697.8160212</v>
      </c>
    </row>
    <row r="102" spans="1:17" s="2207" customFormat="1" ht="21.75" customHeight="1">
      <c r="A102" s="3984" t="s">
        <v>1855</v>
      </c>
      <c r="B102" s="3984"/>
      <c r="C102" s="3984"/>
      <c r="D102" s="3984"/>
      <c r="E102" s="3984"/>
      <c r="F102" s="3984"/>
      <c r="G102" s="3984"/>
      <c r="H102" s="3984"/>
      <c r="I102" s="3984"/>
      <c r="J102" s="3984"/>
      <c r="K102" s="3984"/>
      <c r="L102" s="3984"/>
      <c r="M102" s="3984"/>
      <c r="N102" s="3984"/>
      <c r="O102" s="2206"/>
      <c r="P102" s="2209"/>
      <c r="Q102" s="3312"/>
    </row>
    <row r="103" spans="1:17">
      <c r="B103" s="2183"/>
      <c r="C103" s="2222"/>
      <c r="D103" s="2191"/>
      <c r="E103" s="2191"/>
      <c r="F103" s="2192"/>
      <c r="G103" s="2191"/>
      <c r="H103" s="2191"/>
      <c r="I103" s="2191"/>
      <c r="J103" s="2191"/>
      <c r="K103" s="3985" t="s">
        <v>1824</v>
      </c>
      <c r="L103" s="3985"/>
      <c r="M103" s="3985"/>
      <c r="N103" s="3985"/>
      <c r="O103" s="2223"/>
      <c r="Q103" s="2224"/>
    </row>
    <row r="104" spans="1:17" s="2227" customFormat="1">
      <c r="A104" s="3678" t="s">
        <v>45</v>
      </c>
      <c r="B104" s="3678"/>
      <c r="C104" s="3678"/>
      <c r="D104" s="3678"/>
      <c r="E104" s="3678"/>
      <c r="F104" s="3979" t="s">
        <v>44</v>
      </c>
      <c r="G104" s="3979"/>
      <c r="H104" s="3979"/>
      <c r="I104" s="2975"/>
      <c r="J104" s="3325"/>
      <c r="L104" s="2225"/>
      <c r="M104" s="2225"/>
      <c r="N104" s="2225" t="s">
        <v>615</v>
      </c>
      <c r="O104" s="2224"/>
      <c r="P104" s="2226"/>
    </row>
    <row r="105" spans="1:17" s="2227" customFormat="1">
      <c r="A105" s="2183"/>
      <c r="B105" s="2174"/>
      <c r="C105" s="2228"/>
      <c r="D105" s="2174"/>
      <c r="E105" s="2174"/>
      <c r="F105" s="2229"/>
      <c r="G105" s="2230"/>
      <c r="H105" s="2230"/>
      <c r="I105" s="2230"/>
      <c r="J105" s="2230"/>
      <c r="K105" s="2231"/>
      <c r="L105" s="2174"/>
      <c r="M105" s="2174"/>
      <c r="N105" s="2174"/>
      <c r="O105" s="2232"/>
      <c r="P105" s="2226"/>
    </row>
    <row r="106" spans="1:17" s="2227" customFormat="1">
      <c r="A106" s="2183"/>
      <c r="B106" s="2174"/>
      <c r="C106" s="2228"/>
      <c r="D106" s="2174"/>
      <c r="E106" s="2174"/>
      <c r="F106" s="2229"/>
      <c r="G106" s="2230"/>
      <c r="H106" s="2230"/>
      <c r="I106" s="2230"/>
      <c r="J106" s="2230"/>
      <c r="K106" s="2231"/>
      <c r="L106" s="2174"/>
      <c r="M106" s="2174"/>
      <c r="N106" s="2174"/>
      <c r="O106" s="2185"/>
    </row>
    <row r="107" spans="1:17">
      <c r="B107" s="2183"/>
      <c r="C107" s="2222"/>
      <c r="D107" s="2191"/>
      <c r="E107" s="2191"/>
      <c r="F107" s="2233"/>
      <c r="G107" s="2233"/>
      <c r="H107" s="2233"/>
      <c r="I107" s="2233"/>
      <c r="J107" s="2233"/>
      <c r="K107" s="2233"/>
      <c r="L107" s="2233"/>
      <c r="M107" s="2233"/>
      <c r="N107" s="2234"/>
      <c r="O107" s="2224"/>
    </row>
    <row r="108" spans="1:17">
      <c r="B108" s="2183"/>
      <c r="C108" s="2222"/>
      <c r="D108" s="2191"/>
      <c r="E108" s="2191"/>
      <c r="F108" s="2233"/>
      <c r="G108" s="2233"/>
      <c r="H108" s="2233"/>
      <c r="I108" s="2233"/>
      <c r="J108" s="2233"/>
      <c r="K108" s="2233"/>
      <c r="L108" s="2233"/>
      <c r="M108" s="2233"/>
      <c r="N108" s="2234"/>
      <c r="O108" s="2224"/>
    </row>
    <row r="109" spans="1:17">
      <c r="B109" s="2183"/>
      <c r="C109" s="2222"/>
      <c r="D109" s="2191"/>
      <c r="E109" s="2191"/>
      <c r="F109" s="2233"/>
      <c r="G109" s="2233"/>
      <c r="H109" s="2233"/>
      <c r="I109" s="2233"/>
      <c r="J109" s="2233"/>
      <c r="K109" s="2233"/>
      <c r="L109" s="2233"/>
      <c r="M109" s="2233"/>
      <c r="N109" s="2234"/>
      <c r="O109" s="2224"/>
    </row>
    <row r="110" spans="1:17">
      <c r="B110" s="2183"/>
      <c r="C110" s="2222"/>
      <c r="D110" s="2191"/>
      <c r="E110" s="2191"/>
      <c r="F110" s="2235"/>
      <c r="G110" s="2235"/>
      <c r="H110" s="2236"/>
      <c r="I110" s="2236"/>
      <c r="J110" s="2236"/>
      <c r="K110" s="2236"/>
      <c r="L110" s="2235"/>
      <c r="M110" s="2235"/>
      <c r="N110" s="2191"/>
    </row>
    <row r="111" spans="1:17">
      <c r="B111" s="2183"/>
      <c r="C111" s="2222"/>
      <c r="D111" s="2191"/>
      <c r="E111" s="2191"/>
      <c r="F111" s="2235"/>
      <c r="G111" s="2237"/>
      <c r="H111" s="2236"/>
      <c r="I111" s="2236"/>
      <c r="J111" s="2236"/>
      <c r="K111" s="2236"/>
      <c r="L111" s="2235"/>
      <c r="M111" s="2235"/>
      <c r="N111" s="2191"/>
    </row>
    <row r="112" spans="1:17">
      <c r="B112" s="2183"/>
      <c r="C112" s="2222"/>
      <c r="D112" s="2191"/>
      <c r="E112" s="2191"/>
      <c r="F112" s="2192"/>
      <c r="G112" s="2238"/>
      <c r="H112" s="2239"/>
      <c r="I112" s="2239"/>
      <c r="J112" s="2239"/>
      <c r="K112" s="3678"/>
      <c r="L112" s="3678"/>
      <c r="M112" s="2225"/>
      <c r="N112" s="2225"/>
      <c r="O112" s="2232"/>
    </row>
    <row r="113" spans="2:16">
      <c r="B113" s="2183"/>
      <c r="C113" s="2222"/>
      <c r="D113" s="2191"/>
      <c r="E113" s="2191"/>
      <c r="F113" s="2192"/>
      <c r="G113" s="2240"/>
      <c r="H113" s="2241"/>
      <c r="I113" s="2241"/>
      <c r="J113" s="2241"/>
      <c r="K113" s="2242"/>
      <c r="L113" s="2192"/>
      <c r="M113" s="2191"/>
      <c r="N113" s="2191"/>
    </row>
    <row r="114" spans="2:16">
      <c r="B114" s="2183"/>
      <c r="C114" s="2222"/>
      <c r="D114" s="2191"/>
      <c r="E114" s="2191"/>
      <c r="F114" s="2243"/>
      <c r="G114" s="2244"/>
      <c r="H114" s="2244"/>
      <c r="I114" s="2244"/>
      <c r="J114" s="2244"/>
      <c r="K114" s="2245"/>
      <c r="L114" s="3434"/>
      <c r="M114" s="2191"/>
      <c r="N114" s="2191"/>
    </row>
    <row r="115" spans="2:16">
      <c r="F115" s="2246"/>
      <c r="G115" s="3980"/>
      <c r="H115" s="3980"/>
      <c r="I115" s="2976"/>
      <c r="J115" s="3326"/>
      <c r="K115" s="2223"/>
      <c r="O115" s="2224"/>
      <c r="P115" s="2224"/>
    </row>
    <row r="116" spans="2:16">
      <c r="F116" s="2246"/>
      <c r="G116" s="3981"/>
      <c r="H116" s="3978"/>
      <c r="I116" s="2974"/>
      <c r="J116" s="3324"/>
      <c r="K116" s="2247"/>
      <c r="L116" s="2247"/>
    </row>
    <row r="117" spans="2:16" ht="18.75">
      <c r="F117" s="2248"/>
      <c r="G117" s="3982"/>
      <c r="H117" s="3983"/>
      <c r="I117" s="2977"/>
      <c r="J117" s="3327"/>
      <c r="K117" s="2249"/>
      <c r="L117" s="2223"/>
    </row>
    <row r="118" spans="2:16">
      <c r="G118" s="3977"/>
      <c r="H118" s="3978"/>
      <c r="I118" s="2974"/>
      <c r="J118" s="3324"/>
      <c r="K118" s="2224"/>
    </row>
    <row r="119" spans="2:16">
      <c r="H119" s="2232"/>
      <c r="I119" s="2232"/>
      <c r="J119" s="2232"/>
      <c r="K119" s="2249"/>
    </row>
    <row r="120" spans="2:16">
      <c r="H120" s="2224"/>
      <c r="I120" s="2224"/>
      <c r="J120" s="2224"/>
      <c r="K120" s="2224"/>
      <c r="L120" s="2223"/>
    </row>
    <row r="121" spans="2:16">
      <c r="H121" s="2249"/>
      <c r="I121" s="2249"/>
      <c r="J121" s="2249"/>
      <c r="K121" s="2232"/>
    </row>
    <row r="122" spans="2:16">
      <c r="F122" s="2246"/>
    </row>
    <row r="123" spans="2:16">
      <c r="F123" s="2246"/>
      <c r="G123" s="2232"/>
    </row>
    <row r="124" spans="2:16">
      <c r="F124" s="2246"/>
      <c r="H124" s="2223"/>
      <c r="I124" s="2223"/>
      <c r="J124" s="2223"/>
      <c r="M124" s="2232"/>
    </row>
    <row r="132" spans="6:6">
      <c r="F132" s="2188" t="s">
        <v>1200</v>
      </c>
    </row>
  </sheetData>
  <mergeCells count="33">
    <mergeCell ref="A102:N102"/>
    <mergeCell ref="K103:N103"/>
    <mergeCell ref="A104:E104"/>
    <mergeCell ref="B8:N8"/>
    <mergeCell ref="B1:N1"/>
    <mergeCell ref="B2:N2"/>
    <mergeCell ref="B3:N3"/>
    <mergeCell ref="A5:G5"/>
    <mergeCell ref="A6:G6"/>
    <mergeCell ref="M9:N9"/>
    <mergeCell ref="A10:B11"/>
    <mergeCell ref="C10:C11"/>
    <mergeCell ref="D10:D11"/>
    <mergeCell ref="E10:E11"/>
    <mergeCell ref="K10:K11"/>
    <mergeCell ref="L10:L11"/>
    <mergeCell ref="G118:H118"/>
    <mergeCell ref="F104:H104"/>
    <mergeCell ref="K112:L112"/>
    <mergeCell ref="G115:H115"/>
    <mergeCell ref="G116:H116"/>
    <mergeCell ref="G117:H117"/>
    <mergeCell ref="F10:I10"/>
    <mergeCell ref="J10:J11"/>
    <mergeCell ref="A100:E100"/>
    <mergeCell ref="A101:E101"/>
    <mergeCell ref="N10:N11"/>
    <mergeCell ref="A12:D12"/>
    <mergeCell ref="A50:D50"/>
    <mergeCell ref="A67:E67"/>
    <mergeCell ref="A85:E85"/>
    <mergeCell ref="A99:E99"/>
    <mergeCell ref="M10:M11"/>
  </mergeCells>
  <pageMargins left="0.59055118110236227" right="0.59055118110236227" top="0.39370078740157483" bottom="0.39370078740157483" header="0.39370078740157483" footer="0.39370078740157483"/>
  <pageSetup paperSize="9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48"/>
  <sheetViews>
    <sheetView topLeftCell="A2" zoomScale="70" zoomScaleNormal="70" workbookViewId="0">
      <pane xSplit="2" topLeftCell="C1" activePane="topRight" state="frozen"/>
      <selection activeCell="G46" sqref="G46"/>
      <selection pane="topRight" activeCell="R27" sqref="R27"/>
    </sheetView>
  </sheetViews>
  <sheetFormatPr defaultColWidth="9.25" defaultRowHeight="16.5"/>
  <cols>
    <col min="1" max="1" width="7.25" style="3314" customWidth="1"/>
    <col min="2" max="2" width="9.375" style="909" hidden="1" customWidth="1"/>
    <col min="3" max="3" width="22.375" style="915" customWidth="1"/>
    <col min="4" max="4" width="6.375" style="915" hidden="1" customWidth="1"/>
    <col min="5" max="5" width="8" style="909" hidden="1" customWidth="1"/>
    <col min="6" max="6" width="25.25" style="909" customWidth="1"/>
    <col min="7" max="7" width="17.875" style="911" customWidth="1"/>
    <col min="8" max="9" width="17.875" style="909" customWidth="1"/>
    <col min="10" max="10" width="13.375" style="911" customWidth="1"/>
    <col min="11" max="11" width="7.875" style="3316" customWidth="1"/>
    <col min="12" max="12" width="15.625" style="912" customWidth="1"/>
    <col min="13" max="13" width="11.75" style="909" customWidth="1"/>
    <col min="14" max="14" width="9.75" style="909" customWidth="1"/>
    <col min="15" max="15" width="14" style="909" customWidth="1"/>
    <col min="16" max="16" width="15.125" style="909" customWidth="1"/>
    <col min="17" max="17" width="6.375" style="909" hidden="1" customWidth="1"/>
    <col min="18" max="18" width="17.125" style="909" customWidth="1"/>
    <col min="19" max="19" width="17.875" style="909" customWidth="1"/>
    <col min="20" max="20" width="14.375" style="909" bestFit="1" customWidth="1"/>
    <col min="21" max="21" width="17.875" style="909" customWidth="1"/>
    <col min="22" max="22" width="9.25" style="909"/>
    <col min="23" max="23" width="15.875" style="909" bestFit="1" customWidth="1"/>
    <col min="24" max="24" width="9.25" style="909"/>
    <col min="25" max="25" width="12.625" style="909" bestFit="1" customWidth="1"/>
    <col min="26" max="16384" width="9.25" style="909"/>
  </cols>
  <sheetData>
    <row r="1" spans="1:25" ht="59.25" customHeight="1">
      <c r="A1" s="3799" t="s">
        <v>165</v>
      </c>
      <c r="B1" s="3799"/>
      <c r="C1" s="3799"/>
      <c r="D1" s="3799"/>
      <c r="E1" s="3799"/>
      <c r="F1" s="3799"/>
      <c r="G1" s="3799"/>
      <c r="H1" s="3799"/>
      <c r="I1" s="3799"/>
      <c r="J1" s="3799"/>
      <c r="K1" s="3799"/>
      <c r="L1" s="3799"/>
      <c r="M1" s="3799"/>
      <c r="N1" s="3799"/>
      <c r="O1" s="3799"/>
      <c r="P1" s="3799"/>
      <c r="Q1" s="3799"/>
      <c r="R1" s="3799"/>
      <c r="S1" s="3799"/>
    </row>
    <row r="2" spans="1:25" ht="22.5" customHeight="1">
      <c r="A2" s="3799" t="s">
        <v>171</v>
      </c>
      <c r="B2" s="3799"/>
      <c r="C2" s="3799"/>
      <c r="D2" s="3799"/>
      <c r="E2" s="3799"/>
      <c r="F2" s="3799"/>
      <c r="G2" s="3799"/>
      <c r="H2" s="3799"/>
      <c r="I2" s="3799"/>
      <c r="J2" s="3799"/>
      <c r="K2" s="3799"/>
      <c r="L2" s="3799"/>
      <c r="M2" s="3799"/>
      <c r="N2" s="3799"/>
      <c r="O2" s="3799"/>
      <c r="P2" s="3799"/>
      <c r="Q2" s="3799"/>
      <c r="R2" s="3799"/>
      <c r="S2" s="3799"/>
    </row>
    <row r="3" spans="1:25" ht="12.75" customHeight="1">
      <c r="A3" s="3799" t="s">
        <v>726</v>
      </c>
      <c r="B3" s="3799"/>
      <c r="C3" s="3799"/>
      <c r="D3" s="3799"/>
      <c r="E3" s="3799"/>
      <c r="F3" s="3799"/>
      <c r="G3" s="3799"/>
      <c r="H3" s="3799"/>
      <c r="I3" s="3799"/>
      <c r="J3" s="3799"/>
      <c r="K3" s="3799"/>
      <c r="L3" s="3799"/>
      <c r="M3" s="3799"/>
      <c r="N3" s="3799"/>
      <c r="O3" s="3799"/>
      <c r="P3" s="3799"/>
      <c r="Q3" s="3799"/>
      <c r="R3" s="3799"/>
      <c r="S3" s="3799"/>
    </row>
    <row r="4" spans="1:25" ht="24.75" customHeight="1">
      <c r="A4" s="3800" t="s">
        <v>602</v>
      </c>
      <c r="B4" s="3800"/>
      <c r="C4" s="3800"/>
      <c r="D4" s="3800"/>
      <c r="E4" s="3800"/>
      <c r="F4" s="3800"/>
      <c r="G4" s="3800"/>
      <c r="H4" s="3313"/>
      <c r="I4" s="3313"/>
      <c r="J4" s="3313"/>
      <c r="K4" s="3313"/>
      <c r="L4" s="3313"/>
      <c r="M4" s="3313"/>
      <c r="N4" s="3313"/>
      <c r="O4" s="3313"/>
      <c r="P4" s="3313"/>
      <c r="Q4" s="3313"/>
      <c r="R4" s="3313"/>
      <c r="S4" s="3313"/>
    </row>
    <row r="5" spans="1:25" s="2011" customFormat="1" ht="21.75" customHeight="1">
      <c r="A5" s="3934" t="s">
        <v>541</v>
      </c>
      <c r="B5" s="3934"/>
      <c r="C5" s="3934"/>
      <c r="D5" s="3934"/>
      <c r="E5" s="3934"/>
      <c r="F5" s="3934"/>
      <c r="G5" s="3934"/>
      <c r="H5" s="3318"/>
      <c r="I5" s="3318"/>
      <c r="J5" s="3318"/>
      <c r="K5" s="3318"/>
      <c r="L5" s="3318"/>
      <c r="M5" s="3318"/>
      <c r="N5" s="3318"/>
      <c r="O5" s="3318"/>
      <c r="P5" s="3318"/>
      <c r="Q5" s="3318"/>
      <c r="R5" s="3318"/>
      <c r="S5" s="3318"/>
    </row>
    <row r="6" spans="1:25" ht="12.75" customHeight="1">
      <c r="A6" s="3313"/>
      <c r="B6" s="3313"/>
      <c r="C6" s="3313"/>
      <c r="D6" s="3313"/>
      <c r="E6" s="3313"/>
      <c r="F6" s="3313"/>
      <c r="G6" s="3313"/>
      <c r="H6" s="3313"/>
      <c r="I6" s="3313"/>
      <c r="J6" s="3313"/>
      <c r="K6" s="3313"/>
      <c r="L6" s="3313"/>
      <c r="M6" s="3313"/>
      <c r="N6" s="3313"/>
      <c r="O6" s="3313"/>
      <c r="P6" s="3313"/>
      <c r="Q6" s="3313"/>
      <c r="R6" s="3313"/>
      <c r="S6" s="3313"/>
    </row>
    <row r="7" spans="1:25" ht="12.75" customHeight="1">
      <c r="A7" s="3313"/>
      <c r="B7" s="3313"/>
      <c r="C7" s="3313"/>
      <c r="D7" s="3313"/>
      <c r="E7" s="3313"/>
      <c r="F7" s="3313"/>
      <c r="G7" s="3313"/>
      <c r="H7" s="3313"/>
      <c r="I7" s="3313"/>
      <c r="J7" s="3313"/>
      <c r="K7" s="3313"/>
      <c r="L7" s="3313"/>
      <c r="M7" s="3313"/>
      <c r="N7" s="3313"/>
      <c r="O7" s="3313"/>
      <c r="P7" s="3313"/>
      <c r="Q7" s="3313"/>
      <c r="R7" s="3313"/>
      <c r="S7" s="3313"/>
    </row>
    <row r="8" spans="1:25" ht="12.75" customHeight="1">
      <c r="A8" s="3313"/>
      <c r="B8" s="3313"/>
      <c r="C8" s="3313"/>
      <c r="D8" s="3313"/>
      <c r="E8" s="3313"/>
      <c r="F8" s="3313"/>
      <c r="G8" s="3313"/>
      <c r="H8" s="3313"/>
      <c r="I8" s="3313"/>
      <c r="J8" s="3313"/>
      <c r="K8" s="3313"/>
      <c r="L8" s="3313"/>
      <c r="M8" s="3313"/>
      <c r="N8" s="3313"/>
      <c r="O8" s="3313"/>
      <c r="P8" s="3313"/>
      <c r="Q8" s="3313"/>
      <c r="R8" s="3313"/>
      <c r="S8" s="3313"/>
    </row>
    <row r="9" spans="1:25" s="910" customFormat="1" ht="25.5" customHeight="1">
      <c r="A9" s="3956" t="s">
        <v>1825</v>
      </c>
      <c r="B9" s="3956"/>
      <c r="C9" s="3956"/>
      <c r="D9" s="3956"/>
      <c r="E9" s="3956"/>
      <c r="F9" s="3956"/>
      <c r="G9" s="3956"/>
      <c r="H9" s="3956"/>
      <c r="I9" s="3956"/>
      <c r="J9" s="3956"/>
      <c r="K9" s="3956"/>
      <c r="L9" s="3956"/>
      <c r="M9" s="3956"/>
      <c r="N9" s="3956"/>
      <c r="O9" s="3956"/>
      <c r="P9" s="3956"/>
      <c r="Q9" s="3956"/>
      <c r="R9" s="3956"/>
      <c r="S9" s="3956"/>
    </row>
    <row r="10" spans="1:25" s="910" customFormat="1" ht="21" customHeight="1">
      <c r="A10" s="1976"/>
      <c r="B10" s="1976"/>
      <c r="C10" s="1385"/>
      <c r="D10" s="1385"/>
      <c r="E10" s="3937"/>
      <c r="F10" s="3937"/>
      <c r="G10" s="3937"/>
      <c r="H10" s="1976"/>
      <c r="I10" s="1976"/>
      <c r="J10" s="1976"/>
      <c r="K10" s="1976"/>
      <c r="L10" s="1976"/>
      <c r="M10" s="1976"/>
      <c r="N10" s="1976"/>
      <c r="O10" s="1976"/>
      <c r="P10" s="1976"/>
      <c r="Q10" s="1976"/>
      <c r="R10" s="1976"/>
      <c r="S10" s="1976"/>
    </row>
    <row r="11" spans="1:25" ht="21" customHeight="1">
      <c r="C11" s="1386" t="s">
        <v>894</v>
      </c>
      <c r="D11" s="1387" t="s">
        <v>894</v>
      </c>
      <c r="E11" s="3913">
        <f>'1'!E9:G9</f>
        <v>656</v>
      </c>
      <c r="F11" s="3913"/>
      <c r="G11" s="3913"/>
      <c r="H11" s="917"/>
      <c r="I11" s="917"/>
      <c r="J11" s="916"/>
      <c r="K11" s="918"/>
      <c r="L11" s="919"/>
      <c r="M11" s="920"/>
      <c r="N11" s="920"/>
      <c r="O11" s="920"/>
      <c r="P11" s="920"/>
      <c r="Q11" s="920"/>
      <c r="R11" s="3957" t="s">
        <v>1157</v>
      </c>
      <c r="S11" s="3957"/>
    </row>
    <row r="12" spans="1:25" s="3318" customFormat="1" ht="21.75" customHeight="1">
      <c r="A12" s="3958" t="s">
        <v>1</v>
      </c>
      <c r="B12" s="3960" t="s">
        <v>20</v>
      </c>
      <c r="C12" s="3960"/>
      <c r="D12" s="3960" t="s">
        <v>239</v>
      </c>
      <c r="E12" s="3958" t="s">
        <v>26</v>
      </c>
      <c r="F12" s="3958" t="s">
        <v>9</v>
      </c>
      <c r="G12" s="4004" t="s">
        <v>27</v>
      </c>
      <c r="H12" s="4005"/>
      <c r="I12" s="4005"/>
      <c r="J12" s="4005"/>
      <c r="K12" s="4005"/>
      <c r="L12" s="4005"/>
      <c r="M12" s="4005"/>
      <c r="N12" s="4005"/>
      <c r="O12" s="4005"/>
      <c r="P12" s="4005"/>
      <c r="Q12" s="4006"/>
      <c r="R12" s="3961" t="s">
        <v>1165</v>
      </c>
      <c r="S12" s="3962" t="s">
        <v>1155</v>
      </c>
    </row>
    <row r="13" spans="1:25" s="3318" customFormat="1" ht="28.5" customHeight="1">
      <c r="A13" s="3958"/>
      <c r="B13" s="3960"/>
      <c r="C13" s="3960"/>
      <c r="D13" s="3960"/>
      <c r="E13" s="3958"/>
      <c r="F13" s="3958"/>
      <c r="G13" s="3963" t="s">
        <v>1146</v>
      </c>
      <c r="H13" s="3963"/>
      <c r="I13" s="3962" t="s">
        <v>31</v>
      </c>
      <c r="J13" s="3962"/>
      <c r="K13" s="3962"/>
      <c r="L13" s="3962"/>
      <c r="M13" s="4001" t="s">
        <v>32</v>
      </c>
      <c r="N13" s="4002"/>
      <c r="O13" s="4002"/>
      <c r="P13" s="4002"/>
      <c r="Q13" s="4003"/>
      <c r="R13" s="3961"/>
      <c r="S13" s="3962"/>
    </row>
    <row r="14" spans="1:25" s="3318" customFormat="1" ht="63" customHeight="1">
      <c r="A14" s="3959"/>
      <c r="B14" s="3960"/>
      <c r="C14" s="3960"/>
      <c r="D14" s="3960"/>
      <c r="E14" s="3959"/>
      <c r="F14" s="3958"/>
      <c r="G14" s="922" t="s">
        <v>362</v>
      </c>
      <c r="H14" s="3319" t="s">
        <v>248</v>
      </c>
      <c r="I14" s="3319" t="s">
        <v>1151</v>
      </c>
      <c r="J14" s="922" t="s">
        <v>1152</v>
      </c>
      <c r="K14" s="3321" t="s">
        <v>37</v>
      </c>
      <c r="L14" s="3321" t="s">
        <v>38</v>
      </c>
      <c r="M14" s="3322" t="s">
        <v>956</v>
      </c>
      <c r="N14" s="3322" t="s">
        <v>957</v>
      </c>
      <c r="O14" s="3315" t="s">
        <v>1829</v>
      </c>
      <c r="P14" s="3321" t="s">
        <v>24</v>
      </c>
      <c r="Q14" s="3323" t="s">
        <v>1365</v>
      </c>
      <c r="R14" s="3961"/>
      <c r="S14" s="3962"/>
    </row>
    <row r="15" spans="1:25" s="2432" customFormat="1" ht="26.25" customHeight="1">
      <c r="A15" s="2461" t="s">
        <v>606</v>
      </c>
      <c r="B15" s="2461" t="s">
        <v>609</v>
      </c>
      <c r="C15" s="2461" t="s">
        <v>607</v>
      </c>
      <c r="D15" s="2461" t="s">
        <v>611</v>
      </c>
      <c r="E15" s="2461" t="s">
        <v>635</v>
      </c>
      <c r="F15" s="2461" t="s">
        <v>608</v>
      </c>
      <c r="G15" s="2461" t="s">
        <v>609</v>
      </c>
      <c r="H15" s="2461" t="s">
        <v>610</v>
      </c>
      <c r="I15" s="2461" t="s">
        <v>611</v>
      </c>
      <c r="J15" s="2461" t="s">
        <v>635</v>
      </c>
      <c r="K15" s="2461" t="s">
        <v>692</v>
      </c>
      <c r="L15" s="2461" t="s">
        <v>636</v>
      </c>
      <c r="M15" s="2461" t="s">
        <v>637</v>
      </c>
      <c r="N15" s="2461" t="s">
        <v>1256</v>
      </c>
      <c r="O15" s="2460" t="s">
        <v>693</v>
      </c>
      <c r="P15" s="2460" t="s">
        <v>694</v>
      </c>
      <c r="Q15" s="2460" t="s">
        <v>1262</v>
      </c>
      <c r="R15" s="2461" t="s">
        <v>1610</v>
      </c>
      <c r="S15" s="2460" t="s">
        <v>1257</v>
      </c>
      <c r="T15" s="2433">
        <v>20000</v>
      </c>
    </row>
    <row r="16" spans="1:25" s="1544" customFormat="1" ht="27" customHeight="1">
      <c r="A16" s="3460">
        <v>1</v>
      </c>
      <c r="B16" s="1548" t="s">
        <v>482</v>
      </c>
      <c r="C16" s="3459" t="str">
        <f>'Chấm công công nhân'!L66</f>
        <v>Phò Đăm</v>
      </c>
      <c r="D16" s="1549" t="e">
        <f>VLOOKUP(C16,'Mã số NV'!$B$6:$D$53,3,0)</f>
        <v>#N/A</v>
      </c>
      <c r="E16" s="1550" t="s">
        <v>40</v>
      </c>
      <c r="F16" s="3458"/>
      <c r="G16" s="3457">
        <f>+VLOOKUP(C16,'Tong hop cong'!C68:R68,16,0)</f>
        <v>0</v>
      </c>
      <c r="H16" s="3456">
        <f>G16*25000</f>
        <v>0</v>
      </c>
      <c r="I16" s="1552">
        <f>+VLOOKUP(C16,'Tong hop cong'!C68:S68,17,0)</f>
        <v>2580</v>
      </c>
      <c r="J16" s="1553">
        <f t="shared" ref="J16:J31" si="0">I16*$U$20/100</f>
        <v>1217.8110870101059</v>
      </c>
      <c r="K16" s="1554" t="str">
        <f>+VLOOKUP(C16,'Tong hop cong'!C68:AA69,25,0)</f>
        <v>A</v>
      </c>
      <c r="L16" s="1555">
        <f>IF(K16="A",(J16*((6.1+0.6)*$E$11)),IF(K16="B",(J16*((5.8+0.6)*$E$11)),IF(K16="C",(J16*((5.5+0.6)*$E$11)),IF(K16="D",(J16*((5.2+0.6)*$E$11)),0))))</f>
        <v>5352523.2896268172</v>
      </c>
      <c r="M16" s="1553">
        <f>+VLOOKUP(C16,'Tong hop cong'!C68:V74,20,0)</f>
        <v>17</v>
      </c>
      <c r="N16" s="1553">
        <f>+VLOOKUP(C16,'Tong hop cong'!C68:W74,21,0)</f>
        <v>3</v>
      </c>
      <c r="O16" s="1553">
        <f>VLOOKUP(C16,'BẢNG LƯƠNG KT'!$C$72:$R$88,16,0)</f>
        <v>20</v>
      </c>
      <c r="P16" s="1555">
        <f>(M16+N16)*100000+O16*$T$15</f>
        <v>2400000</v>
      </c>
      <c r="Q16" s="1555"/>
      <c r="R16" s="1555">
        <f t="shared" ref="R16:R32" si="1">H16+L16+P16</f>
        <v>7752523.2896268172</v>
      </c>
      <c r="S16" s="1556">
        <f t="shared" ref="S16:S32" si="2">R16</f>
        <v>7752523.2896268172</v>
      </c>
      <c r="T16" s="2473"/>
      <c r="W16" s="2980">
        <v>8770905.2027592603</v>
      </c>
      <c r="Y16" s="2981">
        <f>W16-S16</f>
        <v>1018381.9131324431</v>
      </c>
    </row>
    <row r="17" spans="1:25" s="1544" customFormat="1" ht="27.75" customHeight="1">
      <c r="A17" s="3460">
        <v>2</v>
      </c>
      <c r="B17" s="1548" t="s">
        <v>484</v>
      </c>
      <c r="C17" s="3459" t="str">
        <f>'Chấm công công nhân'!L67</f>
        <v>Thảo Mai</v>
      </c>
      <c r="D17" s="1549" t="e">
        <f>VLOOKUP(C17,'Mã số NV'!$B$6:$D$53,3,0)</f>
        <v>#N/A</v>
      </c>
      <c r="E17" s="1550" t="s">
        <v>40</v>
      </c>
      <c r="F17" s="3458"/>
      <c r="G17" s="3457">
        <f>+VLOOKUP(C17,'Tong hop cong'!C69:R69,16,0)</f>
        <v>0</v>
      </c>
      <c r="H17" s="3456">
        <f t="shared" ref="H17:H32" si="3">G17*25000</f>
        <v>0</v>
      </c>
      <c r="I17" s="1552">
        <f>+VLOOKUP(C17,'Tong hop cong'!C69:S69,17,0)</f>
        <v>487</v>
      </c>
      <c r="J17" s="1553">
        <f t="shared" si="0"/>
        <v>229.87364316818667</v>
      </c>
      <c r="K17" s="1554" t="str">
        <f>+VLOOKUP(C17,'Tong hop cong'!C69:AA70,25,0)</f>
        <v>B</v>
      </c>
      <c r="L17" s="1555">
        <f t="shared" ref="L17:L32" si="4">IF(K17="A",(J17*((6.1+0.6)*$E$11)),IF(K17="B",(J17*((5.8+0.6)*$E$11)),IF(K17="C",(J17*((5.5+0.6)*$E$11)),IF(K17="D",(J17*((5.2+0.6)*$E$11)),0))))</f>
        <v>965101.50347731484</v>
      </c>
      <c r="M17" s="1553">
        <f>+VLOOKUP(C17,'Tong hop cong'!C69:V75,20,0)</f>
        <v>6</v>
      </c>
      <c r="N17" s="1553">
        <f>+VLOOKUP(C17,'Tong hop cong'!C69:W75,21,0)</f>
        <v>1</v>
      </c>
      <c r="O17" s="1553">
        <f>VLOOKUP(C17,'BẢNG LƯƠNG KT'!$C$72:$R$88,16,0)</f>
        <v>7</v>
      </c>
      <c r="P17" s="1555">
        <f t="shared" ref="P17:P31" si="5">(M17+N17)*100000+O17*$T$15</f>
        <v>840000</v>
      </c>
      <c r="Q17" s="1555"/>
      <c r="R17" s="1555">
        <f t="shared" si="1"/>
        <v>1805101.503477315</v>
      </c>
      <c r="S17" s="1556">
        <f t="shared" si="2"/>
        <v>1805101.503477315</v>
      </c>
      <c r="T17" s="2473"/>
      <c r="U17" s="2740"/>
      <c r="W17" s="2980">
        <v>6199567.9679549653</v>
      </c>
      <c r="Y17" s="2981">
        <f t="shared" ref="Y17:Y20" si="6">W17-S17</f>
        <v>4394466.4644776508</v>
      </c>
    </row>
    <row r="18" spans="1:25" s="1544" customFormat="1" ht="27.75" customHeight="1">
      <c r="A18" s="3460">
        <v>3</v>
      </c>
      <c r="B18" s="1548" t="s">
        <v>486</v>
      </c>
      <c r="C18" s="3459" t="str">
        <f>'Chấm công công nhân'!L68</f>
        <v>Thảo Tưng</v>
      </c>
      <c r="D18" s="1549" t="e">
        <f>VLOOKUP(C18,'Mã số NV'!$B$6:$D$53,3,0)</f>
        <v>#N/A</v>
      </c>
      <c r="E18" s="1550" t="s">
        <v>40</v>
      </c>
      <c r="F18" s="3461"/>
      <c r="G18" s="3457">
        <f>+VLOOKUP(C18,'Tong hop cong'!C70:R70,16,0)</f>
        <v>0</v>
      </c>
      <c r="H18" s="3456">
        <f t="shared" si="3"/>
        <v>0</v>
      </c>
      <c r="I18" s="1552">
        <f>+VLOOKUP(C18,'Tong hop cong'!C70:S70,17,0)</f>
        <v>1055</v>
      </c>
      <c r="J18" s="1553">
        <f t="shared" si="0"/>
        <v>497.9808902308767</v>
      </c>
      <c r="K18" s="1554" t="str">
        <f>+VLOOKUP(C18,'Tong hop cong'!C70:AA71,25,0)</f>
        <v>B</v>
      </c>
      <c r="L18" s="1555">
        <f t="shared" si="4"/>
        <v>2090722.9695453125</v>
      </c>
      <c r="M18" s="1553">
        <f>+VLOOKUP(C18,'Tong hop cong'!C70:V76,20,0)</f>
        <v>18</v>
      </c>
      <c r="N18" s="1553">
        <f>+VLOOKUP(C18,'Tong hop cong'!C70:W76,21,0)</f>
        <v>3</v>
      </c>
      <c r="O18" s="1553">
        <f>VLOOKUP(C18,'BẢNG LƯƠNG KT'!$C$72:$R$88,16,0)</f>
        <v>21</v>
      </c>
      <c r="P18" s="1555">
        <f t="shared" si="5"/>
        <v>2520000</v>
      </c>
      <c r="Q18" s="1555"/>
      <c r="R18" s="1555">
        <f t="shared" si="1"/>
        <v>4610722.9695453122</v>
      </c>
      <c r="S18" s="1556">
        <f t="shared" si="2"/>
        <v>4610722.9695453122</v>
      </c>
      <c r="T18" s="2474"/>
      <c r="U18" s="2741"/>
      <c r="W18" s="2980">
        <v>6404613.8923295289</v>
      </c>
      <c r="Y18" s="2981">
        <f t="shared" si="6"/>
        <v>1793890.9227842167</v>
      </c>
    </row>
    <row r="19" spans="1:25" s="1544" customFormat="1" ht="28.5" customHeight="1">
      <c r="A19" s="3460">
        <v>4</v>
      </c>
      <c r="B19" s="1548"/>
      <c r="C19" s="3459" t="str">
        <f>'Chấm công công nhân'!L69</f>
        <v>Thảo Xay</v>
      </c>
      <c r="D19" s="1549"/>
      <c r="E19" s="1550" t="s">
        <v>40</v>
      </c>
      <c r="F19" s="3461"/>
      <c r="G19" s="3457">
        <f>+VLOOKUP(C19,'Tong hop cong'!C71:R71,16,0)</f>
        <v>0</v>
      </c>
      <c r="H19" s="3456">
        <f t="shared" si="3"/>
        <v>0</v>
      </c>
      <c r="I19" s="1552">
        <f>+VLOOKUP(C19,'Tong hop cong'!C71:S71,17,0)</f>
        <v>1720</v>
      </c>
      <c r="J19" s="1553">
        <f t="shared" si="0"/>
        <v>811.8740580067373</v>
      </c>
      <c r="K19" s="1554" t="str">
        <f>+VLOOKUP(C19,'Tong hop cong'!C71:AA72,25,0)</f>
        <v>A</v>
      </c>
      <c r="L19" s="1555">
        <f t="shared" si="4"/>
        <v>3568348.8597512115</v>
      </c>
      <c r="M19" s="1553">
        <f>+VLOOKUP(C19,'Tong hop cong'!C71:V77,20,0)</f>
        <v>23</v>
      </c>
      <c r="N19" s="1553">
        <f>+VLOOKUP(C19,'Tong hop cong'!C71:W77,21,0)</f>
        <v>2</v>
      </c>
      <c r="O19" s="1553">
        <f>VLOOKUP(C19,'BẢNG LƯƠNG KT'!$C$72:$R$88,16,0)</f>
        <v>25</v>
      </c>
      <c r="P19" s="1555">
        <f t="shared" si="5"/>
        <v>3000000</v>
      </c>
      <c r="Q19" s="1555"/>
      <c r="R19" s="1555">
        <f t="shared" si="1"/>
        <v>6568348.8597512115</v>
      </c>
      <c r="S19" s="1556">
        <f t="shared" si="2"/>
        <v>6568348.8597512115</v>
      </c>
      <c r="T19" s="2475"/>
      <c r="U19" s="2739"/>
      <c r="W19" s="2980">
        <v>7766067.0230760807</v>
      </c>
      <c r="Y19" s="2981">
        <f t="shared" si="6"/>
        <v>1197718.1633248692</v>
      </c>
    </row>
    <row r="20" spans="1:25" s="1544" customFormat="1" ht="29.25" customHeight="1">
      <c r="A20" s="3460">
        <v>5</v>
      </c>
      <c r="B20" s="1548"/>
      <c r="C20" s="3459" t="str">
        <f>'Chấm công công nhân'!L70</f>
        <v>Nàng Nọi</v>
      </c>
      <c r="D20" s="1549"/>
      <c r="E20" s="1550" t="s">
        <v>40</v>
      </c>
      <c r="F20" s="3461"/>
      <c r="G20" s="3457">
        <f>+VLOOKUP(C20,'Tong hop cong'!C72:R72,16,0)</f>
        <v>0</v>
      </c>
      <c r="H20" s="3456">
        <f t="shared" si="3"/>
        <v>0</v>
      </c>
      <c r="I20" s="1552">
        <f>+VLOOKUP(C20,'Tong hop cong'!C72:S72,17,0)</f>
        <v>1459</v>
      </c>
      <c r="J20" s="1553">
        <f t="shared" si="0"/>
        <v>688.67688990222655</v>
      </c>
      <c r="K20" s="1554" t="str">
        <f>+VLOOKUP(C20,'Tong hop cong'!C72:AA73,25,0)</f>
        <v>B</v>
      </c>
      <c r="L20" s="1555">
        <f t="shared" si="4"/>
        <v>2891341.0545655079</v>
      </c>
      <c r="M20" s="1553">
        <f>+VLOOKUP(C20,'Tong hop cong'!C72:V78,20,0)</f>
        <v>19</v>
      </c>
      <c r="N20" s="1553">
        <f>+VLOOKUP(C20,'Tong hop cong'!C72:W78,21,0)</f>
        <v>2</v>
      </c>
      <c r="O20" s="1553">
        <f>VLOOKUP(C20,'BẢNG LƯƠNG KT'!$C$72:$R$88,16,0)</f>
        <v>21</v>
      </c>
      <c r="P20" s="1555">
        <f t="shared" si="5"/>
        <v>2520000</v>
      </c>
      <c r="Q20" s="1555"/>
      <c r="R20" s="1555">
        <f t="shared" si="1"/>
        <v>5411341.0545655079</v>
      </c>
      <c r="S20" s="1556">
        <f t="shared" si="2"/>
        <v>5411341.0545655079</v>
      </c>
      <c r="T20" s="2475"/>
      <c r="U20" s="2475">
        <f>Mủ!AX67</f>
        <v>47.201980116670775</v>
      </c>
      <c r="W20" s="2980">
        <v>6887913.7991066957</v>
      </c>
      <c r="Y20" s="2981">
        <f t="shared" si="6"/>
        <v>1476572.7445411878</v>
      </c>
    </row>
    <row r="21" spans="1:25" s="1544" customFormat="1" ht="29.25" customHeight="1">
      <c r="A21" s="3460">
        <v>6</v>
      </c>
      <c r="B21" s="1548"/>
      <c r="C21" s="3459" t="str">
        <f>'Chấm công công nhân'!L71</f>
        <v>Thảo Đăm</v>
      </c>
      <c r="D21" s="1549"/>
      <c r="E21" s="1550" t="s">
        <v>40</v>
      </c>
      <c r="F21" s="3461"/>
      <c r="G21" s="3457">
        <f>+VLOOKUP(C21,'Tong hop cong'!C73:R73,16,0)</f>
        <v>0</v>
      </c>
      <c r="H21" s="3456">
        <f t="shared" si="3"/>
        <v>0</v>
      </c>
      <c r="I21" s="1552">
        <f>+VLOOKUP(C21,'Tong hop cong'!C73:S73,17,0)</f>
        <v>1424</v>
      </c>
      <c r="J21" s="1553">
        <f t="shared" si="0"/>
        <v>672.15619686139178</v>
      </c>
      <c r="K21" s="1554" t="str">
        <f>+VLOOKUP(C21,'Tong hop cong'!C73:AA74,25,0)</f>
        <v>A</v>
      </c>
      <c r="L21" s="1555">
        <f t="shared" si="4"/>
        <v>2954260.9164451892</v>
      </c>
      <c r="M21" s="1553">
        <f>+VLOOKUP(C21,'Tong hop cong'!C73:V79,20,0)</f>
        <v>19</v>
      </c>
      <c r="N21" s="1553">
        <f>+VLOOKUP(C21,'Tong hop cong'!C73:W79,21,0)</f>
        <v>3</v>
      </c>
      <c r="O21" s="1553">
        <f>VLOOKUP(C21,'BẢNG LƯƠNG KT'!$C$72:$R$88,16,0)</f>
        <v>22</v>
      </c>
      <c r="P21" s="1555">
        <f t="shared" si="5"/>
        <v>2640000</v>
      </c>
      <c r="Q21" s="1555"/>
      <c r="R21" s="1555">
        <f t="shared" si="1"/>
        <v>5594260.9164451892</v>
      </c>
      <c r="S21" s="1556">
        <f t="shared" si="2"/>
        <v>5594260.9164451892</v>
      </c>
    </row>
    <row r="22" spans="1:25" s="1544" customFormat="1" ht="27" customHeight="1">
      <c r="A22" s="3460">
        <v>7</v>
      </c>
      <c r="B22" s="1548"/>
      <c r="C22" s="3459" t="str">
        <f>'Chấm công công nhân'!L72</f>
        <v>Thảo chăn</v>
      </c>
      <c r="D22" s="1549"/>
      <c r="E22" s="1550" t="s">
        <v>40</v>
      </c>
      <c r="F22" s="3461"/>
      <c r="G22" s="3457">
        <f>+VLOOKUP(C22,'Tong hop cong'!C74:R74,16,0)</f>
        <v>0</v>
      </c>
      <c r="H22" s="3456">
        <f t="shared" si="3"/>
        <v>0</v>
      </c>
      <c r="I22" s="1552">
        <f>+VLOOKUP(C22,'Tong hop cong'!C74:S74,17,0)</f>
        <v>2228</v>
      </c>
      <c r="J22" s="1553">
        <f t="shared" si="0"/>
        <v>1051.6601169994249</v>
      </c>
      <c r="K22" s="1554" t="str">
        <f>+VLOOKUP(C22,'Tong hop cong'!C74:AA75,25,0)</f>
        <v>A</v>
      </c>
      <c r="L22" s="1555">
        <f t="shared" si="4"/>
        <v>4622256.5462358724</v>
      </c>
      <c r="M22" s="1553">
        <f>+VLOOKUP(C22,'Tong hop cong'!C74:V80,20,0)</f>
        <v>22</v>
      </c>
      <c r="N22" s="1553">
        <f>+VLOOKUP(C22,'Tong hop cong'!C74:W80,21,0)</f>
        <v>4</v>
      </c>
      <c r="O22" s="1553">
        <f>VLOOKUP(C22,'BẢNG LƯƠNG KT'!$C$72:$R$88,16,0)</f>
        <v>26</v>
      </c>
      <c r="P22" s="1555">
        <f t="shared" si="5"/>
        <v>3120000</v>
      </c>
      <c r="Q22" s="1555"/>
      <c r="R22" s="1555">
        <f t="shared" si="1"/>
        <v>7742256.5462358724</v>
      </c>
      <c r="S22" s="1556">
        <f t="shared" si="2"/>
        <v>7742256.5462358724</v>
      </c>
    </row>
    <row r="23" spans="1:25" s="1544" customFormat="1" ht="25.5" customHeight="1">
      <c r="A23" s="3460">
        <v>8</v>
      </c>
      <c r="B23" s="1548"/>
      <c r="C23" s="2062" t="str">
        <f>'Chấm công công nhân'!L73</f>
        <v>Hồ Văn Tăng</v>
      </c>
      <c r="D23" s="1549"/>
      <c r="E23" s="1550"/>
      <c r="F23" s="1550"/>
      <c r="G23" s="3457">
        <f>+VLOOKUP(C23,'Tong hop cong'!C75:R75,16,0)</f>
        <v>0</v>
      </c>
      <c r="H23" s="3456">
        <f t="shared" si="3"/>
        <v>0</v>
      </c>
      <c r="I23" s="1552">
        <f>+VLOOKUP(C23,'Tong hop cong'!C75:S75,17,0)</f>
        <v>1189</v>
      </c>
      <c r="J23" s="1553">
        <f t="shared" si="0"/>
        <v>561.23154358721547</v>
      </c>
      <c r="K23" s="1554" t="str">
        <f>+VLOOKUP(C23,'Tong hop cong'!C75:AA76,25,0)</f>
        <v>B</v>
      </c>
      <c r="L23" s="1555">
        <f t="shared" si="4"/>
        <v>2356274.5125965653</v>
      </c>
      <c r="M23" s="1553">
        <f>+VLOOKUP(C23,'Tong hop cong'!C75:V81,20,0)</f>
        <v>19</v>
      </c>
      <c r="N23" s="1553">
        <f>+VLOOKUP(C23,'Tong hop cong'!C75:W81,21,0)</f>
        <v>2</v>
      </c>
      <c r="O23" s="1553">
        <f>VLOOKUP(C23,'BẢNG LƯƠNG KT'!$C$72:$R$88,16,0)</f>
        <v>21</v>
      </c>
      <c r="P23" s="1555">
        <f t="shared" si="5"/>
        <v>2520000</v>
      </c>
      <c r="Q23" s="1555"/>
      <c r="R23" s="1555">
        <f t="shared" si="1"/>
        <v>4876274.5125965653</v>
      </c>
      <c r="S23" s="1556">
        <f t="shared" si="2"/>
        <v>4876274.5125965653</v>
      </c>
      <c r="U23" s="3105"/>
    </row>
    <row r="24" spans="1:25" s="1544" customFormat="1" ht="27" customHeight="1">
      <c r="A24" s="3460">
        <v>9</v>
      </c>
      <c r="B24" s="1548"/>
      <c r="C24" s="2062" t="str">
        <f>'Chấm công công nhân'!L74</f>
        <v>Hồ Văn Khoa</v>
      </c>
      <c r="D24" s="1549"/>
      <c r="E24" s="1550"/>
      <c r="F24" s="1550"/>
      <c r="G24" s="3457">
        <f>+VLOOKUP(C24,'Tong hop cong'!C76:R76,16,0)</f>
        <v>0</v>
      </c>
      <c r="H24" s="3456">
        <f t="shared" si="3"/>
        <v>0</v>
      </c>
      <c r="I24" s="1552">
        <f>+VLOOKUP(C24,'Tong hop cong'!C76:S76,17,0)</f>
        <v>1469</v>
      </c>
      <c r="J24" s="1553">
        <f t="shared" si="0"/>
        <v>693.39708791389364</v>
      </c>
      <c r="K24" s="1554" t="str">
        <f>+VLOOKUP(C24,'Tong hop cong'!C76:AA77,25,0)</f>
        <v>A</v>
      </c>
      <c r="L24" s="1555">
        <f t="shared" si="4"/>
        <v>3047618.8807991454</v>
      </c>
      <c r="M24" s="1553">
        <f>+VLOOKUP(C24,'Tong hop cong'!C76:V82,20,0)</f>
        <v>18</v>
      </c>
      <c r="N24" s="1553">
        <f>+VLOOKUP(C24,'Tong hop cong'!C76:W82,21,0)</f>
        <v>2</v>
      </c>
      <c r="O24" s="1553">
        <f>VLOOKUP(C24,'BẢNG LƯƠNG KT'!$C$72:$R$88,16,0)</f>
        <v>20</v>
      </c>
      <c r="P24" s="1555">
        <f t="shared" si="5"/>
        <v>2400000</v>
      </c>
      <c r="Q24" s="1555"/>
      <c r="R24" s="1555">
        <f t="shared" si="1"/>
        <v>5447618.8807991454</v>
      </c>
      <c r="S24" s="1556">
        <f t="shared" si="2"/>
        <v>5447618.8807991454</v>
      </c>
    </row>
    <row r="25" spans="1:25" s="1544" customFormat="1" ht="29.25" customHeight="1">
      <c r="A25" s="3460">
        <v>10</v>
      </c>
      <c r="B25" s="1548"/>
      <c r="C25" s="2062" t="str">
        <f>'Chấm công công nhân'!L75</f>
        <v>Hồ Xa My</v>
      </c>
      <c r="D25" s="1549"/>
      <c r="E25" s="1550"/>
      <c r="F25" s="1550"/>
      <c r="G25" s="3457">
        <f>+VLOOKUP(C25,'Tong hop cong'!C77:R77,16,0)</f>
        <v>0</v>
      </c>
      <c r="H25" s="3456">
        <f t="shared" si="3"/>
        <v>0</v>
      </c>
      <c r="I25" s="1552">
        <f>+VLOOKUP(C25,'Tong hop cong'!C77:S77,17,0)</f>
        <v>1434</v>
      </c>
      <c r="J25" s="1553">
        <f t="shared" si="0"/>
        <v>676.87639487305887</v>
      </c>
      <c r="K25" s="1554" t="str">
        <f>+VLOOKUP(C25,'Tong hop cong'!C77:AA78,25,0)</f>
        <v>A</v>
      </c>
      <c r="L25" s="1555">
        <f t="shared" si="4"/>
        <v>2975007.1307460684</v>
      </c>
      <c r="M25" s="1553">
        <f>+VLOOKUP(C25,'Tong hop cong'!C77:V83,20,0)</f>
        <v>19</v>
      </c>
      <c r="N25" s="1553">
        <f>+VLOOKUP(C25,'Tong hop cong'!C77:W83,21,0)</f>
        <v>2</v>
      </c>
      <c r="O25" s="1553">
        <f>VLOOKUP(C25,'BẢNG LƯƠNG KT'!$C$72:$R$88,16,0)</f>
        <v>21</v>
      </c>
      <c r="P25" s="1555">
        <f t="shared" si="5"/>
        <v>2520000</v>
      </c>
      <c r="Q25" s="1555"/>
      <c r="R25" s="1555">
        <f t="shared" si="1"/>
        <v>5495007.1307460684</v>
      </c>
      <c r="S25" s="1556">
        <f t="shared" si="2"/>
        <v>5495007.1307460684</v>
      </c>
    </row>
    <row r="26" spans="1:25" s="1544" customFormat="1" ht="27" customHeight="1">
      <c r="A26" s="3460">
        <v>11</v>
      </c>
      <c r="B26" s="1548"/>
      <c r="C26" s="3459" t="str">
        <f>'Chấm công công nhân'!L76</f>
        <v>Thảo lay</v>
      </c>
      <c r="D26" s="1549"/>
      <c r="E26" s="1550"/>
      <c r="F26" s="3461"/>
      <c r="G26" s="3457">
        <f>+VLOOKUP(C26,'Tong hop cong'!C78:R78,16,0)</f>
        <v>0</v>
      </c>
      <c r="H26" s="3456">
        <f t="shared" si="3"/>
        <v>0</v>
      </c>
      <c r="I26" s="1552">
        <f>+VLOOKUP(C26,'Tong hop cong'!C78:S78,17,0)</f>
        <v>1317</v>
      </c>
      <c r="J26" s="1553">
        <f t="shared" si="0"/>
        <v>621.65007813655404</v>
      </c>
      <c r="K26" s="1554" t="str">
        <f>+VLOOKUP(C26,'Tong hop cong'!C78:AA79,25,0)</f>
        <v>B</v>
      </c>
      <c r="L26" s="1555">
        <f t="shared" si="4"/>
        <v>2609935.6880485085</v>
      </c>
      <c r="M26" s="1553">
        <f>+VLOOKUP(C26,'Tong hop cong'!C78:V84,20,0)</f>
        <v>14</v>
      </c>
      <c r="N26" s="1553">
        <f>+VLOOKUP(C26,'Tong hop cong'!C78:W84,21,0)</f>
        <v>2</v>
      </c>
      <c r="O26" s="1553">
        <f>VLOOKUP(C26,'BẢNG LƯƠNG KT'!$C$72:$R$88,16,0)</f>
        <v>16</v>
      </c>
      <c r="P26" s="1555">
        <f t="shared" si="5"/>
        <v>1920000</v>
      </c>
      <c r="Q26" s="1555"/>
      <c r="R26" s="1555">
        <f t="shared" si="1"/>
        <v>4529935.688048508</v>
      </c>
      <c r="S26" s="1556">
        <f t="shared" si="2"/>
        <v>4529935.688048508</v>
      </c>
      <c r="U26" s="1618"/>
    </row>
    <row r="27" spans="1:25" s="1544" customFormat="1" ht="25.5" customHeight="1">
      <c r="A27" s="3460">
        <v>12</v>
      </c>
      <c r="B27" s="1548"/>
      <c r="C27" s="3459" t="str">
        <f>'Chấm công công nhân'!L77</f>
        <v>Thảo khên</v>
      </c>
      <c r="D27" s="1549"/>
      <c r="E27" s="1550"/>
      <c r="F27" s="3461"/>
      <c r="G27" s="3457">
        <f>+VLOOKUP(C27,'Tong hop cong'!C79:R79,16,0)</f>
        <v>0</v>
      </c>
      <c r="H27" s="3456">
        <f t="shared" si="3"/>
        <v>0</v>
      </c>
      <c r="I27" s="1552">
        <f>+VLOOKUP(C27,'Tong hop cong'!C79:S79,17,0)</f>
        <v>2963</v>
      </c>
      <c r="J27" s="1553">
        <f t="shared" si="0"/>
        <v>1398.594670856955</v>
      </c>
      <c r="K27" s="1554" t="str">
        <f>+VLOOKUP(C27,'Tong hop cong'!C79:AA80,25,0)</f>
        <v>A</v>
      </c>
      <c r="L27" s="1555">
        <f t="shared" si="4"/>
        <v>6147103.2973504886</v>
      </c>
      <c r="M27" s="1553">
        <f>+VLOOKUP(C27,'Tong hop cong'!C79:V85,20,0)</f>
        <v>24</v>
      </c>
      <c r="N27" s="1553">
        <f>+VLOOKUP(C27,'Tong hop cong'!C79:W85,21,0)</f>
        <v>3</v>
      </c>
      <c r="O27" s="1553">
        <f>VLOOKUP(C27,'BẢNG LƯƠNG KT'!$C$72:$R$88,16,0)</f>
        <v>27</v>
      </c>
      <c r="P27" s="1555">
        <f t="shared" si="5"/>
        <v>3240000</v>
      </c>
      <c r="Q27" s="1555"/>
      <c r="R27" s="1555">
        <f t="shared" si="1"/>
        <v>9387103.2973504886</v>
      </c>
      <c r="S27" s="1556">
        <f t="shared" si="2"/>
        <v>9387103.2973504886</v>
      </c>
      <c r="U27" s="1618"/>
    </row>
    <row r="28" spans="1:25" s="1544" customFormat="1" ht="27" customHeight="1">
      <c r="A28" s="3460">
        <v>13</v>
      </c>
      <c r="B28" s="1548"/>
      <c r="C28" s="3459" t="str">
        <f>'Chấm công công nhân'!L78</f>
        <v>Thảo khon</v>
      </c>
      <c r="D28" s="1549"/>
      <c r="E28" s="1550"/>
      <c r="F28" s="3461"/>
      <c r="G28" s="3457">
        <f>+VLOOKUP(C28,'Tong hop cong'!C80:R80,16,0)</f>
        <v>0</v>
      </c>
      <c r="H28" s="3456">
        <f t="shared" si="3"/>
        <v>0</v>
      </c>
      <c r="I28" s="1552">
        <f>+VLOOKUP(C28,'Tong hop cong'!C80:S80,17,0)</f>
        <v>1830</v>
      </c>
      <c r="J28" s="1553">
        <f t="shared" si="0"/>
        <v>863.79623613507511</v>
      </c>
      <c r="K28" s="1554" t="str">
        <f>+VLOOKUP(C28,'Tong hop cong'!C80:AA81,25,0)</f>
        <v>B</v>
      </c>
      <c r="L28" s="1555">
        <f t="shared" si="4"/>
        <v>3626562.117789499</v>
      </c>
      <c r="M28" s="1553">
        <f>+VLOOKUP(C28,'Tong hop cong'!C80:V86,20,0)</f>
        <v>22</v>
      </c>
      <c r="N28" s="1553">
        <f>+VLOOKUP(C28,'Tong hop cong'!C80:W86,21,0)</f>
        <v>3</v>
      </c>
      <c r="O28" s="1553">
        <f>VLOOKUP(C28,'BẢNG LƯƠNG KT'!$C$72:$R$88,16,0)</f>
        <v>25</v>
      </c>
      <c r="P28" s="1555">
        <f t="shared" si="5"/>
        <v>3000000</v>
      </c>
      <c r="Q28" s="1555"/>
      <c r="R28" s="1555">
        <f t="shared" si="1"/>
        <v>6626562.1177894995</v>
      </c>
      <c r="S28" s="1556">
        <f t="shared" si="2"/>
        <v>6626562.1177894995</v>
      </c>
      <c r="U28" s="1619"/>
    </row>
    <row r="29" spans="1:25" s="1544" customFormat="1" ht="29.25" customHeight="1">
      <c r="A29" s="3460">
        <v>14</v>
      </c>
      <c r="B29" s="1548"/>
      <c r="C29" s="3459" t="str">
        <f>'Chấm công công nhân'!L79</f>
        <v>Thảo nga</v>
      </c>
      <c r="D29" s="1549"/>
      <c r="E29" s="1550"/>
      <c r="F29" s="3461"/>
      <c r="G29" s="3457">
        <f>+VLOOKUP(C29,'Tong hop cong'!C81:R81,16,0)</f>
        <v>0</v>
      </c>
      <c r="H29" s="3456">
        <f t="shared" si="3"/>
        <v>0</v>
      </c>
      <c r="I29" s="1552">
        <f>+VLOOKUP(C29,'Tong hop cong'!C81:S81,17,0)</f>
        <v>1841</v>
      </c>
      <c r="J29" s="1553">
        <f t="shared" si="0"/>
        <v>868.98845394790897</v>
      </c>
      <c r="K29" s="1554" t="str">
        <f>+VLOOKUP(C29,'Tong hop cong'!C81:AA82,25,0)</f>
        <v>A</v>
      </c>
      <c r="L29" s="1555">
        <f t="shared" si="4"/>
        <v>3819378.0527918492</v>
      </c>
      <c r="M29" s="1553">
        <f>+VLOOKUP(C29,'Tong hop cong'!C81:V87,20,0)</f>
        <v>22</v>
      </c>
      <c r="N29" s="1553">
        <f>+VLOOKUP(C29,'Tong hop cong'!C81:W87,21,0)</f>
        <v>3</v>
      </c>
      <c r="O29" s="1553">
        <f>VLOOKUP(C29,'BẢNG LƯƠNG KT'!$C$72:$R$88,16,0)</f>
        <v>25</v>
      </c>
      <c r="P29" s="1555">
        <f t="shared" si="5"/>
        <v>3000000</v>
      </c>
      <c r="Q29" s="1555"/>
      <c r="R29" s="1555">
        <f t="shared" si="1"/>
        <v>6819378.0527918488</v>
      </c>
      <c r="S29" s="1556">
        <f t="shared" si="2"/>
        <v>6819378.0527918488</v>
      </c>
      <c r="U29" s="1619"/>
    </row>
    <row r="30" spans="1:25" s="1544" customFormat="1" ht="27" customHeight="1">
      <c r="A30" s="3460">
        <v>15</v>
      </c>
      <c r="B30" s="1548"/>
      <c r="C30" s="2062" t="str">
        <f>'Chấm công công nhân'!L80</f>
        <v>Thảo lăm ma</v>
      </c>
      <c r="D30" s="1549"/>
      <c r="E30" s="1550"/>
      <c r="F30" s="1550"/>
      <c r="G30" s="3457">
        <f>+VLOOKUP(C30,'Tong hop cong'!C82:R82,16,0)</f>
        <v>0</v>
      </c>
      <c r="H30" s="3456">
        <f t="shared" si="3"/>
        <v>0</v>
      </c>
      <c r="I30" s="1552">
        <f>+VLOOKUP(C30,'Tong hop cong'!C82:S82,17,0)</f>
        <v>1049</v>
      </c>
      <c r="J30" s="1553">
        <f t="shared" si="0"/>
        <v>495.14877142387644</v>
      </c>
      <c r="K30" s="1554" t="str">
        <f>+VLOOKUP(C30,'Tong hop cong'!C82:AA83,25,0)</f>
        <v>A</v>
      </c>
      <c r="L30" s="1555">
        <f t="shared" si="4"/>
        <v>2176277.8801622218</v>
      </c>
      <c r="M30" s="1553">
        <f>+VLOOKUP(C30,'Tong hop cong'!C82:V88,20,0)</f>
        <v>25</v>
      </c>
      <c r="N30" s="1553">
        <f>+VLOOKUP(C30,'Tong hop cong'!C82:W88,21,0)</f>
        <v>3</v>
      </c>
      <c r="O30" s="1553">
        <f>VLOOKUP(C30,'BẢNG LƯƠNG KT'!$C$72:$R$88,16,0)</f>
        <v>28</v>
      </c>
      <c r="P30" s="1555">
        <f t="shared" si="5"/>
        <v>3360000</v>
      </c>
      <c r="Q30" s="1555"/>
      <c r="R30" s="1555">
        <f t="shared" si="1"/>
        <v>5536277.8801622223</v>
      </c>
      <c r="S30" s="1556">
        <f t="shared" si="2"/>
        <v>5536277.8801622223</v>
      </c>
    </row>
    <row r="31" spans="1:25" s="1544" customFormat="1" ht="27" customHeight="1">
      <c r="A31" s="3460">
        <v>16</v>
      </c>
      <c r="B31" s="1548"/>
      <c r="C31" s="2062" t="str">
        <f>'Chấm công công nhân'!L81</f>
        <v>Thảo Hôm</v>
      </c>
      <c r="D31" s="1549"/>
      <c r="E31" s="1550"/>
      <c r="F31" s="1550"/>
      <c r="G31" s="3457">
        <f>+VLOOKUP(C31,'Tong hop cong'!C83:R83,16,0)</f>
        <v>0</v>
      </c>
      <c r="H31" s="3456">
        <f t="shared" si="3"/>
        <v>0</v>
      </c>
      <c r="I31" s="1552">
        <f>+VLOOKUP(C31,'Tong hop cong'!C83:S83,17,0)</f>
        <v>297</v>
      </c>
      <c r="J31" s="1553">
        <f t="shared" si="0"/>
        <v>140.1898809465122</v>
      </c>
      <c r="K31" s="1554" t="str">
        <f>+VLOOKUP(C31,'Tong hop cong'!C83:AA84,25,0)</f>
        <v>B</v>
      </c>
      <c r="L31" s="1555">
        <f t="shared" si="4"/>
        <v>588573.19616583677</v>
      </c>
      <c r="M31" s="1553">
        <f>+VLOOKUP(C31,'Tong hop cong'!C83:V89,20,0)</f>
        <v>18</v>
      </c>
      <c r="N31" s="1553">
        <f>+VLOOKUP(C31,'Tong hop cong'!C83:W89,21,0)</f>
        <v>3</v>
      </c>
      <c r="O31" s="1553">
        <f>VLOOKUP(C31,'BẢNG LƯƠNG KT'!$C$72:$R$88,16,0)</f>
        <v>21</v>
      </c>
      <c r="P31" s="1555">
        <f t="shared" si="5"/>
        <v>2520000</v>
      </c>
      <c r="Q31" s="1555"/>
      <c r="R31" s="1555">
        <f t="shared" si="1"/>
        <v>3108573.1961658369</v>
      </c>
      <c r="S31" s="1556">
        <f t="shared" si="2"/>
        <v>3108573.1961658369</v>
      </c>
    </row>
    <row r="32" spans="1:25" s="1544" customFormat="1" ht="28.5" hidden="1" customHeight="1">
      <c r="A32" s="3460">
        <v>17</v>
      </c>
      <c r="B32" s="1548"/>
      <c r="C32" s="3462" t="str">
        <f>'Tong hop cong'!C84</f>
        <v>Thảo Ê</v>
      </c>
      <c r="D32" s="1549"/>
      <c r="E32" s="1550" t="s">
        <v>1142</v>
      </c>
      <c r="F32" s="1550"/>
      <c r="G32" s="3457">
        <f>+VLOOKUP(C32,'Tong hop cong'!C84:R84,16,0)</f>
        <v>0</v>
      </c>
      <c r="H32" s="3456">
        <f t="shared" si="3"/>
        <v>0</v>
      </c>
      <c r="I32" s="1552">
        <f>+VLOOKUP(C32,'Tong hop cong'!C84:S84,17,0)</f>
        <v>0</v>
      </c>
      <c r="J32" s="1553">
        <f>I32*$U$19/100</f>
        <v>0</v>
      </c>
      <c r="K32" s="1554">
        <f>+VLOOKUP(C32,'Tong hop cong'!C84:AA85,24,0)</f>
        <v>0</v>
      </c>
      <c r="L32" s="1555">
        <f t="shared" si="4"/>
        <v>0</v>
      </c>
      <c r="M32" s="1553">
        <f>+VLOOKUP(C32,'Tong hop cong'!C84:V90,19,0)</f>
        <v>0</v>
      </c>
      <c r="N32" s="1553">
        <f>+VLOOKUP(C32,'Tong hop cong'!C84:W90,20,0)</f>
        <v>0</v>
      </c>
      <c r="O32" s="1553">
        <f>VLOOKUP(C32,'BẢNG LƯƠNG KT'!$C$72:$R$88,16,0)</f>
        <v>0</v>
      </c>
      <c r="P32" s="1555">
        <f t="shared" ref="P32" si="7">(M32+N32)*100000+O32*$T$15</f>
        <v>0</v>
      </c>
      <c r="Q32" s="1555"/>
      <c r="R32" s="1555">
        <f t="shared" si="1"/>
        <v>0</v>
      </c>
      <c r="S32" s="1556">
        <f t="shared" si="2"/>
        <v>0</v>
      </c>
    </row>
    <row r="33" spans="1:21" s="1546" customFormat="1" ht="30" customHeight="1">
      <c r="A33" s="3995" t="s">
        <v>688</v>
      </c>
      <c r="B33" s="3996"/>
      <c r="C33" s="3996"/>
      <c r="D33" s="3996"/>
      <c r="E33" s="3997"/>
      <c r="F33" s="3320"/>
      <c r="G33" s="2049">
        <f>SUM(G16:G32)</f>
        <v>0</v>
      </c>
      <c r="H33" s="2049">
        <f>SUM(H16:H32)</f>
        <v>0</v>
      </c>
      <c r="I33" s="2049">
        <f>SUM(I16:I32)</f>
        <v>24342</v>
      </c>
      <c r="J33" s="2049">
        <f>SUM(J16:J32)</f>
        <v>11489.905999999999</v>
      </c>
      <c r="K33" s="2049">
        <f t="shared" ref="K33:N33" si="8">SUM(K16:K32)</f>
        <v>0</v>
      </c>
      <c r="L33" s="2049">
        <f>SUM(L16:L32)</f>
        <v>49791285.896097407</v>
      </c>
      <c r="M33" s="2049">
        <f t="shared" si="8"/>
        <v>305</v>
      </c>
      <c r="N33" s="2049">
        <f t="shared" si="8"/>
        <v>41</v>
      </c>
      <c r="O33" s="2049">
        <f>SUM(O16:O32)</f>
        <v>346</v>
      </c>
      <c r="P33" s="2049">
        <f>SUM(P16:P32)</f>
        <v>41520000</v>
      </c>
      <c r="Q33" s="2049"/>
      <c r="R33" s="2049">
        <f>SUM(R16:R32)</f>
        <v>91311285.896097392</v>
      </c>
      <c r="S33" s="2049">
        <f>SUM(S16:S32)</f>
        <v>91311285.896097392</v>
      </c>
      <c r="U33" s="3281">
        <f>S33+'2'!U35+'1'!U51</f>
        <v>397966246.20311797</v>
      </c>
    </row>
    <row r="34" spans="1:21" s="910" customFormat="1" ht="24.75" customHeight="1">
      <c r="A34" s="3998" t="s">
        <v>1856</v>
      </c>
      <c r="B34" s="3999"/>
      <c r="C34" s="3999"/>
      <c r="D34" s="3999"/>
      <c r="E34" s="3999"/>
      <c r="F34" s="3999"/>
      <c r="G34" s="3999"/>
      <c r="H34" s="3999"/>
      <c r="I34" s="3999"/>
      <c r="J34" s="3999"/>
      <c r="K34" s="3999"/>
      <c r="L34" s="3999"/>
      <c r="M34" s="3999"/>
      <c r="N34" s="3999"/>
      <c r="O34" s="3999"/>
      <c r="P34" s="3999"/>
      <c r="Q34" s="3999"/>
      <c r="R34" s="3999"/>
      <c r="S34" s="4000"/>
      <c r="U34" s="3328"/>
    </row>
    <row r="35" spans="1:21" ht="21.75" customHeight="1">
      <c r="O35" s="1957"/>
      <c r="R35" s="1957" t="s">
        <v>1773</v>
      </c>
      <c r="S35" s="1957"/>
    </row>
    <row r="36" spans="1:21" s="1871" customFormat="1" ht="23.25" customHeight="1">
      <c r="C36" s="1871" t="s">
        <v>45</v>
      </c>
      <c r="I36" s="3934" t="s">
        <v>44</v>
      </c>
      <c r="J36" s="3934"/>
      <c r="K36" s="3934"/>
      <c r="O36" s="1333"/>
      <c r="R36" s="1333" t="s">
        <v>1107</v>
      </c>
      <c r="S36" s="1333"/>
      <c r="U36" s="3463">
        <f>J33+'2'!J35+'1'!J51</f>
        <v>63154.457999999999</v>
      </c>
    </row>
    <row r="37" spans="1:21">
      <c r="A37" s="909"/>
      <c r="C37" s="926"/>
      <c r="D37" s="926"/>
      <c r="G37" s="927"/>
      <c r="H37" s="928"/>
      <c r="I37" s="928"/>
      <c r="J37" s="912"/>
      <c r="K37" s="3314"/>
      <c r="L37" s="929"/>
      <c r="M37" s="926"/>
      <c r="N37" s="926"/>
      <c r="O37" s="926"/>
      <c r="P37" s="930"/>
      <c r="Q37" s="930"/>
      <c r="U37" s="925"/>
    </row>
    <row r="38" spans="1:21">
      <c r="A38" s="909"/>
      <c r="C38" s="909"/>
      <c r="D38" s="909"/>
      <c r="G38" s="927"/>
      <c r="K38" s="3314"/>
      <c r="L38" s="926"/>
      <c r="N38" s="923"/>
      <c r="O38" s="923"/>
      <c r="P38" s="926"/>
      <c r="Q38" s="926"/>
    </row>
    <row r="39" spans="1:21">
      <c r="A39" s="909"/>
      <c r="C39" s="909"/>
      <c r="D39" s="909"/>
      <c r="E39" s="925"/>
      <c r="F39" s="925"/>
      <c r="G39" s="1975"/>
      <c r="K39" s="3314"/>
      <c r="L39" s="3932"/>
      <c r="M39" s="3932"/>
      <c r="S39" s="3317"/>
    </row>
    <row r="40" spans="1:21">
      <c r="A40" s="909"/>
      <c r="C40" s="909"/>
      <c r="D40" s="909"/>
      <c r="E40" s="925"/>
      <c r="F40" s="925"/>
      <c r="G40" s="1975"/>
      <c r="K40" s="3314"/>
      <c r="L40" s="3317"/>
      <c r="M40" s="3317"/>
      <c r="S40" s="3317"/>
      <c r="U40" s="3613">
        <v>84391285.896097392</v>
      </c>
    </row>
    <row r="41" spans="1:21">
      <c r="A41" s="909"/>
      <c r="C41" s="909"/>
      <c r="D41" s="909"/>
      <c r="G41" s="1974"/>
      <c r="K41" s="3314"/>
      <c r="L41" s="909"/>
      <c r="M41" s="933"/>
      <c r="N41" s="3800"/>
      <c r="O41" s="3800"/>
      <c r="P41" s="3800"/>
      <c r="Q41" s="3314"/>
    </row>
    <row r="42" spans="1:21">
      <c r="A42" s="909"/>
      <c r="C42" s="909"/>
      <c r="D42" s="909"/>
      <c r="E42" s="934"/>
      <c r="F42" s="934"/>
      <c r="G42" s="1973"/>
      <c r="H42" s="1975"/>
      <c r="I42" s="1975"/>
      <c r="J42" s="3799"/>
      <c r="K42" s="3799"/>
      <c r="L42" s="3799"/>
      <c r="M42" s="3799"/>
      <c r="N42" s="3799"/>
      <c r="O42" s="3799"/>
      <c r="P42" s="3799"/>
      <c r="Q42" s="3799"/>
      <c r="R42" s="3799"/>
      <c r="S42" s="3799"/>
    </row>
    <row r="43" spans="1:21" s="935" customFormat="1" ht="17.25">
      <c r="G43" s="1972"/>
      <c r="H43" s="936"/>
      <c r="I43" s="936"/>
      <c r="J43" s="937"/>
      <c r="K43" s="938"/>
      <c r="L43" s="939"/>
      <c r="M43" s="940"/>
      <c r="N43" s="940"/>
      <c r="O43" s="940"/>
    </row>
    <row r="44" spans="1:21">
      <c r="E44" s="941"/>
      <c r="F44" s="941"/>
      <c r="R44" s="925"/>
    </row>
    <row r="45" spans="1:21">
      <c r="A45" s="942"/>
      <c r="M45" s="912"/>
      <c r="N45" s="912"/>
      <c r="O45" s="912"/>
      <c r="P45" s="912"/>
      <c r="Q45" s="912"/>
      <c r="R45" s="3317"/>
    </row>
    <row r="46" spans="1:21">
      <c r="A46" s="943"/>
      <c r="N46" s="1975"/>
      <c r="O46" s="1975"/>
      <c r="P46" s="925"/>
      <c r="Q46" s="925"/>
    </row>
    <row r="47" spans="1:21">
      <c r="A47" s="943"/>
      <c r="P47" s="941"/>
      <c r="Q47" s="941"/>
    </row>
    <row r="48" spans="1:21">
      <c r="L48" s="944"/>
    </row>
  </sheetData>
  <mergeCells count="27">
    <mergeCell ref="A1:S1"/>
    <mergeCell ref="A2:S2"/>
    <mergeCell ref="A3:S3"/>
    <mergeCell ref="A9:S9"/>
    <mergeCell ref="R11:S11"/>
    <mergeCell ref="A4:G4"/>
    <mergeCell ref="S12:S14"/>
    <mergeCell ref="A5:G5"/>
    <mergeCell ref="E10:G10"/>
    <mergeCell ref="E11:G11"/>
    <mergeCell ref="A12:A14"/>
    <mergeCell ref="B12:C14"/>
    <mergeCell ref="D12:D14"/>
    <mergeCell ref="E12:E14"/>
    <mergeCell ref="F12:F14"/>
    <mergeCell ref="R12:R14"/>
    <mergeCell ref="G13:H13"/>
    <mergeCell ref="I13:L13"/>
    <mergeCell ref="M13:Q13"/>
    <mergeCell ref="G12:Q12"/>
    <mergeCell ref="J42:M42"/>
    <mergeCell ref="N42:S42"/>
    <mergeCell ref="A33:E33"/>
    <mergeCell ref="A34:S34"/>
    <mergeCell ref="I36:K36"/>
    <mergeCell ref="L39:M39"/>
    <mergeCell ref="N41:P41"/>
  </mergeCells>
  <printOptions horizontalCentered="1"/>
  <pageMargins left="0.39370078740157483" right="0.39370078740157483" top="0" bottom="0" header="0" footer="0"/>
  <pageSetup paperSize="9" scale="53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T45"/>
  <sheetViews>
    <sheetView topLeftCell="A14" zoomScale="85" zoomScaleNormal="85" workbookViewId="0">
      <selection activeCell="J29" sqref="J29"/>
    </sheetView>
  </sheetViews>
  <sheetFormatPr defaultColWidth="9.25" defaultRowHeight="16.5"/>
  <cols>
    <col min="1" max="1" width="7.25" style="3122" customWidth="1"/>
    <col min="2" max="2" width="9.375" style="3115" hidden="1" customWidth="1"/>
    <col min="3" max="3" width="26.625" style="3151" customWidth="1"/>
    <col min="4" max="4" width="6.375" style="3151" hidden="1" customWidth="1"/>
    <col min="5" max="5" width="8" style="3115" hidden="1" customWidth="1"/>
    <col min="6" max="6" width="29.375" style="3115" customWidth="1"/>
    <col min="7" max="7" width="17.875" style="3152" hidden="1" customWidth="1"/>
    <col min="8" max="8" width="17.875" style="3115" hidden="1" customWidth="1"/>
    <col min="9" max="9" width="17.875" style="3115" customWidth="1"/>
    <col min="10" max="10" width="18.25" style="3152" customWidth="1"/>
    <col min="11" max="11" width="9.375" style="3153" customWidth="1"/>
    <col min="12" max="12" width="23.875" style="3160" customWidth="1"/>
    <col min="13" max="13" width="11.75" style="3115" hidden="1" customWidth="1"/>
    <col min="14" max="14" width="9.75" style="3115" hidden="1" customWidth="1"/>
    <col min="15" max="15" width="11.75" style="3115" hidden="1" customWidth="1"/>
    <col min="16" max="16" width="14" style="3115" hidden="1" customWidth="1"/>
    <col min="17" max="17" width="15.125" style="3115" hidden="1" customWidth="1"/>
    <col min="18" max="18" width="22.625" style="3115" customWidth="1"/>
    <col min="19" max="19" width="12.375" style="3115" customWidth="1"/>
    <col min="20" max="20" width="15.125" style="3115" bestFit="1" customWidth="1"/>
    <col min="21" max="16384" width="9.25" style="3115"/>
  </cols>
  <sheetData>
    <row r="1" spans="1:20">
      <c r="A1" s="4010" t="s">
        <v>165</v>
      </c>
      <c r="B1" s="4010"/>
      <c r="C1" s="4010"/>
      <c r="D1" s="4010"/>
      <c r="E1" s="4010"/>
      <c r="F1" s="4010"/>
      <c r="G1" s="4010"/>
      <c r="H1" s="4010"/>
      <c r="I1" s="4010"/>
      <c r="J1" s="4010"/>
      <c r="K1" s="4010"/>
      <c r="L1" s="4010"/>
      <c r="M1" s="4010"/>
      <c r="N1" s="4010"/>
      <c r="O1" s="4010"/>
      <c r="P1" s="4010"/>
      <c r="Q1" s="4010"/>
      <c r="R1" s="4010"/>
    </row>
    <row r="2" spans="1:20">
      <c r="A2" s="4010" t="s">
        <v>171</v>
      </c>
      <c r="B2" s="4010"/>
      <c r="C2" s="4010"/>
      <c r="D2" s="4010"/>
      <c r="E2" s="4010"/>
      <c r="F2" s="4010"/>
      <c r="G2" s="4010"/>
      <c r="H2" s="4010"/>
      <c r="I2" s="4010"/>
      <c r="J2" s="4010"/>
      <c r="K2" s="4010"/>
      <c r="L2" s="4010"/>
      <c r="M2" s="4010"/>
      <c r="N2" s="4010"/>
      <c r="O2" s="4010"/>
      <c r="P2" s="4010"/>
      <c r="Q2" s="4010"/>
      <c r="R2" s="4010"/>
    </row>
    <row r="3" spans="1:20">
      <c r="A3" s="4010" t="s">
        <v>726</v>
      </c>
      <c r="B3" s="4010"/>
      <c r="C3" s="4010"/>
      <c r="D3" s="4010"/>
      <c r="E3" s="4010"/>
      <c r="F3" s="4010"/>
      <c r="G3" s="4010"/>
      <c r="H3" s="4010"/>
      <c r="I3" s="4010"/>
      <c r="J3" s="4010"/>
      <c r="K3" s="4010"/>
      <c r="L3" s="4010"/>
      <c r="M3" s="4010"/>
      <c r="N3" s="4010"/>
      <c r="O3" s="4010"/>
      <c r="P3" s="4010"/>
      <c r="Q3" s="4010"/>
      <c r="R3" s="4010"/>
    </row>
    <row r="4" spans="1:20">
      <c r="A4" s="4009" t="s">
        <v>602</v>
      </c>
      <c r="B4" s="4009"/>
      <c r="C4" s="4009"/>
      <c r="D4" s="4009"/>
      <c r="E4" s="4009"/>
      <c r="F4" s="4009"/>
      <c r="G4" s="4009"/>
      <c r="H4" s="819"/>
      <c r="I4" s="819"/>
      <c r="J4" s="819"/>
      <c r="K4" s="819"/>
      <c r="L4" s="819"/>
      <c r="M4" s="819"/>
      <c r="N4" s="819"/>
      <c r="O4" s="819"/>
      <c r="P4" s="819"/>
      <c r="Q4" s="819"/>
      <c r="R4" s="819"/>
    </row>
    <row r="5" spans="1:20" s="3117" customFormat="1">
      <c r="A5" s="4024" t="s">
        <v>541</v>
      </c>
      <c r="B5" s="4024"/>
      <c r="C5" s="4024"/>
      <c r="D5" s="4024"/>
      <c r="E5" s="4024"/>
      <c r="F5" s="4024"/>
      <c r="G5" s="4024"/>
      <c r="H5" s="3116"/>
      <c r="I5" s="3116"/>
      <c r="J5" s="3116"/>
      <c r="K5" s="3116"/>
      <c r="L5" s="3116"/>
      <c r="M5" s="3116"/>
      <c r="N5" s="3116"/>
      <c r="O5" s="3116"/>
      <c r="P5" s="3116"/>
      <c r="Q5" s="3116"/>
      <c r="R5" s="3116"/>
    </row>
    <row r="6" spans="1:20" hidden="1">
      <c r="A6" s="819"/>
      <c r="B6" s="819"/>
      <c r="C6" s="819"/>
      <c r="D6" s="819"/>
      <c r="E6" s="819"/>
      <c r="F6" s="819"/>
      <c r="G6" s="819"/>
      <c r="H6" s="819"/>
      <c r="I6" s="819"/>
      <c r="J6" s="819"/>
      <c r="K6" s="819"/>
      <c r="L6" s="819"/>
      <c r="M6" s="819"/>
      <c r="N6" s="819"/>
      <c r="O6" s="819"/>
      <c r="P6" s="819"/>
      <c r="Q6" s="819"/>
      <c r="R6" s="819"/>
    </row>
    <row r="7" spans="1:20" hidden="1">
      <c r="A7" s="819"/>
      <c r="B7" s="819"/>
      <c r="C7" s="819"/>
      <c r="D7" s="819"/>
      <c r="E7" s="819"/>
      <c r="F7" s="819"/>
      <c r="G7" s="819"/>
      <c r="H7" s="819"/>
      <c r="I7" s="819"/>
      <c r="J7" s="819"/>
      <c r="K7" s="819"/>
      <c r="L7" s="819"/>
      <c r="M7" s="819"/>
      <c r="N7" s="819"/>
      <c r="O7" s="819"/>
      <c r="P7" s="819"/>
      <c r="Q7" s="819"/>
      <c r="R7" s="819"/>
    </row>
    <row r="8" spans="1:20">
      <c r="A8" s="819"/>
      <c r="B8" s="819"/>
      <c r="C8" s="819"/>
      <c r="D8" s="819"/>
      <c r="E8" s="819"/>
      <c r="F8" s="819"/>
      <c r="G8" s="819"/>
      <c r="H8" s="819"/>
      <c r="I8" s="819"/>
      <c r="J8" s="819"/>
      <c r="K8" s="819"/>
      <c r="L8" s="819"/>
      <c r="M8" s="819"/>
      <c r="N8" s="819"/>
      <c r="O8" s="819"/>
      <c r="P8" s="819"/>
      <c r="Q8" s="819"/>
      <c r="R8" s="819"/>
    </row>
    <row r="9" spans="1:20" s="3118" customFormat="1" ht="18.75">
      <c r="A9" s="4023" t="s">
        <v>1575</v>
      </c>
      <c r="B9" s="4023"/>
      <c r="C9" s="4023"/>
      <c r="D9" s="4023"/>
      <c r="E9" s="4023"/>
      <c r="F9" s="4023"/>
      <c r="G9" s="4023"/>
      <c r="H9" s="4023"/>
      <c r="I9" s="4023"/>
      <c r="J9" s="4023"/>
      <c r="K9" s="4023"/>
      <c r="L9" s="4023"/>
      <c r="M9" s="4023"/>
      <c r="N9" s="4023"/>
      <c r="O9" s="4023"/>
      <c r="P9" s="4023"/>
      <c r="Q9" s="4023"/>
      <c r="R9" s="4023"/>
    </row>
    <row r="10" spans="1:20" s="3118" customFormat="1" ht="18.75" hidden="1">
      <c r="A10" s="3119"/>
      <c r="B10" s="3119"/>
      <c r="C10" s="3120"/>
      <c r="D10" s="3120"/>
      <c r="E10" s="4012"/>
      <c r="F10" s="4012"/>
      <c r="G10" s="4012"/>
      <c r="H10" s="3119"/>
      <c r="I10" s="3119"/>
      <c r="J10" s="3119"/>
      <c r="K10" s="3119"/>
      <c r="L10" s="3119"/>
      <c r="M10" s="3119"/>
      <c r="N10" s="3119"/>
      <c r="O10" s="3119"/>
      <c r="P10" s="3119"/>
      <c r="Q10" s="3119"/>
      <c r="R10" s="3119"/>
    </row>
    <row r="11" spans="1:20" s="3118" customFormat="1" ht="18.75">
      <c r="A11" s="3119"/>
      <c r="B11" s="3119"/>
      <c r="C11" s="3120"/>
      <c r="D11" s="3120"/>
      <c r="E11" s="3121"/>
      <c r="F11" s="3121"/>
      <c r="G11" s="3121"/>
      <c r="H11" s="3119"/>
      <c r="I11" s="3119"/>
      <c r="J11" s="3119"/>
      <c r="K11" s="3119"/>
      <c r="L11" s="3119"/>
      <c r="M11" s="3119"/>
      <c r="N11" s="3119"/>
      <c r="O11" s="3119"/>
      <c r="P11" s="3119"/>
      <c r="Q11" s="3119"/>
      <c r="R11" s="3119"/>
    </row>
    <row r="12" spans="1:20">
      <c r="C12" s="3123" t="s">
        <v>894</v>
      </c>
      <c r="D12" s="3124" t="s">
        <v>894</v>
      </c>
      <c r="E12" s="4013">
        <v>657.39</v>
      </c>
      <c r="F12" s="4013"/>
      <c r="G12" s="4013"/>
      <c r="H12" s="3125"/>
      <c r="I12" s="3125"/>
      <c r="J12" s="3126"/>
      <c r="K12" s="3127"/>
      <c r="L12" s="3128"/>
      <c r="M12" s="3129"/>
      <c r="N12" s="3129"/>
      <c r="O12" s="3129"/>
      <c r="P12" s="3129"/>
      <c r="Q12" s="3129"/>
      <c r="R12" s="3101" t="s">
        <v>1157</v>
      </c>
    </row>
    <row r="13" spans="1:20" s="3116" customFormat="1">
      <c r="A13" s="4014" t="s">
        <v>19</v>
      </c>
      <c r="B13" s="3130"/>
      <c r="C13" s="4016" t="s">
        <v>20</v>
      </c>
      <c r="D13" s="4018"/>
      <c r="E13" s="4019"/>
      <c r="F13" s="4014" t="s">
        <v>9</v>
      </c>
      <c r="G13" s="3963" t="s">
        <v>1146</v>
      </c>
      <c r="H13" s="3963"/>
      <c r="I13" s="4021" t="s">
        <v>31</v>
      </c>
      <c r="J13" s="4021"/>
      <c r="K13" s="4021"/>
      <c r="L13" s="4021"/>
      <c r="M13" s="4022" t="s">
        <v>32</v>
      </c>
      <c r="N13" s="4022"/>
      <c r="O13" s="4022"/>
      <c r="P13" s="4022"/>
      <c r="Q13" s="4022"/>
      <c r="R13" s="4021" t="s">
        <v>634</v>
      </c>
    </row>
    <row r="14" spans="1:20" s="3116" customFormat="1" ht="66">
      <c r="A14" s="4015"/>
      <c r="B14" s="3130"/>
      <c r="C14" s="4017"/>
      <c r="D14" s="4018"/>
      <c r="E14" s="4020"/>
      <c r="F14" s="4015"/>
      <c r="G14" s="3131" t="s">
        <v>362</v>
      </c>
      <c r="H14" s="821" t="s">
        <v>248</v>
      </c>
      <c r="I14" s="821" t="s">
        <v>1151</v>
      </c>
      <c r="J14" s="3131" t="s">
        <v>1567</v>
      </c>
      <c r="K14" s="3182" t="s">
        <v>1568</v>
      </c>
      <c r="L14" s="3132" t="s">
        <v>38</v>
      </c>
      <c r="M14" s="823" t="s">
        <v>956</v>
      </c>
      <c r="N14" s="823" t="s">
        <v>957</v>
      </c>
      <c r="O14" s="823" t="s">
        <v>1153</v>
      </c>
      <c r="P14" s="823" t="s">
        <v>1154</v>
      </c>
      <c r="Q14" s="3132" t="s">
        <v>24</v>
      </c>
      <c r="R14" s="4021"/>
    </row>
    <row r="15" spans="1:20" s="2063" customFormat="1" ht="22.5">
      <c r="A15" s="3133">
        <v>1</v>
      </c>
      <c r="B15" s="3134" t="s">
        <v>482</v>
      </c>
      <c r="C15" s="3209" t="str">
        <f>'Mủ BN D40'!C12</f>
        <v>Phò Đăm</v>
      </c>
      <c r="D15" s="3135" t="e">
        <f>VLOOKUP(C15,'[15]Mã số NV'!$B$6:$D$53,3,0)</f>
        <v>#N/A</v>
      </c>
      <c r="E15" s="3136" t="s">
        <v>40</v>
      </c>
      <c r="F15" s="3136"/>
      <c r="G15" s="3137">
        <f>+VLOOKUP(C15,'[15]Tong hop cong'!C8:P8,14,0)</f>
        <v>0</v>
      </c>
      <c r="H15" s="3138">
        <f>G15*25000</f>
        <v>0</v>
      </c>
      <c r="I15" s="3139">
        <f>'Mủ BN D40'!AI12</f>
        <v>373</v>
      </c>
      <c r="J15" s="3139">
        <f>I15*0.4</f>
        <v>149.20000000000002</v>
      </c>
      <c r="K15" s="3139" t="s">
        <v>52</v>
      </c>
      <c r="L15" s="3140">
        <f>IF(K15="A",(J15*((6.1+0.6)*$E$12)),IF(K15="B",(J15*((5.8+0.6)*$E$12)),IF(K15="C",(J15*((5.5+0.6)*$E$12)),IF(K15="D",(J15*((5.2+0.6)*$E$12)),0))))</f>
        <v>657153.33959999995</v>
      </c>
      <c r="M15" s="3141">
        <f>+VLOOKUP(C15,'[15]Tong hop cong'!C8:T14,18,0)</f>
        <v>0</v>
      </c>
      <c r="N15" s="3141">
        <f>+VLOOKUP(C15,'[15]Tong hop cong'!C8:U14,19,0)</f>
        <v>0</v>
      </c>
      <c r="O15" s="3141"/>
      <c r="P15" s="3141"/>
      <c r="Q15" s="3142" t="e">
        <f>((M15*(46.1*$E$12))+(N15*(76.9*$E$12))+(O15*(76.8*$E$12))+(P15*(107.6*$E$12)))+((M15*#REF!)+(N15*#REF!)+(O15*#REF!)+(P15*#REF!))</f>
        <v>#REF!</v>
      </c>
      <c r="R15" s="3142"/>
      <c r="S15" s="3181" t="s">
        <v>52</v>
      </c>
      <c r="T15" s="3143">
        <f>L15+L18+L21+L26+L27</f>
        <v>2639184.1895999992</v>
      </c>
    </row>
    <row r="16" spans="1:20" s="2063" customFormat="1" ht="22.5">
      <c r="A16" s="3133">
        <v>2</v>
      </c>
      <c r="B16" s="3134" t="s">
        <v>484</v>
      </c>
      <c r="C16" s="3209" t="str">
        <f>'Mủ BN D40'!C13</f>
        <v>Thảo Mai</v>
      </c>
      <c r="D16" s="3135" t="e">
        <f>VLOOKUP(C16,'[15]Mã số NV'!$B$6:$D$53,3,0)</f>
        <v>#N/A</v>
      </c>
      <c r="E16" s="3136" t="s">
        <v>40</v>
      </c>
      <c r="F16" s="3136"/>
      <c r="G16" s="3137">
        <f>+VLOOKUP(C16,'[15]Tong hop cong'!C9:P9,14,0)</f>
        <v>0</v>
      </c>
      <c r="H16" s="3138">
        <f t="shared" ref="H16:H26" si="0">G16*25000</f>
        <v>0</v>
      </c>
      <c r="I16" s="3139">
        <f>'Mủ BN D40'!AI13</f>
        <v>334</v>
      </c>
      <c r="J16" s="3139">
        <f t="shared" ref="J16:J28" si="1">I16*0.4</f>
        <v>133.6</v>
      </c>
      <c r="K16" s="3139" t="s">
        <v>92</v>
      </c>
      <c r="L16" s="3140">
        <f t="shared" ref="L16:L28" si="2">IF(K16="A",(J16*((6.1+0.6)*$E$12)),IF(K16="B",(J16*((5.8+0.6)*$E$12)),IF(K16="C",(J16*((5.5+0.6)*$E$12)),IF(K16="D",(J16*((5.2+0.6)*$E$12)),0))))</f>
        <v>562094.74559999991</v>
      </c>
      <c r="M16" s="3141">
        <f>+VLOOKUP(C16,'[15]Tong hop cong'!C9:T16,18,0)</f>
        <v>0</v>
      </c>
      <c r="N16" s="3141">
        <f>+VLOOKUP(C16,'[15]Tong hop cong'!C9:U14,19,0)</f>
        <v>0</v>
      </c>
      <c r="O16" s="3141"/>
      <c r="P16" s="3141"/>
      <c r="Q16" s="3142" t="e">
        <f>((M16*(46.1*$E$12))+(N16*(76.9*$E$12))+(O16*(76.8*$E$12))+(P16*(107.6*$E$12)))+((M16*#REF!)+(N16*#REF!)+(O16*#REF!)+(P16*#REF!))</f>
        <v>#REF!</v>
      </c>
      <c r="R16" s="3142"/>
      <c r="S16" s="3181" t="s">
        <v>92</v>
      </c>
      <c r="T16" s="3144">
        <f>L16+L17+L19+L20+L25+L28</f>
        <v>2081770.0607999996</v>
      </c>
    </row>
    <row r="17" spans="1:20" s="2063" customFormat="1" ht="22.5">
      <c r="A17" s="3133">
        <v>3</v>
      </c>
      <c r="B17" s="3134" t="s">
        <v>486</v>
      </c>
      <c r="C17" s="3209" t="str">
        <f>'Mủ BN D40'!C14</f>
        <v>Thảo Tưng</v>
      </c>
      <c r="D17" s="3135" t="e">
        <f>VLOOKUP(C17,'[15]Mã số NV'!$B$6:$D$53,3,0)</f>
        <v>#N/A</v>
      </c>
      <c r="E17" s="3136" t="s">
        <v>40</v>
      </c>
      <c r="F17" s="3136"/>
      <c r="G17" s="3137">
        <f>+VLOOKUP(C17,'[15]Tong hop cong'!C10:P10,14,0)</f>
        <v>0</v>
      </c>
      <c r="H17" s="3138">
        <f t="shared" si="0"/>
        <v>0</v>
      </c>
      <c r="I17" s="3139">
        <f>'Mủ BN D40'!AI14</f>
        <v>91</v>
      </c>
      <c r="J17" s="3139">
        <f t="shared" si="1"/>
        <v>36.4</v>
      </c>
      <c r="K17" s="3139" t="s">
        <v>92</v>
      </c>
      <c r="L17" s="3140">
        <f t="shared" si="2"/>
        <v>153145.57439999998</v>
      </c>
      <c r="M17" s="3141">
        <f>+VLOOKUP(C17,'[15]Tong hop cong'!C10:T17,18,0)</f>
        <v>0</v>
      </c>
      <c r="N17" s="3141">
        <f>+VLOOKUP(C17,'[15]Tong hop cong'!C10:U16,19,0)</f>
        <v>0</v>
      </c>
      <c r="O17" s="3141"/>
      <c r="P17" s="3141"/>
      <c r="Q17" s="3142" t="e">
        <f>((M17*(46.1*$E$12))+(N17*(76.9*$E$12))+(O17*(76.8*$E$12))+(P17*(107.6*$E$12)))+((M17*#REF!)+(N17*#REF!)+(O17*#REF!)+(P17*#REF!))</f>
        <v>#REF!</v>
      </c>
      <c r="R17" s="3142"/>
      <c r="T17" s="3145"/>
    </row>
    <row r="18" spans="1:20" s="2063" customFormat="1" ht="22.5">
      <c r="A18" s="3133">
        <v>4</v>
      </c>
      <c r="B18" s="3134"/>
      <c r="C18" s="3209" t="str">
        <f>'Mủ BN D40'!C15</f>
        <v>Thảo Xay</v>
      </c>
      <c r="D18" s="3135"/>
      <c r="E18" s="3136" t="s">
        <v>40</v>
      </c>
      <c r="F18" s="3136"/>
      <c r="G18" s="3137">
        <f>+VLOOKUP(C18,'[15]Tong hop cong'!C11:P11,14,0)</f>
        <v>0</v>
      </c>
      <c r="H18" s="3138">
        <f t="shared" si="0"/>
        <v>0</v>
      </c>
      <c r="I18" s="3139">
        <f>'Mủ BN D40'!AI15</f>
        <v>294</v>
      </c>
      <c r="J18" s="3139">
        <f t="shared" si="1"/>
        <v>117.60000000000001</v>
      </c>
      <c r="K18" s="3139" t="s">
        <v>52</v>
      </c>
      <c r="L18" s="3140">
        <f t="shared" si="2"/>
        <v>517970.72879999992</v>
      </c>
      <c r="M18" s="3141">
        <f>+VLOOKUP(C18,'[15]Tong hop cong'!C11:T18,18,0)</f>
        <v>0</v>
      </c>
      <c r="N18" s="3141">
        <f>+VLOOKUP(C18,'[15]Tong hop cong'!C11:U17,19,0)</f>
        <v>0</v>
      </c>
      <c r="O18" s="3141"/>
      <c r="P18" s="3141"/>
      <c r="Q18" s="3142" t="e">
        <f>((M18*(46.1*$E$12))+(N18*(76.9*$E$12))+(O18*(76.8*$E$12))+(P18*(107.6*$E$12)))+((M18*#REF!)+(N18*#REF!)+(O18*#REF!)+(P18*#REF!))</f>
        <v>#REF!</v>
      </c>
      <c r="R18" s="3142"/>
      <c r="T18" s="3143">
        <f>T15+T16</f>
        <v>4720954.2503999993</v>
      </c>
    </row>
    <row r="19" spans="1:20" s="2063" customFormat="1" ht="22.5">
      <c r="A19" s="3133">
        <v>5</v>
      </c>
      <c r="B19" s="3134"/>
      <c r="C19" s="3209" t="str">
        <f>'Mủ BN D40'!C16</f>
        <v>Nàng Nọi</v>
      </c>
      <c r="D19" s="3135"/>
      <c r="E19" s="3136" t="s">
        <v>40</v>
      </c>
      <c r="F19" s="3136"/>
      <c r="G19" s="3137">
        <f>+VLOOKUP(C19,'[15]Tong hop cong'!C12:P12,14,0)</f>
        <v>0</v>
      </c>
      <c r="H19" s="3138">
        <f t="shared" si="0"/>
        <v>0</v>
      </c>
      <c r="I19" s="3139">
        <f>'Mủ BN D40'!AI16</f>
        <v>291</v>
      </c>
      <c r="J19" s="3139">
        <f t="shared" si="1"/>
        <v>116.4</v>
      </c>
      <c r="K19" s="3139" t="s">
        <v>92</v>
      </c>
      <c r="L19" s="3140">
        <f t="shared" si="2"/>
        <v>489729.25439999998</v>
      </c>
      <c r="M19" s="3141">
        <f>+VLOOKUP(C19,'[15]Tong hop cong'!C12:T19,18,0)</f>
        <v>0</v>
      </c>
      <c r="N19" s="3141">
        <f>+VLOOKUP(C19,'[15]Tong hop cong'!C12:U18,19,0)</f>
        <v>0</v>
      </c>
      <c r="O19" s="3141"/>
      <c r="P19" s="3141"/>
      <c r="Q19" s="3142" t="e">
        <f>((M19*(46.1*$E$12))+(N19*(76.9*$E$12))+(O19*(76.8*$E$12))+(P19*(107.6*$E$12)))+((M19*#REF!)+(N19*#REF!)+(O19*#REF!)+(P19*#REF!))</f>
        <v>#REF!</v>
      </c>
      <c r="R19" s="3142"/>
      <c r="T19" s="3143"/>
    </row>
    <row r="20" spans="1:20" s="2063" customFormat="1" ht="22.5">
      <c r="A20" s="3133">
        <v>6</v>
      </c>
      <c r="B20" s="3134"/>
      <c r="C20" s="3209" t="str">
        <f>'Mủ BN D40'!C17</f>
        <v>Thảo Đăm</v>
      </c>
      <c r="D20" s="3135"/>
      <c r="E20" s="3136" t="s">
        <v>40</v>
      </c>
      <c r="F20" s="3136"/>
      <c r="G20" s="3137">
        <f>+VLOOKUP(C20,'[15]Tong hop cong'!C13:P13,14,0)</f>
        <v>0</v>
      </c>
      <c r="H20" s="3138">
        <f t="shared" si="0"/>
        <v>0</v>
      </c>
      <c r="I20" s="3139">
        <f>'Mủ BN D40'!AI17</f>
        <v>262</v>
      </c>
      <c r="J20" s="3139">
        <f t="shared" si="1"/>
        <v>104.80000000000001</v>
      </c>
      <c r="K20" s="3139" t="s">
        <v>92</v>
      </c>
      <c r="L20" s="3140">
        <f t="shared" si="2"/>
        <v>440924.62079999998</v>
      </c>
      <c r="M20" s="3141">
        <f>+VLOOKUP(C20,'[15]Tong hop cong'!C13:T20,18,0)</f>
        <v>0</v>
      </c>
      <c r="N20" s="3141">
        <f>+VLOOKUP(C20,'[15]Tong hop cong'!C13:U19,19,0)</f>
        <v>0</v>
      </c>
      <c r="O20" s="3141"/>
      <c r="P20" s="3141"/>
      <c r="Q20" s="3142" t="e">
        <f>((M20*(46.1*$E$12))+(N20*(76.9*$E$12))+(O20*(76.8*$E$12))+(P20*(107.6*$E$12)))+((M20*#REF!)+(N20*#REF!)+(O20*#REF!)+(P20*#REF!))</f>
        <v>#REF!</v>
      </c>
      <c r="R20" s="3142"/>
    </row>
    <row r="21" spans="1:20" s="2063" customFormat="1" ht="22.5">
      <c r="A21" s="3133">
        <v>7</v>
      </c>
      <c r="B21" s="3134"/>
      <c r="C21" s="3209" t="str">
        <f>'Mủ BN D40'!C18</f>
        <v>Thảo chăn</v>
      </c>
      <c r="D21" s="3135"/>
      <c r="E21" s="3136" t="s">
        <v>40</v>
      </c>
      <c r="F21" s="3136"/>
      <c r="G21" s="3137" t="e">
        <f>+VLOOKUP(C21,'[15]Tong hop cong'!C9:P9,14,0)</f>
        <v>#N/A</v>
      </c>
      <c r="H21" s="3138" t="e">
        <f t="shared" ref="H21" si="3">G21*25000</f>
        <v>#N/A</v>
      </c>
      <c r="I21" s="3139">
        <f>'Mủ BN D40'!AI18</f>
        <v>277</v>
      </c>
      <c r="J21" s="3139">
        <f t="shared" si="1"/>
        <v>110.80000000000001</v>
      </c>
      <c r="K21" s="3139" t="s">
        <v>52</v>
      </c>
      <c r="L21" s="3140">
        <f t="shared" si="2"/>
        <v>488020.04039999994</v>
      </c>
      <c r="M21" s="3141" t="e">
        <f>+VLOOKUP(C21,'[15]Tong hop cong'!C9:T16,18,0)</f>
        <v>#N/A</v>
      </c>
      <c r="N21" s="3141" t="e">
        <f>+VLOOKUP(C21,'[15]Tong hop cong'!C9:U15,19,0)</f>
        <v>#N/A</v>
      </c>
      <c r="O21" s="3141"/>
      <c r="P21" s="3141"/>
      <c r="Q21" s="3142" t="e">
        <f>((M21*(46.1*$E$12))+(N21*(76.9*$E$12))+(O21*(76.8*$E$12))+(P21*(107.6*$E$12)))+((M21*#REF!)+(N21*#REF!)+(O21*#REF!)+(P21*#REF!))</f>
        <v>#N/A</v>
      </c>
      <c r="R21" s="3142"/>
      <c r="T21" s="2063">
        <v>48.808837387473659</v>
      </c>
    </row>
    <row r="22" spans="1:20" s="2063" customFormat="1" ht="22.5">
      <c r="A22" s="3133">
        <v>8</v>
      </c>
      <c r="B22" s="3134"/>
      <c r="C22" s="3209" t="str">
        <f>'Mủ BN D40'!C19</f>
        <v>Hồ Văn Tăng</v>
      </c>
      <c r="D22" s="3135"/>
      <c r="E22" s="3136"/>
      <c r="F22" s="3136"/>
      <c r="G22" s="3137"/>
      <c r="H22" s="3138"/>
      <c r="I22" s="3139">
        <f>'Mủ BN D40'!AI19</f>
        <v>0</v>
      </c>
      <c r="J22" s="3139">
        <f t="shared" si="1"/>
        <v>0</v>
      </c>
      <c r="K22" s="3139" t="s">
        <v>92</v>
      </c>
      <c r="L22" s="3140">
        <f t="shared" si="2"/>
        <v>0</v>
      </c>
      <c r="M22" s="3141"/>
      <c r="N22" s="3141"/>
      <c r="O22" s="3141"/>
      <c r="P22" s="3141"/>
      <c r="Q22" s="3142"/>
      <c r="R22" s="3142"/>
    </row>
    <row r="23" spans="1:20" s="2063" customFormat="1" ht="22.5">
      <c r="A23" s="3133">
        <v>9</v>
      </c>
      <c r="B23" s="3134"/>
      <c r="C23" s="3209" t="str">
        <f>'Mủ BN D40'!C20</f>
        <v>Hồ Văn Khoa</v>
      </c>
      <c r="D23" s="3135"/>
      <c r="E23" s="3136"/>
      <c r="F23" s="3136"/>
      <c r="G23" s="3137"/>
      <c r="H23" s="3138"/>
      <c r="I23" s="3139">
        <f>'Mủ BN D40'!AI20</f>
        <v>0</v>
      </c>
      <c r="J23" s="3139">
        <f t="shared" si="1"/>
        <v>0</v>
      </c>
      <c r="K23" s="3139" t="s">
        <v>52</v>
      </c>
      <c r="L23" s="3140">
        <f t="shared" si="2"/>
        <v>0</v>
      </c>
      <c r="M23" s="3141"/>
      <c r="N23" s="3141"/>
      <c r="O23" s="3141"/>
      <c r="P23" s="3141"/>
      <c r="Q23" s="3142"/>
      <c r="R23" s="3142"/>
    </row>
    <row r="24" spans="1:20" s="2063" customFormat="1" ht="22.5">
      <c r="A24" s="3133">
        <v>10</v>
      </c>
      <c r="B24" s="3134"/>
      <c r="C24" s="3209" t="str">
        <f>'Mủ BN D40'!C21</f>
        <v>Hồ Xa My</v>
      </c>
      <c r="D24" s="3135"/>
      <c r="E24" s="3136"/>
      <c r="F24" s="3136"/>
      <c r="G24" s="3137"/>
      <c r="H24" s="3138"/>
      <c r="I24" s="3139">
        <f>'Mủ BN D40'!AI21</f>
        <v>0</v>
      </c>
      <c r="J24" s="3139">
        <f t="shared" si="1"/>
        <v>0</v>
      </c>
      <c r="K24" s="3139" t="s">
        <v>92</v>
      </c>
      <c r="L24" s="3140">
        <f t="shared" si="2"/>
        <v>0</v>
      </c>
      <c r="M24" s="3141"/>
      <c r="N24" s="3141"/>
      <c r="O24" s="3141"/>
      <c r="P24" s="3141"/>
      <c r="Q24" s="3142"/>
      <c r="R24" s="3142"/>
    </row>
    <row r="25" spans="1:20" s="2063" customFormat="1" ht="22.5">
      <c r="A25" s="3133">
        <v>8</v>
      </c>
      <c r="B25" s="3134"/>
      <c r="C25" s="3209" t="str">
        <f>'Mủ BN D40'!C22</f>
        <v>Thảo lay</v>
      </c>
      <c r="D25" s="3135"/>
      <c r="E25" s="3136"/>
      <c r="F25" s="3136"/>
      <c r="G25" s="3137"/>
      <c r="H25" s="3138"/>
      <c r="I25" s="3139">
        <f>'Mủ BN D40'!AI22</f>
        <v>109</v>
      </c>
      <c r="J25" s="3139">
        <f t="shared" si="1"/>
        <v>43.6</v>
      </c>
      <c r="K25" s="3139" t="s">
        <v>92</v>
      </c>
      <c r="L25" s="3140">
        <f t="shared" si="2"/>
        <v>183438.10559999998</v>
      </c>
      <c r="M25" s="3141"/>
      <c r="N25" s="3141"/>
      <c r="O25" s="3141"/>
      <c r="P25" s="3141"/>
      <c r="Q25" s="3142"/>
      <c r="R25" s="3142"/>
    </row>
    <row r="26" spans="1:20" s="2063" customFormat="1" ht="22.5">
      <c r="A26" s="3133">
        <v>9</v>
      </c>
      <c r="B26" s="3134"/>
      <c r="C26" s="3209" t="str">
        <f>'Mủ BN D40'!C23</f>
        <v>Thảo khên</v>
      </c>
      <c r="D26" s="3135"/>
      <c r="E26" s="3136" t="s">
        <v>40</v>
      </c>
      <c r="F26" s="3136"/>
      <c r="G26" s="3137" t="e">
        <f>+VLOOKUP(C26,'[15]Tong hop cong'!C14:P14,14,0)</f>
        <v>#N/A</v>
      </c>
      <c r="H26" s="3138" t="e">
        <f t="shared" si="0"/>
        <v>#N/A</v>
      </c>
      <c r="I26" s="3139">
        <f>'Mủ BN D40'!AI23</f>
        <v>328</v>
      </c>
      <c r="J26" s="3139">
        <f t="shared" si="1"/>
        <v>131.20000000000002</v>
      </c>
      <c r="K26" s="3139" t="s">
        <v>52</v>
      </c>
      <c r="L26" s="3140">
        <f t="shared" si="2"/>
        <v>577872.10559999989</v>
      </c>
      <c r="M26" s="3141" t="e">
        <f>+VLOOKUP(C26,'[15]Tong hop cong'!C14:T21,18,0)</f>
        <v>#N/A</v>
      </c>
      <c r="N26" s="3141" t="e">
        <f>+VLOOKUP(C26,'[15]Tong hop cong'!C14:U20,19,0)</f>
        <v>#N/A</v>
      </c>
      <c r="O26" s="3141"/>
      <c r="P26" s="3141"/>
      <c r="Q26" s="3142" t="e">
        <f>((M26*(46.1*$E$12))+(N26*(76.9*$E$12))+(O26*(76.8*$E$12))+(P26*(107.6*$E$12)))+((M26*#REF!)+(N26*#REF!)+(O26*#REF!)+(P26*#REF!))</f>
        <v>#N/A</v>
      </c>
      <c r="R26" s="3142"/>
      <c r="T26" s="2063">
        <v>48.808837387473659</v>
      </c>
    </row>
    <row r="27" spans="1:20" s="2063" customFormat="1" ht="22.5">
      <c r="A27" s="3133">
        <v>10</v>
      </c>
      <c r="B27" s="3134"/>
      <c r="C27" s="3209" t="str">
        <f>'Mủ BN D40'!C24</f>
        <v>Thảo khon</v>
      </c>
      <c r="D27" s="3135"/>
      <c r="E27" s="3136"/>
      <c r="F27" s="3136"/>
      <c r="G27" s="3137"/>
      <c r="H27" s="3138"/>
      <c r="I27" s="3139">
        <f>'Mủ BN D40'!AI24</f>
        <v>226</v>
      </c>
      <c r="J27" s="3139">
        <f t="shared" si="1"/>
        <v>90.4</v>
      </c>
      <c r="K27" s="3139" t="s">
        <v>52</v>
      </c>
      <c r="L27" s="3140">
        <f t="shared" si="2"/>
        <v>398167.97519999993</v>
      </c>
      <c r="M27" s="3141"/>
      <c r="N27" s="3141"/>
      <c r="O27" s="3141"/>
      <c r="P27" s="3141"/>
      <c r="Q27" s="3142"/>
      <c r="R27" s="3142"/>
    </row>
    <row r="28" spans="1:20" s="2063" customFormat="1" ht="22.5">
      <c r="A28" s="3133">
        <v>11</v>
      </c>
      <c r="B28" s="3134"/>
      <c r="C28" s="3209" t="str">
        <f>'Mủ BN D40'!C25</f>
        <v>Thảo nga</v>
      </c>
      <c r="D28" s="3135"/>
      <c r="E28" s="3136"/>
      <c r="F28" s="3136"/>
      <c r="G28" s="3137"/>
      <c r="H28" s="3138"/>
      <c r="I28" s="3139">
        <f>'Mủ BN D40'!AI25</f>
        <v>150</v>
      </c>
      <c r="J28" s="3139">
        <f t="shared" si="1"/>
        <v>60</v>
      </c>
      <c r="K28" s="3139" t="s">
        <v>92</v>
      </c>
      <c r="L28" s="3140">
        <f t="shared" si="2"/>
        <v>252437.75999999995</v>
      </c>
      <c r="M28" s="3141"/>
      <c r="N28" s="3141"/>
      <c r="O28" s="3141"/>
      <c r="P28" s="3141"/>
      <c r="Q28" s="3142"/>
      <c r="R28" s="3142"/>
    </row>
    <row r="29" spans="1:20" s="2063" customFormat="1" ht="22.5">
      <c r="A29" s="3133">
        <v>15</v>
      </c>
      <c r="B29" s="3134"/>
      <c r="C29" s="3209" t="str">
        <f>'Mủ BN D40'!C26</f>
        <v>Thảo lăm ma</v>
      </c>
      <c r="D29" s="3135"/>
      <c r="E29" s="3136"/>
      <c r="F29" s="3136"/>
      <c r="G29" s="3137"/>
      <c r="H29" s="3138"/>
      <c r="I29" s="3139">
        <f>'Mủ BN D40'!AI26</f>
        <v>0</v>
      </c>
      <c r="J29" s="3139">
        <f>I29*T26/100</f>
        <v>0</v>
      </c>
      <c r="K29" s="3139" t="s">
        <v>52</v>
      </c>
      <c r="L29" s="3140">
        <f t="shared" ref="L29" si="4">IF(K29="A",(J29*((6.1+0.6)*$E$12)),IF(K29="B",(J29*((5.8+0.6)*$E$12)),IF(K29="C",(J29*((5.5+0.6)*$E$12)),IF(K29="D",(J29*((5.2+0.6)*$E$12)),0))))</f>
        <v>0</v>
      </c>
      <c r="M29" s="3141"/>
      <c r="N29" s="3141"/>
      <c r="O29" s="3141"/>
      <c r="P29" s="3141"/>
      <c r="Q29" s="3142"/>
      <c r="R29" s="3142"/>
    </row>
    <row r="30" spans="1:20" s="3150" customFormat="1">
      <c r="A30" s="4018" t="s">
        <v>688</v>
      </c>
      <c r="B30" s="4018"/>
      <c r="C30" s="4018"/>
      <c r="D30" s="4018"/>
      <c r="E30" s="4018"/>
      <c r="F30" s="3146"/>
      <c r="G30" s="3147" t="e">
        <f t="shared" ref="G30:Q30" si="5">SUM(G15:G26)</f>
        <v>#N/A</v>
      </c>
      <c r="H30" s="3147" t="e">
        <f t="shared" si="5"/>
        <v>#N/A</v>
      </c>
      <c r="I30" s="3148">
        <f>SUM(I15:I29)</f>
        <v>2735</v>
      </c>
      <c r="J30" s="3148">
        <f>SUM(J15:J29)</f>
        <v>1094</v>
      </c>
      <c r="K30" s="3148"/>
      <c r="L30" s="3148">
        <f>SUM(L15:L29)</f>
        <v>4720954.2503999993</v>
      </c>
      <c r="M30" s="3147" t="e">
        <f t="shared" si="5"/>
        <v>#N/A</v>
      </c>
      <c r="N30" s="3147" t="e">
        <f t="shared" si="5"/>
        <v>#N/A</v>
      </c>
      <c r="O30" s="3147">
        <f t="shared" si="5"/>
        <v>0</v>
      </c>
      <c r="P30" s="3147">
        <f t="shared" si="5"/>
        <v>0</v>
      </c>
      <c r="Q30" s="3147" t="e">
        <f t="shared" si="5"/>
        <v>#REF!</v>
      </c>
      <c r="R30" s="3147"/>
      <c r="S30" s="3149"/>
    </row>
    <row r="31" spans="1:20" s="3118" customFormat="1">
      <c r="A31" s="3942" t="s">
        <v>1570</v>
      </c>
      <c r="B31" s="3942"/>
      <c r="C31" s="3942"/>
      <c r="D31" s="3942"/>
      <c r="E31" s="3942"/>
      <c r="F31" s="3942"/>
      <c r="G31" s="3942"/>
      <c r="H31" s="3942"/>
      <c r="I31" s="3942"/>
      <c r="J31" s="3942"/>
      <c r="K31" s="3942"/>
      <c r="L31" s="3942"/>
      <c r="M31" s="3942"/>
      <c r="N31" s="3942"/>
      <c r="O31" s="3942"/>
      <c r="P31" s="3942"/>
      <c r="Q31" s="3942"/>
      <c r="R31" s="3942"/>
    </row>
    <row r="32" spans="1:20">
      <c r="L32" s="4011" t="s">
        <v>1561</v>
      </c>
      <c r="M32" s="4011"/>
      <c r="N32" s="4011"/>
      <c r="O32" s="4011"/>
      <c r="P32" s="4011"/>
      <c r="Q32" s="4011"/>
      <c r="R32" s="4011"/>
      <c r="S32" s="3154"/>
    </row>
    <row r="33" spans="1:18" s="3155" customFormat="1">
      <c r="A33" s="3155" t="s">
        <v>46</v>
      </c>
      <c r="F33" s="3156" t="s">
        <v>45</v>
      </c>
      <c r="J33" s="3155" t="s">
        <v>44</v>
      </c>
      <c r="L33" s="4007" t="s">
        <v>615</v>
      </c>
      <c r="M33" s="4007"/>
      <c r="N33" s="4007"/>
      <c r="O33" s="4007"/>
      <c r="P33" s="4007"/>
      <c r="Q33" s="4007"/>
      <c r="R33" s="4007"/>
    </row>
    <row r="34" spans="1:18">
      <c r="A34" s="3115"/>
      <c r="C34" s="3157"/>
      <c r="D34" s="3157"/>
      <c r="G34" s="3158"/>
      <c r="H34" s="3159"/>
      <c r="I34" s="3159"/>
      <c r="J34" s="3160"/>
      <c r="K34" s="3122"/>
      <c r="L34" s="3161"/>
      <c r="M34" s="3157"/>
      <c r="N34" s="3157"/>
      <c r="O34" s="3157"/>
      <c r="P34" s="3157"/>
      <c r="Q34" s="3162"/>
    </row>
    <row r="35" spans="1:18">
      <c r="A35" s="3115"/>
      <c r="C35" s="3115"/>
      <c r="D35" s="3115"/>
      <c r="G35" s="3158"/>
      <c r="K35" s="3122"/>
      <c r="L35" s="3157"/>
      <c r="N35" s="3163"/>
      <c r="P35" s="3163"/>
      <c r="Q35" s="3157"/>
    </row>
    <row r="36" spans="1:18">
      <c r="A36" s="3115"/>
      <c r="C36" s="3115"/>
      <c r="D36" s="3115"/>
      <c r="E36" s="3154"/>
      <c r="F36" s="3154"/>
      <c r="G36" s="3164"/>
      <c r="K36" s="3122"/>
      <c r="L36" s="4008"/>
      <c r="M36" s="4008"/>
    </row>
    <row r="37" spans="1:18">
      <c r="A37" s="3115"/>
      <c r="C37" s="3115"/>
      <c r="D37" s="3115"/>
      <c r="E37" s="3154"/>
      <c r="F37" s="3154"/>
      <c r="G37" s="3164"/>
      <c r="K37" s="3122"/>
      <c r="L37" s="3165"/>
      <c r="M37" s="3165"/>
      <c r="O37" s="3165"/>
    </row>
    <row r="38" spans="1:18">
      <c r="A38" s="3115"/>
      <c r="C38" s="3115"/>
      <c r="D38" s="3115"/>
      <c r="G38" s="3166"/>
      <c r="K38" s="3122"/>
      <c r="L38" s="3115"/>
      <c r="M38" s="3167"/>
      <c r="N38" s="4009"/>
      <c r="O38" s="4009"/>
      <c r="P38" s="4009"/>
      <c r="Q38" s="4009"/>
    </row>
    <row r="39" spans="1:18">
      <c r="A39" s="3115"/>
      <c r="C39" s="3115"/>
      <c r="D39" s="3115"/>
      <c r="E39" s="3168"/>
      <c r="F39" s="3168"/>
      <c r="G39" s="3169"/>
      <c r="H39" s="3164"/>
      <c r="I39" s="3164"/>
      <c r="J39" s="4010"/>
      <c r="K39" s="4010"/>
      <c r="L39" s="4010"/>
      <c r="M39" s="4010"/>
      <c r="N39" s="4010"/>
      <c r="O39" s="4010"/>
      <c r="P39" s="4010"/>
      <c r="Q39" s="4010"/>
      <c r="R39" s="4010"/>
    </row>
    <row r="40" spans="1:18" s="3170" customFormat="1" ht="17.25">
      <c r="G40" s="3171"/>
      <c r="H40" s="3172"/>
      <c r="I40" s="3172"/>
      <c r="J40" s="3173"/>
      <c r="K40" s="3174"/>
      <c r="L40" s="3175"/>
      <c r="M40" s="3176"/>
      <c r="N40" s="3176"/>
      <c r="O40" s="3176"/>
      <c r="P40" s="3176"/>
    </row>
    <row r="41" spans="1:18">
      <c r="E41" s="3177"/>
      <c r="F41" s="3177"/>
      <c r="R41" s="3154"/>
    </row>
    <row r="42" spans="1:18">
      <c r="A42" s="3178"/>
      <c r="M42" s="3160"/>
      <c r="N42" s="3160"/>
      <c r="O42" s="3160"/>
      <c r="P42" s="3160"/>
      <c r="Q42" s="3160"/>
      <c r="R42" s="3165"/>
    </row>
    <row r="43" spans="1:18">
      <c r="A43" s="3179"/>
      <c r="N43" s="3164"/>
      <c r="P43" s="3164"/>
      <c r="Q43" s="3154"/>
    </row>
    <row r="44" spans="1:18">
      <c r="A44" s="3179"/>
      <c r="Q44" s="3177"/>
    </row>
    <row r="45" spans="1:18">
      <c r="L45" s="3180"/>
    </row>
  </sheetData>
  <mergeCells count="25">
    <mergeCell ref="A9:R9"/>
    <mergeCell ref="A1:R1"/>
    <mergeCell ref="A2:R2"/>
    <mergeCell ref="A3:R3"/>
    <mergeCell ref="A4:G4"/>
    <mergeCell ref="A5:G5"/>
    <mergeCell ref="L32:R32"/>
    <mergeCell ref="E10:G10"/>
    <mergeCell ref="E12:G12"/>
    <mergeCell ref="A13:A14"/>
    <mergeCell ref="C13:C14"/>
    <mergeCell ref="D13:D14"/>
    <mergeCell ref="E13:E14"/>
    <mergeCell ref="F13:F14"/>
    <mergeCell ref="G13:H13"/>
    <mergeCell ref="I13:L13"/>
    <mergeCell ref="M13:Q13"/>
    <mergeCell ref="R13:R14"/>
    <mergeCell ref="A30:E30"/>
    <mergeCell ref="A31:R31"/>
    <mergeCell ref="L33:R33"/>
    <mergeCell ref="L36:M36"/>
    <mergeCell ref="N38:Q38"/>
    <mergeCell ref="J39:M39"/>
    <mergeCell ref="N39:R39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45"/>
  <sheetViews>
    <sheetView zoomScale="85" zoomScaleNormal="85" workbookViewId="0">
      <selection activeCell="M33" sqref="M33"/>
    </sheetView>
  </sheetViews>
  <sheetFormatPr defaultColWidth="9.375" defaultRowHeight="16.5"/>
  <cols>
    <col min="1" max="1" width="6.125" style="156" customWidth="1"/>
    <col min="2" max="2" width="5.375" style="156" hidden="1" customWidth="1"/>
    <col min="3" max="3" width="21.625" style="1746" customWidth="1"/>
    <col min="4" max="4" width="8.375" style="156" hidden="1" customWidth="1"/>
    <col min="5" max="5" width="12.625" style="1746" hidden="1" customWidth="1"/>
    <col min="6" max="6" width="13.25" style="156" customWidth="1"/>
    <col min="7" max="7" width="13" style="156" customWidth="1"/>
    <col min="8" max="8" width="11.75" style="156" customWidth="1"/>
    <col min="9" max="9" width="5.625" style="156" hidden="1" customWidth="1"/>
    <col min="10" max="10" width="15.375" style="1747" customWidth="1"/>
    <col min="11" max="11" width="19" style="156" hidden="1" customWidth="1"/>
    <col min="12" max="12" width="16.125" style="156" hidden="1" customWidth="1"/>
    <col min="13" max="13" width="13.875" style="156" customWidth="1"/>
    <col min="14" max="15" width="16.125" style="156" hidden="1" customWidth="1"/>
    <col min="16" max="16" width="16.125" style="156" customWidth="1"/>
    <col min="17" max="17" width="0.125" style="156" hidden="1" customWidth="1"/>
    <col min="18" max="18" width="16.375" style="156" customWidth="1"/>
    <col min="19" max="19" width="9.75" style="156" hidden="1" customWidth="1"/>
    <col min="20" max="20" width="13.75" style="156" hidden="1" customWidth="1"/>
    <col min="21" max="21" width="16.75" style="156" customWidth="1"/>
    <col min="22" max="22" width="19.25" style="156" bestFit="1" customWidth="1"/>
    <col min="23" max="23" width="13.375" style="156" customWidth="1"/>
    <col min="24" max="24" width="18.25" style="156" customWidth="1"/>
    <col min="25" max="25" width="16.125" style="156" customWidth="1"/>
    <col min="26" max="26" width="16.25" style="156" bestFit="1" customWidth="1"/>
    <col min="27" max="27" width="14.625" style="156" customWidth="1"/>
    <col min="28" max="28" width="15" style="156" customWidth="1"/>
    <col min="29" max="29" width="20.25" style="156" customWidth="1"/>
    <col min="30" max="16384" width="9.375" style="156"/>
  </cols>
  <sheetData>
    <row r="1" spans="1:28">
      <c r="A1" s="3666" t="s">
        <v>165</v>
      </c>
      <c r="B1" s="3666"/>
      <c r="C1" s="3666"/>
      <c r="D1" s="3666"/>
      <c r="E1" s="3666"/>
      <c r="F1" s="3666"/>
      <c r="G1" s="3666"/>
      <c r="H1" s="3666"/>
      <c r="I1" s="3666"/>
      <c r="J1" s="3666"/>
      <c r="K1" s="3666"/>
      <c r="L1" s="3666"/>
      <c r="M1" s="3666"/>
      <c r="N1" s="3666"/>
      <c r="O1" s="3666"/>
      <c r="P1" s="3666"/>
      <c r="Q1" s="3666"/>
      <c r="R1" s="3666"/>
      <c r="S1" s="3666"/>
      <c r="T1" s="3666"/>
      <c r="U1" s="3666"/>
    </row>
    <row r="2" spans="1:28">
      <c r="A2" s="3666" t="s">
        <v>171</v>
      </c>
      <c r="B2" s="3666"/>
      <c r="C2" s="3666"/>
      <c r="D2" s="3666"/>
      <c r="E2" s="3666"/>
      <c r="F2" s="3666"/>
      <c r="G2" s="3666"/>
      <c r="H2" s="3666"/>
      <c r="I2" s="3666"/>
      <c r="J2" s="3666"/>
      <c r="K2" s="3666"/>
      <c r="L2" s="3666"/>
      <c r="M2" s="3666"/>
      <c r="N2" s="3666"/>
      <c r="O2" s="3666"/>
      <c r="P2" s="3666"/>
      <c r="Q2" s="3666"/>
      <c r="R2" s="3666"/>
      <c r="S2" s="3666"/>
      <c r="T2" s="3666"/>
      <c r="U2" s="3666"/>
    </row>
    <row r="3" spans="1:28">
      <c r="A3" s="4026" t="s">
        <v>1166</v>
      </c>
      <c r="B3" s="3670"/>
      <c r="C3" s="3670"/>
      <c r="D3" s="3670"/>
      <c r="E3" s="3670"/>
      <c r="F3" s="3670"/>
      <c r="G3" s="3670"/>
      <c r="H3" s="3670"/>
      <c r="I3" s="3670"/>
      <c r="J3" s="3670"/>
      <c r="K3" s="3670"/>
      <c r="L3" s="3670"/>
      <c r="M3" s="3670"/>
      <c r="N3" s="3670"/>
      <c r="O3" s="3670"/>
      <c r="P3" s="3670"/>
      <c r="Q3" s="3670"/>
      <c r="R3" s="3670"/>
      <c r="S3" s="3670"/>
      <c r="T3" s="3670"/>
      <c r="U3" s="3670"/>
    </row>
    <row r="4" spans="1:28" ht="16.5" customHeight="1">
      <c r="A4" s="3670" t="s">
        <v>574</v>
      </c>
      <c r="B4" s="3670"/>
      <c r="C4" s="3670"/>
      <c r="D4" s="3670"/>
      <c r="E4" s="3670"/>
      <c r="F4" s="3670"/>
      <c r="G4" s="3670"/>
      <c r="H4" s="1535"/>
      <c r="I4" s="1535"/>
      <c r="J4" s="1535"/>
    </row>
    <row r="5" spans="1:28" ht="17.25" customHeight="1">
      <c r="A5" s="3666" t="s">
        <v>541</v>
      </c>
      <c r="B5" s="3666"/>
      <c r="C5" s="3666"/>
      <c r="D5" s="3666"/>
      <c r="E5" s="3666"/>
      <c r="F5" s="3666"/>
      <c r="G5" s="3666"/>
      <c r="H5" s="1536"/>
      <c r="I5" s="1536"/>
      <c r="J5" s="1536"/>
    </row>
    <row r="6" spans="1:28" ht="18" customHeight="1">
      <c r="A6" s="1745"/>
      <c r="B6" s="1745"/>
      <c r="C6" s="1745"/>
      <c r="D6" s="1745"/>
      <c r="E6" s="1745"/>
      <c r="F6" s="2000"/>
      <c r="G6" s="1745"/>
      <c r="H6" s="1745"/>
      <c r="I6" s="1745"/>
      <c r="J6" s="1745"/>
      <c r="K6" s="1745"/>
      <c r="L6" s="1745"/>
      <c r="M6" s="2162"/>
      <c r="N6" s="2162"/>
      <c r="O6" s="2162"/>
      <c r="P6" s="1745"/>
      <c r="Q6" s="1745"/>
      <c r="R6" s="1745"/>
      <c r="S6" s="1745"/>
      <c r="T6" s="1745"/>
      <c r="U6" s="1745"/>
    </row>
    <row r="7" spans="1:28" ht="25.5">
      <c r="A7" s="4025" t="s">
        <v>1787</v>
      </c>
      <c r="B7" s="4025"/>
      <c r="C7" s="4025"/>
      <c r="D7" s="4025"/>
      <c r="E7" s="4025"/>
      <c r="F7" s="4025"/>
      <c r="G7" s="4025"/>
      <c r="H7" s="4025"/>
      <c r="I7" s="4025"/>
      <c r="J7" s="4025"/>
      <c r="K7" s="4025"/>
      <c r="L7" s="4025"/>
      <c r="M7" s="4025"/>
      <c r="N7" s="4025"/>
      <c r="O7" s="4025"/>
      <c r="P7" s="4025"/>
      <c r="Q7" s="4025"/>
      <c r="R7" s="4025"/>
      <c r="S7" s="4025"/>
      <c r="T7" s="4025"/>
      <c r="U7" s="4025"/>
    </row>
    <row r="8" spans="1:28" ht="21" customHeight="1">
      <c r="C8" s="2057" t="s">
        <v>848</v>
      </c>
      <c r="D8" s="2058"/>
      <c r="E8" s="2059"/>
      <c r="F8" s="2060"/>
      <c r="G8" s="2059">
        <v>0.98939999999999995</v>
      </c>
    </row>
    <row r="9" spans="1:28" ht="19.5" customHeight="1">
      <c r="C9" s="2057" t="s">
        <v>894</v>
      </c>
      <c r="D9" s="2058"/>
      <c r="E9" s="2061"/>
      <c r="F9" s="2061"/>
      <c r="G9" s="2061">
        <v>670.65</v>
      </c>
      <c r="U9" s="2102" t="s">
        <v>1157</v>
      </c>
    </row>
    <row r="10" spans="1:28" ht="15" customHeight="1">
      <c r="A10" s="3802" t="s">
        <v>1</v>
      </c>
      <c r="B10" s="3802" t="s">
        <v>20</v>
      </c>
      <c r="C10" s="3802"/>
      <c r="D10" s="2051"/>
      <c r="E10" s="3802" t="s">
        <v>5</v>
      </c>
      <c r="F10" s="4029" t="s">
        <v>17</v>
      </c>
      <c r="G10" s="3802" t="s">
        <v>6</v>
      </c>
      <c r="H10" s="3802"/>
      <c r="I10" s="3802"/>
      <c r="J10" s="3802"/>
      <c r="K10" s="3802"/>
      <c r="L10" s="3802"/>
      <c r="M10" s="3819" t="s">
        <v>1173</v>
      </c>
      <c r="N10" s="2163"/>
      <c r="O10" s="2163"/>
      <c r="P10" s="3802" t="s">
        <v>233</v>
      </c>
      <c r="Q10" s="3802" t="s">
        <v>8</v>
      </c>
      <c r="R10" s="4029" t="s">
        <v>1158</v>
      </c>
      <c r="S10" s="4029" t="s">
        <v>11</v>
      </c>
      <c r="T10" s="4029" t="s">
        <v>12</v>
      </c>
      <c r="U10" s="4029" t="s">
        <v>16</v>
      </c>
    </row>
    <row r="11" spans="1:28" ht="66.75" customHeight="1">
      <c r="A11" s="3802"/>
      <c r="B11" s="3802"/>
      <c r="C11" s="3802"/>
      <c r="D11" s="2051" t="s">
        <v>239</v>
      </c>
      <c r="E11" s="3802"/>
      <c r="F11" s="3802"/>
      <c r="G11" s="2052" t="s">
        <v>50</v>
      </c>
      <c r="H11" s="2052" t="s">
        <v>707</v>
      </c>
      <c r="I11" s="2052" t="s">
        <v>799</v>
      </c>
      <c r="J11" s="800" t="s">
        <v>15</v>
      </c>
      <c r="K11" s="2052" t="s">
        <v>56</v>
      </c>
      <c r="L11" s="2052" t="s">
        <v>57</v>
      </c>
      <c r="M11" s="3820"/>
      <c r="N11" s="2164"/>
      <c r="O11" s="2164"/>
      <c r="P11" s="3802"/>
      <c r="Q11" s="3802"/>
      <c r="R11" s="4029"/>
      <c r="S11" s="3802"/>
      <c r="T11" s="3802"/>
      <c r="U11" s="3802"/>
      <c r="AB11" s="798">
        <f>20*100</f>
        <v>2000</v>
      </c>
    </row>
    <row r="12" spans="1:28" s="801" customFormat="1" ht="15.75" customHeight="1">
      <c r="A12" s="2469" t="s">
        <v>606</v>
      </c>
      <c r="B12" s="2051">
        <v>2</v>
      </c>
      <c r="C12" s="2469" t="s">
        <v>607</v>
      </c>
      <c r="D12" s="2051">
        <v>4</v>
      </c>
      <c r="E12" s="2051">
        <v>5</v>
      </c>
      <c r="F12" s="2469" t="s">
        <v>608</v>
      </c>
      <c r="G12" s="2469" t="s">
        <v>609</v>
      </c>
      <c r="H12" s="2469" t="s">
        <v>610</v>
      </c>
      <c r="I12" s="2051"/>
      <c r="J12" s="2469" t="s">
        <v>611</v>
      </c>
      <c r="K12" s="2051">
        <v>11</v>
      </c>
      <c r="L12" s="2051">
        <v>12</v>
      </c>
      <c r="M12" s="2469" t="s">
        <v>635</v>
      </c>
      <c r="N12" s="2163"/>
      <c r="O12" s="2163"/>
      <c r="P12" s="2469" t="s">
        <v>692</v>
      </c>
      <c r="Q12" s="2051">
        <v>14</v>
      </c>
      <c r="R12" s="2469" t="s">
        <v>636</v>
      </c>
      <c r="S12" s="2051">
        <v>17</v>
      </c>
      <c r="T12" s="2051">
        <v>18</v>
      </c>
      <c r="U12" s="2469" t="s">
        <v>637</v>
      </c>
    </row>
    <row r="13" spans="1:28" s="807" customFormat="1" ht="22.5" customHeight="1">
      <c r="A13" s="808">
        <v>1</v>
      </c>
      <c r="B13" s="811" t="s">
        <v>197</v>
      </c>
      <c r="C13" s="811" t="str">
        <f>'CHẤM CÔNG BV'!B12</f>
        <v>Phò Đan</v>
      </c>
      <c r="D13" s="2056"/>
      <c r="E13" s="808" t="s">
        <v>258</v>
      </c>
      <c r="F13" s="805"/>
      <c r="G13" s="1992">
        <f>'CHẤM CÔNG BV'!AI12</f>
        <v>31</v>
      </c>
      <c r="H13" s="1992">
        <f>J13/G13</f>
        <v>64516.129032258068</v>
      </c>
      <c r="I13" s="1083"/>
      <c r="J13" s="1993">
        <v>2000000</v>
      </c>
      <c r="K13" s="1992"/>
      <c r="L13" s="1992"/>
      <c r="M13" s="1992">
        <v>600000</v>
      </c>
      <c r="N13" s="1992"/>
      <c r="O13" s="1992"/>
      <c r="P13" s="1992">
        <f>SUM(J13:M13)</f>
        <v>2600000</v>
      </c>
      <c r="Q13" s="1992"/>
      <c r="R13" s="1992">
        <f>P13</f>
        <v>2600000</v>
      </c>
      <c r="S13" s="1992"/>
      <c r="T13" s="1992"/>
      <c r="U13" s="1992">
        <f>R13</f>
        <v>2600000</v>
      </c>
      <c r="V13" s="900"/>
      <c r="AA13" s="807">
        <f>900-600</f>
        <v>300</v>
      </c>
    </row>
    <row r="14" spans="1:28" s="807" customFormat="1" ht="22.5" customHeight="1">
      <c r="A14" s="808">
        <v>2</v>
      </c>
      <c r="B14" s="805"/>
      <c r="C14" s="811" t="str">
        <f>'CHẤM CÔNG BV'!B13</f>
        <v>Sâm Say</v>
      </c>
      <c r="D14" s="805"/>
      <c r="E14" s="808" t="s">
        <v>258</v>
      </c>
      <c r="F14" s="805"/>
      <c r="G14" s="1992">
        <f>'CHẤM CÔNG BV'!AI13</f>
        <v>31</v>
      </c>
      <c r="H14" s="1992">
        <f>J14/G14</f>
        <v>64516.129032258068</v>
      </c>
      <c r="I14" s="1083"/>
      <c r="J14" s="1993">
        <v>2000000</v>
      </c>
      <c r="K14" s="1992"/>
      <c r="L14" s="1992"/>
      <c r="M14" s="1992">
        <v>600000</v>
      </c>
      <c r="N14" s="1992"/>
      <c r="O14" s="1992"/>
      <c r="P14" s="1992">
        <f t="shared" ref="P14:P25" si="0">SUM(J14:M14)</f>
        <v>2600000</v>
      </c>
      <c r="Q14" s="1992"/>
      <c r="R14" s="1992">
        <f t="shared" ref="R14:R25" si="1">P14</f>
        <v>2600000</v>
      </c>
      <c r="S14" s="1992"/>
      <c r="T14" s="1992"/>
      <c r="U14" s="1992">
        <f>R14</f>
        <v>2600000</v>
      </c>
    </row>
    <row r="15" spans="1:28" s="807" customFormat="1" ht="22.5" customHeight="1">
      <c r="A15" s="808">
        <v>3</v>
      </c>
      <c r="B15" s="805"/>
      <c r="C15" s="811" t="str">
        <f>'CHẤM CÔNG BV'!B14</f>
        <v>Thảo Chanh</v>
      </c>
      <c r="D15" s="805"/>
      <c r="E15" s="808" t="s">
        <v>258</v>
      </c>
      <c r="F15" s="805"/>
      <c r="G15" s="1992">
        <f>'CHẤM CÔNG BV'!AI14</f>
        <v>31</v>
      </c>
      <c r="H15" s="1992">
        <f>J15/G15</f>
        <v>64516.129032258068</v>
      </c>
      <c r="I15" s="1083"/>
      <c r="J15" s="1993">
        <v>2000000</v>
      </c>
      <c r="K15" s="1992"/>
      <c r="L15" s="1992"/>
      <c r="M15" s="1992">
        <v>600000</v>
      </c>
      <c r="N15" s="1992"/>
      <c r="O15" s="1992"/>
      <c r="P15" s="1992">
        <f t="shared" si="0"/>
        <v>2600000</v>
      </c>
      <c r="Q15" s="1992"/>
      <c r="R15" s="1992">
        <f t="shared" si="1"/>
        <v>2600000</v>
      </c>
      <c r="S15" s="1992"/>
      <c r="T15" s="1992"/>
      <c r="U15" s="1992">
        <f>P15</f>
        <v>2600000</v>
      </c>
      <c r="Y15" s="806"/>
    </row>
    <row r="16" spans="1:28" s="807" customFormat="1" ht="22.5" customHeight="1">
      <c r="A16" s="808">
        <v>4</v>
      </c>
      <c r="B16" s="805"/>
      <c r="C16" s="811" t="str">
        <f>'CHẤM CÔNG BV'!B15</f>
        <v>Phò Viu</v>
      </c>
      <c r="D16" s="805"/>
      <c r="E16" s="808" t="s">
        <v>258</v>
      </c>
      <c r="F16" s="805"/>
      <c r="G16" s="1992">
        <f>'CHẤM CÔNG BV'!AI15</f>
        <v>31</v>
      </c>
      <c r="H16" s="1992">
        <f>J16/G16</f>
        <v>64516.129032258068</v>
      </c>
      <c r="I16" s="1083"/>
      <c r="J16" s="1993">
        <v>2000000</v>
      </c>
      <c r="K16" s="1992"/>
      <c r="L16" s="1992"/>
      <c r="M16" s="1992">
        <v>600000</v>
      </c>
      <c r="N16" s="1992"/>
      <c r="O16" s="1992"/>
      <c r="P16" s="1992">
        <f t="shared" si="0"/>
        <v>2600000</v>
      </c>
      <c r="Q16" s="1992"/>
      <c r="R16" s="1992">
        <f t="shared" si="1"/>
        <v>2600000</v>
      </c>
      <c r="S16" s="1992"/>
      <c r="T16" s="1992"/>
      <c r="U16" s="1992">
        <f>P16</f>
        <v>2600000</v>
      </c>
      <c r="Y16" s="806"/>
    </row>
    <row r="17" spans="1:29" s="3617" customFormat="1" ht="22.5" customHeight="1">
      <c r="A17" s="3133">
        <v>5</v>
      </c>
      <c r="B17" s="3616"/>
      <c r="C17" s="3136" t="str">
        <f>'CHẤM CÔNG BV'!B16</f>
        <v>Thảo Mi</v>
      </c>
      <c r="D17" s="3616"/>
      <c r="E17" s="3133"/>
      <c r="F17" s="3616"/>
      <c r="G17" s="3615">
        <f>'CHẤM CÔNG BV'!AI16</f>
        <v>29</v>
      </c>
      <c r="H17" s="3615">
        <v>64516.129032258068</v>
      </c>
      <c r="I17" s="2266"/>
      <c r="J17" s="2266">
        <f>G17*H17</f>
        <v>1870967.7419354839</v>
      </c>
      <c r="K17" s="3615"/>
      <c r="L17" s="3615"/>
      <c r="M17" s="3615">
        <f>G17*20000</f>
        <v>580000</v>
      </c>
      <c r="N17" s="3615"/>
      <c r="O17" s="3615"/>
      <c r="P17" s="3615">
        <f t="shared" si="0"/>
        <v>2450967.7419354841</v>
      </c>
      <c r="Q17" s="3615"/>
      <c r="R17" s="3615">
        <f t="shared" si="1"/>
        <v>2450967.7419354841</v>
      </c>
      <c r="S17" s="3615"/>
      <c r="T17" s="3615"/>
      <c r="U17" s="3615">
        <f t="shared" ref="U17:U25" si="2">P17</f>
        <v>2450967.7419354841</v>
      </c>
      <c r="Y17" s="3618"/>
    </row>
    <row r="18" spans="1:29" s="807" customFormat="1" ht="22.5" customHeight="1">
      <c r="A18" s="808">
        <v>6</v>
      </c>
      <c r="B18" s="805"/>
      <c r="C18" s="811" t="str">
        <f>'CHẤM CÔNG BV'!B17</f>
        <v>Thảo Xi</v>
      </c>
      <c r="D18" s="805"/>
      <c r="E18" s="808"/>
      <c r="F18" s="805"/>
      <c r="G18" s="1992">
        <f>'CHẤM CÔNG BV'!AI17</f>
        <v>29</v>
      </c>
      <c r="H18" s="1992">
        <v>64516.129032258068</v>
      </c>
      <c r="I18" s="1083"/>
      <c r="J18" s="2266">
        <f t="shared" ref="J18:J25" si="3">G18*H18</f>
        <v>1870967.7419354839</v>
      </c>
      <c r="K18" s="3615"/>
      <c r="L18" s="3615"/>
      <c r="M18" s="3615">
        <f t="shared" ref="M18:M25" si="4">G18*20000</f>
        <v>580000</v>
      </c>
      <c r="N18" s="3615"/>
      <c r="O18" s="3615"/>
      <c r="P18" s="3615">
        <f t="shared" si="0"/>
        <v>2450967.7419354841</v>
      </c>
      <c r="Q18" s="3615"/>
      <c r="R18" s="3615">
        <f t="shared" si="1"/>
        <v>2450967.7419354841</v>
      </c>
      <c r="S18" s="3615"/>
      <c r="T18" s="3615"/>
      <c r="U18" s="3615">
        <f t="shared" si="2"/>
        <v>2450967.7419354841</v>
      </c>
      <c r="X18" s="807">
        <v>1237.9354838709676</v>
      </c>
      <c r="Y18" s="806"/>
    </row>
    <row r="19" spans="1:29" s="807" customFormat="1" ht="22.5" customHeight="1">
      <c r="A19" s="808">
        <v>7</v>
      </c>
      <c r="B19" s="805"/>
      <c r="C19" s="811" t="str">
        <f>'CHẤM CÔNG BV'!B18</f>
        <v>Thảo Cu Đê</v>
      </c>
      <c r="D19" s="805"/>
      <c r="E19" s="808"/>
      <c r="F19" s="805"/>
      <c r="G19" s="1992">
        <f>'CHẤM CÔNG BV'!AI18</f>
        <v>29</v>
      </c>
      <c r="H19" s="1992">
        <v>64516.129032258068</v>
      </c>
      <c r="I19" s="1083"/>
      <c r="J19" s="2266">
        <f t="shared" si="3"/>
        <v>1870967.7419354839</v>
      </c>
      <c r="K19" s="3615"/>
      <c r="L19" s="3615"/>
      <c r="M19" s="3615">
        <f t="shared" si="4"/>
        <v>580000</v>
      </c>
      <c r="N19" s="3615"/>
      <c r="O19" s="3615"/>
      <c r="P19" s="3615">
        <f t="shared" si="0"/>
        <v>2450967.7419354841</v>
      </c>
      <c r="Q19" s="3615"/>
      <c r="R19" s="3615">
        <f t="shared" si="1"/>
        <v>2450967.7419354841</v>
      </c>
      <c r="S19" s="3615"/>
      <c r="T19" s="3615"/>
      <c r="U19" s="3615">
        <f t="shared" si="2"/>
        <v>2450967.7419354841</v>
      </c>
      <c r="Y19" s="806"/>
    </row>
    <row r="20" spans="1:29" s="807" customFormat="1" ht="22.5" customHeight="1">
      <c r="A20" s="808">
        <v>8</v>
      </c>
      <c r="B20" s="805"/>
      <c r="C20" s="811" t="str">
        <f>'CHẤM CÔNG BV'!B19</f>
        <v>Thảo Đin</v>
      </c>
      <c r="D20" s="805"/>
      <c r="E20" s="808"/>
      <c r="F20" s="805"/>
      <c r="G20" s="1992">
        <f>'CHẤM CÔNG BV'!AI19</f>
        <v>29</v>
      </c>
      <c r="H20" s="1992">
        <v>64516.129032258068</v>
      </c>
      <c r="I20" s="1083"/>
      <c r="J20" s="2266">
        <f t="shared" si="3"/>
        <v>1870967.7419354839</v>
      </c>
      <c r="K20" s="3615"/>
      <c r="L20" s="3615"/>
      <c r="M20" s="3615">
        <f t="shared" si="4"/>
        <v>580000</v>
      </c>
      <c r="N20" s="3615"/>
      <c r="O20" s="3615"/>
      <c r="P20" s="3615">
        <f t="shared" si="0"/>
        <v>2450967.7419354841</v>
      </c>
      <c r="Q20" s="3615"/>
      <c r="R20" s="3615">
        <f t="shared" si="1"/>
        <v>2450967.7419354841</v>
      </c>
      <c r="S20" s="3615"/>
      <c r="T20" s="3615"/>
      <c r="U20" s="3615">
        <f t="shared" si="2"/>
        <v>2450967.7419354841</v>
      </c>
      <c r="X20" s="3614">
        <f>X18*25000</f>
        <v>30948387.096774191</v>
      </c>
      <c r="Y20" s="806"/>
    </row>
    <row r="21" spans="1:29" s="807" customFormat="1" ht="22.5" customHeight="1">
      <c r="A21" s="808">
        <v>9</v>
      </c>
      <c r="B21" s="805"/>
      <c r="C21" s="811" t="str">
        <f>'CHẤM CÔNG BV'!B20</f>
        <v>Thảo Pong</v>
      </c>
      <c r="D21" s="805"/>
      <c r="E21" s="808"/>
      <c r="F21" s="805"/>
      <c r="G21" s="1992">
        <f>'CHẤM CÔNG BV'!AI20</f>
        <v>29</v>
      </c>
      <c r="H21" s="1992">
        <v>64516.129032258068</v>
      </c>
      <c r="I21" s="1083"/>
      <c r="J21" s="2266">
        <f t="shared" si="3"/>
        <v>1870967.7419354839</v>
      </c>
      <c r="K21" s="3615"/>
      <c r="L21" s="3615"/>
      <c r="M21" s="3615">
        <f t="shared" si="4"/>
        <v>580000</v>
      </c>
      <c r="N21" s="3615"/>
      <c r="O21" s="3615"/>
      <c r="P21" s="3615">
        <f t="shared" si="0"/>
        <v>2450967.7419354841</v>
      </c>
      <c r="Q21" s="3615"/>
      <c r="R21" s="3615">
        <f t="shared" si="1"/>
        <v>2450967.7419354841</v>
      </c>
      <c r="S21" s="3615"/>
      <c r="T21" s="3615"/>
      <c r="U21" s="3615">
        <f t="shared" si="2"/>
        <v>2450967.7419354841</v>
      </c>
      <c r="Y21" s="806"/>
    </row>
    <row r="22" spans="1:29" s="807" customFormat="1" ht="22.5" customHeight="1">
      <c r="A22" s="808">
        <v>10</v>
      </c>
      <c r="B22" s="805"/>
      <c r="C22" s="811" t="str">
        <f>'CHẤM CÔNG BV'!B21</f>
        <v>Thảo Mút</v>
      </c>
      <c r="D22" s="805"/>
      <c r="E22" s="808"/>
      <c r="F22" s="805"/>
      <c r="G22" s="1992">
        <f>'CHẤM CÔNG BV'!AI21</f>
        <v>13</v>
      </c>
      <c r="H22" s="1992">
        <v>64516.129032258068</v>
      </c>
      <c r="I22" s="1083"/>
      <c r="J22" s="2266">
        <f t="shared" si="3"/>
        <v>838709.67741935491</v>
      </c>
      <c r="K22" s="3615"/>
      <c r="L22" s="3615"/>
      <c r="M22" s="3615">
        <f t="shared" si="4"/>
        <v>260000</v>
      </c>
      <c r="N22" s="3615"/>
      <c r="O22" s="3615"/>
      <c r="P22" s="3615">
        <f t="shared" si="0"/>
        <v>1098709.6774193549</v>
      </c>
      <c r="Q22" s="3615"/>
      <c r="R22" s="3615">
        <f t="shared" si="1"/>
        <v>1098709.6774193549</v>
      </c>
      <c r="S22" s="3615"/>
      <c r="T22" s="3615"/>
      <c r="U22" s="3615">
        <f t="shared" si="2"/>
        <v>1098709.6774193549</v>
      </c>
      <c r="Y22" s="806"/>
    </row>
    <row r="23" spans="1:29" s="807" customFormat="1" ht="22.5" customHeight="1">
      <c r="A23" s="808">
        <v>11</v>
      </c>
      <c r="B23" s="805"/>
      <c r="C23" s="811" t="str">
        <f>'CHẤM CÔNG BV'!B22</f>
        <v>Thảo Đăm</v>
      </c>
      <c r="D23" s="805"/>
      <c r="E23" s="808"/>
      <c r="F23" s="805"/>
      <c r="G23" s="1992">
        <f>'CHẤM CÔNG BV'!AI22</f>
        <v>29</v>
      </c>
      <c r="H23" s="1992">
        <v>64516.129032258068</v>
      </c>
      <c r="I23" s="1083"/>
      <c r="J23" s="2266">
        <f t="shared" si="3"/>
        <v>1870967.7419354839</v>
      </c>
      <c r="K23" s="3615"/>
      <c r="L23" s="3615"/>
      <c r="M23" s="3615">
        <f t="shared" si="4"/>
        <v>580000</v>
      </c>
      <c r="N23" s="3615"/>
      <c r="O23" s="3615"/>
      <c r="P23" s="3615">
        <f t="shared" si="0"/>
        <v>2450967.7419354841</v>
      </c>
      <c r="Q23" s="3615"/>
      <c r="R23" s="3615">
        <f t="shared" si="1"/>
        <v>2450967.7419354841</v>
      </c>
      <c r="S23" s="3615"/>
      <c r="T23" s="3615"/>
      <c r="U23" s="3615">
        <f t="shared" si="2"/>
        <v>2450967.7419354841</v>
      </c>
      <c r="X23" s="3614">
        <f>2600000/31*29</f>
        <v>2432258.064516129</v>
      </c>
      <c r="Y23" s="806"/>
    </row>
    <row r="24" spans="1:29" s="807" customFormat="1" ht="22.5" customHeight="1">
      <c r="A24" s="808">
        <v>12</v>
      </c>
      <c r="B24" s="805"/>
      <c r="C24" s="811" t="str">
        <f>'CHẤM CÔNG BV'!B23</f>
        <v>Phò Đăm</v>
      </c>
      <c r="D24" s="805"/>
      <c r="E24" s="808"/>
      <c r="F24" s="805"/>
      <c r="G24" s="1992">
        <f>'CHẤM CÔNG BV'!AI23</f>
        <v>29</v>
      </c>
      <c r="H24" s="1992">
        <v>64516.129032258068</v>
      </c>
      <c r="I24" s="1083"/>
      <c r="J24" s="2266">
        <f t="shared" si="3"/>
        <v>1870967.7419354839</v>
      </c>
      <c r="K24" s="3615"/>
      <c r="L24" s="3615"/>
      <c r="M24" s="3615">
        <f t="shared" si="4"/>
        <v>580000</v>
      </c>
      <c r="N24" s="3615"/>
      <c r="O24" s="3615"/>
      <c r="P24" s="3615">
        <f t="shared" si="0"/>
        <v>2450967.7419354841</v>
      </c>
      <c r="Q24" s="3615"/>
      <c r="R24" s="3615">
        <f t="shared" si="1"/>
        <v>2450967.7419354841</v>
      </c>
      <c r="S24" s="3615"/>
      <c r="T24" s="3615"/>
      <c r="U24" s="3615">
        <f t="shared" si="2"/>
        <v>2450967.7419354841</v>
      </c>
      <c r="Y24" s="806"/>
    </row>
    <row r="25" spans="1:29" s="807" customFormat="1" ht="22.5" customHeight="1">
      <c r="A25" s="808">
        <v>13</v>
      </c>
      <c r="B25" s="805"/>
      <c r="C25" s="811" t="str">
        <f>'CHẤM CÔNG BV'!B24</f>
        <v>Thảo Bay</v>
      </c>
      <c r="D25" s="805"/>
      <c r="E25" s="808"/>
      <c r="F25" s="805"/>
      <c r="G25" s="1992">
        <f>'CHẤM CÔNG BV'!AI24</f>
        <v>29</v>
      </c>
      <c r="H25" s="1992">
        <v>64516.129032258068</v>
      </c>
      <c r="I25" s="1083"/>
      <c r="J25" s="2266">
        <f t="shared" si="3"/>
        <v>1870967.7419354839</v>
      </c>
      <c r="K25" s="3615"/>
      <c r="L25" s="3615"/>
      <c r="M25" s="3615">
        <f t="shared" si="4"/>
        <v>580000</v>
      </c>
      <c r="N25" s="3615"/>
      <c r="O25" s="3615"/>
      <c r="P25" s="3615">
        <f t="shared" si="0"/>
        <v>2450967.7419354841</v>
      </c>
      <c r="Q25" s="3615"/>
      <c r="R25" s="3615">
        <f t="shared" si="1"/>
        <v>2450967.7419354841</v>
      </c>
      <c r="S25" s="3615"/>
      <c r="T25" s="3615"/>
      <c r="U25" s="3615">
        <f t="shared" si="2"/>
        <v>2450967.7419354841</v>
      </c>
      <c r="Y25" s="806"/>
    </row>
    <row r="26" spans="1:29" s="807" customFormat="1" ht="22.5" customHeight="1">
      <c r="A26" s="3802" t="s">
        <v>187</v>
      </c>
      <c r="B26" s="3802"/>
      <c r="C26" s="3802"/>
      <c r="D26" s="3802"/>
      <c r="E26" s="3802"/>
      <c r="F26" s="805"/>
      <c r="G26" s="1989">
        <f>SUM(G13:G25)</f>
        <v>369</v>
      </c>
      <c r="H26" s="894"/>
      <c r="I26" s="1990"/>
      <c r="J26" s="1991">
        <f>SUM(J13:J25)</f>
        <v>23806451.612903226</v>
      </c>
      <c r="K26" s="1991">
        <f t="shared" ref="K26:U26" si="5">SUM(K13:K25)</f>
        <v>0</v>
      </c>
      <c r="L26" s="1991">
        <f t="shared" si="5"/>
        <v>0</v>
      </c>
      <c r="M26" s="1991">
        <f t="shared" si="5"/>
        <v>7300000</v>
      </c>
      <c r="N26" s="1991">
        <f t="shared" si="5"/>
        <v>0</v>
      </c>
      <c r="O26" s="1991">
        <f t="shared" si="5"/>
        <v>0</v>
      </c>
      <c r="P26" s="1991">
        <f>SUM(P13:P25)</f>
        <v>31106451.612903226</v>
      </c>
      <c r="Q26" s="1991">
        <f t="shared" si="5"/>
        <v>0</v>
      </c>
      <c r="R26" s="1991">
        <f t="shared" si="5"/>
        <v>31106451.612903226</v>
      </c>
      <c r="S26" s="1991">
        <f t="shared" si="5"/>
        <v>0</v>
      </c>
      <c r="T26" s="1991">
        <f t="shared" si="5"/>
        <v>0</v>
      </c>
      <c r="U26" s="1991">
        <f t="shared" si="5"/>
        <v>31106451.612903226</v>
      </c>
      <c r="Y26" s="806"/>
    </row>
    <row r="27" spans="1:29" ht="27.75" customHeight="1">
      <c r="A27" s="4028" t="s">
        <v>1860</v>
      </c>
      <c r="B27" s="4028"/>
      <c r="C27" s="4028"/>
      <c r="D27" s="4028"/>
      <c r="E27" s="4028"/>
      <c r="F27" s="4028"/>
      <c r="G27" s="4028"/>
      <c r="H27" s="4028"/>
      <c r="I27" s="4028"/>
      <c r="J27" s="4028"/>
      <c r="K27" s="4028"/>
      <c r="L27" s="4028"/>
      <c r="M27" s="4028"/>
      <c r="N27" s="4028"/>
      <c r="O27" s="4028"/>
      <c r="P27" s="4028"/>
      <c r="Q27" s="4028"/>
      <c r="R27" s="4028"/>
      <c r="S27" s="4028"/>
      <c r="T27" s="4028"/>
      <c r="U27" s="4028"/>
      <c r="V27" s="684"/>
      <c r="Y27" s="798"/>
      <c r="AA27" s="895">
        <v>648</v>
      </c>
      <c r="AB27" s="895">
        <v>304</v>
      </c>
      <c r="AC27" s="894">
        <f>+AA27-AB27</f>
        <v>344</v>
      </c>
    </row>
    <row r="28" spans="1:29" ht="18" customHeight="1">
      <c r="A28" s="1748"/>
      <c r="B28" s="1748"/>
      <c r="C28" s="1748"/>
      <c r="D28" s="1748"/>
      <c r="E28" s="1748"/>
      <c r="F28" s="1939"/>
      <c r="G28" s="949"/>
      <c r="H28" s="1748"/>
      <c r="I28" s="1748"/>
      <c r="J28" s="1748"/>
      <c r="K28" s="1748"/>
      <c r="Q28" s="1870"/>
      <c r="R28" s="1870" t="s">
        <v>1783</v>
      </c>
      <c r="S28" s="1870"/>
      <c r="T28" s="1870"/>
      <c r="U28" s="1870"/>
      <c r="W28" s="684"/>
      <c r="Y28" s="798"/>
      <c r="AA28" s="895">
        <v>875</v>
      </c>
      <c r="AB28" s="895">
        <v>395</v>
      </c>
      <c r="AC28" s="894">
        <f>+AA28-AB28</f>
        <v>480</v>
      </c>
    </row>
    <row r="29" spans="1:29" s="1333" customFormat="1" ht="29.25" customHeight="1">
      <c r="A29" s="3750" t="s">
        <v>613</v>
      </c>
      <c r="B29" s="3750"/>
      <c r="C29" s="3750"/>
      <c r="J29" s="1333" t="s">
        <v>257</v>
      </c>
      <c r="R29" s="1333" t="s">
        <v>1107</v>
      </c>
      <c r="Y29" s="1868"/>
      <c r="AA29" s="1869"/>
      <c r="AB29" s="1869"/>
      <c r="AC29" s="894"/>
    </row>
    <row r="31" spans="1:29">
      <c r="F31" s="791"/>
      <c r="P31" s="684"/>
      <c r="W31" s="684"/>
      <c r="AB31" s="156">
        <f>+AA29-AB29</f>
        <v>0</v>
      </c>
    </row>
    <row r="32" spans="1:29">
      <c r="P32" s="798"/>
      <c r="S32" s="684"/>
      <c r="Y32" s="684"/>
    </row>
    <row r="33" spans="3:29">
      <c r="F33" s="684"/>
      <c r="K33" s="684"/>
      <c r="L33" s="684"/>
      <c r="M33" s="684"/>
      <c r="N33" s="684"/>
      <c r="O33" s="684"/>
      <c r="P33" s="684"/>
      <c r="R33" s="684"/>
      <c r="S33" s="684"/>
      <c r="Y33" s="798"/>
      <c r="AB33" s="156">
        <f>100*20</f>
        <v>2000</v>
      </c>
    </row>
    <row r="34" spans="3:29">
      <c r="H34" s="1982"/>
      <c r="I34" s="1747"/>
      <c r="L34" s="157"/>
      <c r="M34" s="157"/>
      <c r="N34" s="157"/>
      <c r="O34" s="157"/>
      <c r="P34" s="684"/>
      <c r="Z34" s="798"/>
      <c r="AB34" s="156">
        <f>100*20</f>
        <v>2000</v>
      </c>
    </row>
    <row r="35" spans="3:29">
      <c r="F35" s="2002"/>
      <c r="H35" s="1981"/>
      <c r="I35" s="1746"/>
      <c r="L35" s="4027"/>
      <c r="M35" s="4027"/>
      <c r="N35" s="4027"/>
      <c r="O35" s="4027"/>
      <c r="P35" s="4027"/>
      <c r="Q35" s="157"/>
      <c r="S35" s="157"/>
      <c r="T35" s="3666"/>
      <c r="U35" s="3666"/>
      <c r="AB35" s="156">
        <f>40*20+200</f>
        <v>1000</v>
      </c>
    </row>
    <row r="36" spans="3:29">
      <c r="H36" s="1981"/>
      <c r="I36" s="1746"/>
      <c r="L36" s="684"/>
      <c r="M36" s="684"/>
      <c r="N36" s="684"/>
      <c r="O36" s="684"/>
    </row>
    <row r="37" spans="3:29">
      <c r="Y37" s="798"/>
    </row>
    <row r="38" spans="3:29" ht="22.5">
      <c r="J38" s="1690"/>
      <c r="K38" s="684"/>
      <c r="Y38" s="798"/>
    </row>
    <row r="39" spans="3:29">
      <c r="K39" s="791"/>
      <c r="Y39" s="814"/>
      <c r="Z39" s="684"/>
      <c r="AA39" s="156">
        <v>3</v>
      </c>
      <c r="AB39" s="156">
        <v>50</v>
      </c>
      <c r="AC39" s="156">
        <f>+AA39*AB39</f>
        <v>150</v>
      </c>
    </row>
    <row r="40" spans="3:29">
      <c r="C40" s="156"/>
      <c r="E40" s="156"/>
      <c r="J40" s="1746"/>
      <c r="L40" s="684"/>
      <c r="M40" s="684"/>
      <c r="N40" s="684"/>
      <c r="O40" s="684"/>
      <c r="Z40" s="814"/>
      <c r="AC40" s="156">
        <v>100</v>
      </c>
    </row>
    <row r="41" spans="3:29">
      <c r="C41" s="156"/>
      <c r="E41" s="156"/>
      <c r="J41" s="1746"/>
      <c r="K41" s="684"/>
      <c r="P41" s="684"/>
      <c r="Y41" s="814"/>
    </row>
    <row r="42" spans="3:29">
      <c r="C42" s="156"/>
      <c r="E42" s="156"/>
      <c r="J42" s="1746"/>
      <c r="K42" s="684"/>
      <c r="R42" s="684"/>
    </row>
    <row r="44" spans="3:29">
      <c r="C44" s="156"/>
      <c r="E44" s="156"/>
      <c r="J44" s="1746"/>
      <c r="P44" s="798"/>
    </row>
    <row r="45" spans="3:29">
      <c r="C45" s="156"/>
      <c r="E45" s="156"/>
      <c r="J45" s="1746"/>
      <c r="P45" s="684"/>
    </row>
  </sheetData>
  <mergeCells count="23">
    <mergeCell ref="A29:C29"/>
    <mergeCell ref="T35:U35"/>
    <mergeCell ref="L35:P35"/>
    <mergeCell ref="A27:U27"/>
    <mergeCell ref="A10:A11"/>
    <mergeCell ref="E10:E11"/>
    <mergeCell ref="A26:E26"/>
    <mergeCell ref="U10:U11"/>
    <mergeCell ref="G10:L10"/>
    <mergeCell ref="P10:P11"/>
    <mergeCell ref="Q10:Q11"/>
    <mergeCell ref="R10:R11"/>
    <mergeCell ref="S10:S11"/>
    <mergeCell ref="T10:T11"/>
    <mergeCell ref="B10:C11"/>
    <mergeCell ref="F10:F11"/>
    <mergeCell ref="M10:M11"/>
    <mergeCell ref="A1:U1"/>
    <mergeCell ref="A2:U2"/>
    <mergeCell ref="A7:U7"/>
    <mergeCell ref="A4:G4"/>
    <mergeCell ref="A5:G5"/>
    <mergeCell ref="A3:U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88" orientation="landscape" r:id="rId1"/>
  <colBreaks count="1" manualBreakCount="1">
    <brk id="21" max="1048575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A33"/>
  <sheetViews>
    <sheetView topLeftCell="A4" zoomScaleNormal="100" workbookViewId="0">
      <selection activeCell="H13" sqref="H13"/>
    </sheetView>
  </sheetViews>
  <sheetFormatPr defaultColWidth="9.375" defaultRowHeight="16.5"/>
  <cols>
    <col min="1" max="1" width="6.125" style="156" customWidth="1"/>
    <col min="2" max="2" width="5.375" style="156" hidden="1" customWidth="1"/>
    <col min="3" max="3" width="23.25" style="2002" customWidth="1"/>
    <col min="4" max="4" width="8.375" style="156" hidden="1" customWidth="1"/>
    <col min="5" max="5" width="12.625" style="2002" hidden="1" customWidth="1"/>
    <col min="6" max="6" width="13.25" style="156" customWidth="1"/>
    <col min="7" max="7" width="13" style="156" customWidth="1"/>
    <col min="8" max="8" width="11.75" style="156" customWidth="1"/>
    <col min="9" max="9" width="12.25" style="156" hidden="1" customWidth="1"/>
    <col min="10" max="10" width="16.75" style="2010" customWidth="1"/>
    <col min="11" max="11" width="19" style="156" hidden="1" customWidth="1"/>
    <col min="12" max="12" width="16.125" style="156" hidden="1" customWidth="1"/>
    <col min="13" max="13" width="16.125" style="156" customWidth="1"/>
    <col min="14" max="14" width="0.125" style="156" customWidth="1"/>
    <col min="15" max="15" width="19.625" style="156" customWidth="1"/>
    <col min="16" max="16" width="9.75" style="156" hidden="1" customWidth="1"/>
    <col min="17" max="17" width="13.75" style="156" hidden="1" customWidth="1"/>
    <col min="18" max="18" width="13.75" style="156" customWidth="1"/>
    <col min="19" max="19" width="17.375" style="156" hidden="1" customWidth="1"/>
    <col min="20" max="20" width="19.25" style="156" bestFit="1" customWidth="1"/>
    <col min="21" max="21" width="13.375" style="156" customWidth="1"/>
    <col min="22" max="22" width="18.25" style="156" customWidth="1"/>
    <col min="23" max="23" width="16.125" style="156" customWidth="1"/>
    <col min="24" max="24" width="16.25" style="156" bestFit="1" customWidth="1"/>
    <col min="25" max="25" width="14.625" style="156" customWidth="1"/>
    <col min="26" max="26" width="15" style="156" customWidth="1"/>
    <col min="27" max="27" width="20.25" style="156" customWidth="1"/>
    <col min="28" max="16384" width="9.375" style="156"/>
  </cols>
  <sheetData>
    <row r="1" spans="1:27">
      <c r="A1" s="3666" t="s">
        <v>165</v>
      </c>
      <c r="B1" s="3666"/>
      <c r="C1" s="3666"/>
      <c r="D1" s="3666"/>
      <c r="E1" s="3666"/>
      <c r="F1" s="3666"/>
      <c r="G1" s="3666"/>
      <c r="H1" s="3666"/>
      <c r="I1" s="3666"/>
      <c r="J1" s="3666"/>
      <c r="K1" s="3666"/>
      <c r="L1" s="3666"/>
      <c r="M1" s="3666"/>
      <c r="N1" s="3666"/>
      <c r="O1" s="3666"/>
      <c r="P1" s="3666"/>
      <c r="Q1" s="3666"/>
      <c r="R1" s="3666"/>
      <c r="S1" s="3666"/>
    </row>
    <row r="2" spans="1:27">
      <c r="A2" s="3666" t="s">
        <v>171</v>
      </c>
      <c r="B2" s="3666"/>
      <c r="C2" s="3666"/>
      <c r="D2" s="3666"/>
      <c r="E2" s="3666"/>
      <c r="F2" s="3666"/>
      <c r="G2" s="3666"/>
      <c r="H2" s="3666"/>
      <c r="I2" s="3666"/>
      <c r="J2" s="3666"/>
      <c r="K2" s="3666"/>
      <c r="L2" s="3666"/>
      <c r="M2" s="3666"/>
      <c r="N2" s="3666"/>
      <c r="O2" s="3666"/>
      <c r="P2" s="3666"/>
      <c r="Q2" s="3666"/>
      <c r="R2" s="3666"/>
      <c r="S2" s="3666"/>
    </row>
    <row r="4" spans="1:27">
      <c r="A4" s="3670" t="s">
        <v>574</v>
      </c>
      <c r="B4" s="3670"/>
      <c r="C4" s="3670"/>
      <c r="D4" s="3670"/>
      <c r="E4" s="3670"/>
      <c r="F4" s="3670"/>
      <c r="G4" s="3670"/>
      <c r="H4" s="1535"/>
      <c r="I4" s="1535"/>
      <c r="J4" s="1535"/>
    </row>
    <row r="5" spans="1:27">
      <c r="A5" s="3666" t="s">
        <v>541</v>
      </c>
      <c r="B5" s="3666"/>
      <c r="C5" s="3666"/>
      <c r="D5" s="3666"/>
      <c r="E5" s="3666"/>
      <c r="F5" s="3666"/>
      <c r="G5" s="3666"/>
      <c r="H5" s="1536"/>
      <c r="I5" s="1536"/>
      <c r="J5" s="1536"/>
    </row>
    <row r="6" spans="1:27">
      <c r="A6" s="2000"/>
      <c r="B6" s="2000"/>
      <c r="C6" s="2000"/>
      <c r="D6" s="2000"/>
      <c r="E6" s="2000"/>
      <c r="F6" s="2000"/>
      <c r="G6" s="2000"/>
      <c r="H6" s="2000"/>
      <c r="I6" s="2000"/>
      <c r="J6" s="2000"/>
      <c r="K6" s="2000"/>
      <c r="L6" s="2000"/>
      <c r="M6" s="2000"/>
      <c r="N6" s="2000"/>
      <c r="O6" s="2000"/>
      <c r="P6" s="2000"/>
      <c r="Q6" s="2000"/>
      <c r="R6" s="3074"/>
      <c r="S6" s="2000"/>
    </row>
    <row r="7" spans="1:27" ht="18.75">
      <c r="A7" s="3672" t="s">
        <v>1781</v>
      </c>
      <c r="B7" s="3672"/>
      <c r="C7" s="3672"/>
      <c r="D7" s="3672"/>
      <c r="E7" s="3672"/>
      <c r="F7" s="3672"/>
      <c r="G7" s="3672"/>
      <c r="H7" s="3672"/>
      <c r="I7" s="3672"/>
      <c r="J7" s="3672"/>
      <c r="K7" s="3672"/>
      <c r="L7" s="3672"/>
      <c r="M7" s="3672"/>
      <c r="N7" s="3672"/>
      <c r="O7" s="3672"/>
      <c r="P7" s="3672"/>
      <c r="Q7" s="3672"/>
      <c r="R7" s="3672"/>
      <c r="S7" s="3672"/>
    </row>
    <row r="8" spans="1:27" ht="18.75">
      <c r="C8" s="2057" t="s">
        <v>848</v>
      </c>
      <c r="D8" s="2058"/>
      <c r="E8" s="2059"/>
      <c r="F8" s="2060"/>
      <c r="G8" s="2059">
        <v>0.98939999999999995</v>
      </c>
    </row>
    <row r="9" spans="1:27">
      <c r="C9" s="2057" t="s">
        <v>894</v>
      </c>
      <c r="D9" s="2058"/>
      <c r="E9" s="2061"/>
      <c r="F9" s="2101"/>
      <c r="G9" s="2061">
        <v>670.65</v>
      </c>
      <c r="R9" s="2007" t="s">
        <v>1157</v>
      </c>
    </row>
    <row r="10" spans="1:27" ht="15" customHeight="1">
      <c r="A10" s="3802" t="s">
        <v>1</v>
      </c>
      <c r="B10" s="3802" t="s">
        <v>20</v>
      </c>
      <c r="C10" s="3802"/>
      <c r="D10" s="2051"/>
      <c r="E10" s="3802" t="s">
        <v>5</v>
      </c>
      <c r="F10" s="4029" t="s">
        <v>17</v>
      </c>
      <c r="G10" s="3802" t="s">
        <v>6</v>
      </c>
      <c r="H10" s="3802"/>
      <c r="I10" s="3802"/>
      <c r="J10" s="3802"/>
      <c r="K10" s="3802"/>
      <c r="L10" s="3802"/>
      <c r="M10" s="3802" t="s">
        <v>233</v>
      </c>
      <c r="N10" s="3802" t="s">
        <v>8</v>
      </c>
      <c r="O10" s="4029" t="s">
        <v>1382</v>
      </c>
      <c r="P10" s="4029" t="s">
        <v>11</v>
      </c>
      <c r="Q10" s="4029" t="s">
        <v>12</v>
      </c>
      <c r="R10" s="3819" t="s">
        <v>1158</v>
      </c>
      <c r="S10" s="4029" t="s">
        <v>16</v>
      </c>
    </row>
    <row r="11" spans="1:27" ht="66.75" customHeight="1">
      <c r="A11" s="3802"/>
      <c r="B11" s="3802"/>
      <c r="C11" s="3802"/>
      <c r="D11" s="2051" t="s">
        <v>239</v>
      </c>
      <c r="E11" s="3802"/>
      <c r="F11" s="3802"/>
      <c r="G11" s="2052" t="s">
        <v>50</v>
      </c>
      <c r="H11" s="2052" t="s">
        <v>707</v>
      </c>
      <c r="I11" s="2052" t="s">
        <v>799</v>
      </c>
      <c r="J11" s="800" t="s">
        <v>15</v>
      </c>
      <c r="K11" s="2052" t="s">
        <v>56</v>
      </c>
      <c r="L11" s="2052" t="s">
        <v>57</v>
      </c>
      <c r="M11" s="3802"/>
      <c r="N11" s="3802"/>
      <c r="O11" s="4029"/>
      <c r="P11" s="3802"/>
      <c r="Q11" s="3802"/>
      <c r="R11" s="3820"/>
      <c r="S11" s="3802"/>
      <c r="Z11" s="798">
        <f>20*100</f>
        <v>2000</v>
      </c>
    </row>
    <row r="12" spans="1:27" s="801" customFormat="1" ht="15.75" customHeight="1">
      <c r="A12" s="2469" t="s">
        <v>606</v>
      </c>
      <c r="B12" s="2051">
        <v>2</v>
      </c>
      <c r="C12" s="2469" t="s">
        <v>607</v>
      </c>
      <c r="D12" s="2051">
        <v>4</v>
      </c>
      <c r="E12" s="2051">
        <v>5</v>
      </c>
      <c r="F12" s="2469" t="s">
        <v>608</v>
      </c>
      <c r="G12" s="2469" t="s">
        <v>609</v>
      </c>
      <c r="H12" s="2469" t="s">
        <v>610</v>
      </c>
      <c r="I12" s="2051"/>
      <c r="J12" s="2469" t="s">
        <v>611</v>
      </c>
      <c r="K12" s="2051">
        <v>11</v>
      </c>
      <c r="L12" s="2051">
        <v>12</v>
      </c>
      <c r="M12" s="2469" t="s">
        <v>635</v>
      </c>
      <c r="N12" s="2051">
        <v>14</v>
      </c>
      <c r="O12" s="2469" t="s">
        <v>692</v>
      </c>
      <c r="P12" s="2051">
        <v>17</v>
      </c>
      <c r="Q12" s="2051">
        <v>18</v>
      </c>
      <c r="R12" s="2469" t="s">
        <v>1383</v>
      </c>
      <c r="S12" s="2469" t="s">
        <v>637</v>
      </c>
    </row>
    <row r="13" spans="1:27" s="807" customFormat="1" ht="24.75" customHeight="1">
      <c r="A13" s="808">
        <v>1</v>
      </c>
      <c r="B13" s="805"/>
      <c r="C13" s="808" t="s">
        <v>101</v>
      </c>
      <c r="D13" s="805"/>
      <c r="E13" s="808" t="s">
        <v>654</v>
      </c>
      <c r="F13" s="805"/>
      <c r="G13" s="1992">
        <v>31</v>
      </c>
      <c r="H13" s="1992">
        <f>J13/G13</f>
        <v>54838.709677419356</v>
      </c>
      <c r="I13" s="1083">
        <f>1500000*0.1*2</f>
        <v>300000</v>
      </c>
      <c r="J13" s="1993">
        <v>1700000</v>
      </c>
      <c r="K13" s="1992"/>
      <c r="L13" s="1992"/>
      <c r="M13" s="1992">
        <f>SUM(J13:L13)</f>
        <v>1700000</v>
      </c>
      <c r="N13" s="1992"/>
      <c r="O13" s="1992">
        <v>20000</v>
      </c>
      <c r="P13" s="1992"/>
      <c r="Q13" s="1992"/>
      <c r="R13" s="1992">
        <f>M13-O13</f>
        <v>1680000</v>
      </c>
      <c r="S13" s="1992">
        <f>O13</f>
        <v>20000</v>
      </c>
      <c r="W13" s="806"/>
      <c r="Y13" s="894" t="s">
        <v>719</v>
      </c>
      <c r="Z13" s="894" t="s">
        <v>717</v>
      </c>
      <c r="AA13" s="894" t="s">
        <v>718</v>
      </c>
    </row>
    <row r="14" spans="1:27" s="807" customFormat="1" ht="24.75" customHeight="1">
      <c r="A14" s="3802" t="s">
        <v>187</v>
      </c>
      <c r="B14" s="3802"/>
      <c r="C14" s="3802"/>
      <c r="D14" s="3802"/>
      <c r="E14" s="3802"/>
      <c r="F14" s="804"/>
      <c r="G14" s="1991">
        <f>G13</f>
        <v>31</v>
      </c>
      <c r="H14" s="1991">
        <f t="shared" ref="H14:O14" si="0">H13</f>
        <v>54838.709677419356</v>
      </c>
      <c r="I14" s="1991">
        <f t="shared" si="0"/>
        <v>300000</v>
      </c>
      <c r="J14" s="1991">
        <f t="shared" si="0"/>
        <v>1700000</v>
      </c>
      <c r="K14" s="1991">
        <f t="shared" si="0"/>
        <v>0</v>
      </c>
      <c r="L14" s="1991">
        <f t="shared" si="0"/>
        <v>0</v>
      </c>
      <c r="M14" s="1991">
        <f t="shared" si="0"/>
        <v>1700000</v>
      </c>
      <c r="N14" s="1991">
        <f t="shared" si="0"/>
        <v>0</v>
      </c>
      <c r="O14" s="1991">
        <f t="shared" si="0"/>
        <v>20000</v>
      </c>
      <c r="P14" s="1991">
        <f t="shared" ref="P14" si="1">P13</f>
        <v>0</v>
      </c>
      <c r="Q14" s="1991">
        <f t="shared" ref="Q14" si="2">Q13</f>
        <v>0</v>
      </c>
      <c r="R14" s="1991">
        <f>R13</f>
        <v>1680000</v>
      </c>
      <c r="S14" s="1991">
        <f t="shared" ref="S14" si="3">S13</f>
        <v>20000</v>
      </c>
      <c r="T14" s="806"/>
      <c r="U14" s="813">
        <f>K14-'BẢNG PHÂN TOÁN'!H14</f>
        <v>-250605593.40311798</v>
      </c>
      <c r="Y14" s="894">
        <v>1198</v>
      </c>
      <c r="Z14" s="894">
        <v>569</v>
      </c>
      <c r="AA14" s="894">
        <f>+Y14-Z14</f>
        <v>629</v>
      </c>
    </row>
    <row r="15" spans="1:27" ht="24.75" customHeight="1">
      <c r="A15" s="4032" t="s">
        <v>1745</v>
      </c>
      <c r="B15" s="4032"/>
      <c r="C15" s="4032"/>
      <c r="D15" s="4032"/>
      <c r="E15" s="4032"/>
      <c r="F15" s="4032"/>
      <c r="G15" s="4032"/>
      <c r="H15" s="4032"/>
      <c r="I15" s="4032"/>
      <c r="J15" s="4032"/>
      <c r="K15" s="4032"/>
      <c r="L15" s="4032"/>
      <c r="M15" s="4032"/>
      <c r="N15" s="4032"/>
      <c r="O15" s="4032"/>
      <c r="P15" s="4032"/>
      <c r="Q15" s="4032"/>
      <c r="R15" s="4032"/>
      <c r="S15" s="4032"/>
      <c r="T15" s="684"/>
      <c r="W15" s="798"/>
      <c r="Y15" s="895">
        <v>648</v>
      </c>
      <c r="Z15" s="895">
        <v>304</v>
      </c>
      <c r="AA15" s="894">
        <f>+Y15-Z15</f>
        <v>344</v>
      </c>
    </row>
    <row r="16" spans="1:27" ht="18" customHeight="1">
      <c r="A16" s="1939"/>
      <c r="B16" s="1939"/>
      <c r="C16" s="1939"/>
      <c r="D16" s="1939"/>
      <c r="E16" s="1939"/>
      <c r="F16" s="1939"/>
      <c r="G16" s="949"/>
      <c r="H16" s="1939"/>
      <c r="I16" s="1939"/>
      <c r="J16" s="1939"/>
      <c r="K16" s="1939"/>
      <c r="M16" s="1870"/>
      <c r="N16" s="1870"/>
      <c r="O16" s="4031" t="s">
        <v>1783</v>
      </c>
      <c r="P16" s="4031"/>
      <c r="Q16" s="4031"/>
      <c r="R16" s="4031"/>
      <c r="S16" s="4031"/>
      <c r="U16" s="684"/>
      <c r="W16" s="798"/>
      <c r="Y16" s="895">
        <v>875</v>
      </c>
      <c r="Z16" s="895">
        <v>395</v>
      </c>
      <c r="AA16" s="894">
        <f>+Y16-Z16</f>
        <v>480</v>
      </c>
    </row>
    <row r="17" spans="1:27" s="1333" customFormat="1" ht="22.5" customHeight="1">
      <c r="A17" s="3750" t="s">
        <v>613</v>
      </c>
      <c r="B17" s="3750"/>
      <c r="C17" s="3750"/>
      <c r="G17" s="3750" t="s">
        <v>257</v>
      </c>
      <c r="H17" s="3750"/>
      <c r="I17" s="3750"/>
      <c r="J17" s="3750"/>
      <c r="O17" s="4030" t="s">
        <v>1107</v>
      </c>
      <c r="P17" s="4030"/>
      <c r="Q17" s="4030"/>
      <c r="R17" s="4030"/>
      <c r="S17" s="4030"/>
      <c r="W17" s="1868"/>
      <c r="Y17" s="1869"/>
      <c r="Z17" s="1869"/>
      <c r="AA17" s="894"/>
    </row>
    <row r="19" spans="1:27">
      <c r="F19" s="791"/>
      <c r="M19" s="684"/>
      <c r="U19" s="684"/>
      <c r="Z19" s="156">
        <f>+Y17-Z17</f>
        <v>0</v>
      </c>
    </row>
    <row r="20" spans="1:27">
      <c r="M20" s="798"/>
      <c r="P20" s="684"/>
      <c r="W20" s="684"/>
    </row>
    <row r="21" spans="1:27">
      <c r="F21" s="684"/>
      <c r="K21" s="684"/>
      <c r="L21" s="684"/>
      <c r="M21" s="684"/>
      <c r="O21" s="684"/>
      <c r="P21" s="684"/>
      <c r="W21" s="798"/>
      <c r="Z21" s="156">
        <f>100*20</f>
        <v>2000</v>
      </c>
    </row>
    <row r="22" spans="1:27">
      <c r="H22" s="2010"/>
      <c r="I22" s="2010"/>
      <c r="L22" s="157"/>
      <c r="M22" s="684"/>
      <c r="X22" s="798"/>
      <c r="Z22" s="156">
        <f>100*20</f>
        <v>2000</v>
      </c>
    </row>
    <row r="23" spans="1:27">
      <c r="F23" s="2002"/>
      <c r="H23" s="2009"/>
      <c r="I23" s="2002"/>
      <c r="L23" s="4027"/>
      <c r="M23" s="4027"/>
      <c r="N23" s="157"/>
      <c r="P23" s="157"/>
      <c r="Q23" s="3666"/>
      <c r="R23" s="3666"/>
      <c r="S23" s="3666"/>
      <c r="Z23" s="156">
        <f>40*20+200</f>
        <v>1000</v>
      </c>
    </row>
    <row r="24" spans="1:27">
      <c r="H24" s="2009"/>
      <c r="I24" s="2002"/>
      <c r="L24" s="684"/>
    </row>
    <row r="25" spans="1:27">
      <c r="W25" s="798">
        <v>244427</v>
      </c>
    </row>
    <row r="26" spans="1:27" ht="22.5">
      <c r="J26" s="1690"/>
      <c r="K26" s="684"/>
      <c r="W26" s="798">
        <v>14473</v>
      </c>
    </row>
    <row r="27" spans="1:27">
      <c r="K27" s="791"/>
      <c r="W27" s="814">
        <f>+W25+W26</f>
        <v>258900</v>
      </c>
      <c r="X27" s="684"/>
      <c r="Y27" s="156">
        <v>3</v>
      </c>
      <c r="Z27" s="156">
        <v>50</v>
      </c>
      <c r="AA27" s="156">
        <f>+Y27*Z27</f>
        <v>150</v>
      </c>
    </row>
    <row r="28" spans="1:27">
      <c r="C28" s="156"/>
      <c r="E28" s="156"/>
      <c r="J28" s="2002"/>
      <c r="L28" s="684"/>
      <c r="W28" s="156">
        <v>850</v>
      </c>
      <c r="X28" s="814"/>
      <c r="AA28" s="156">
        <v>100</v>
      </c>
    </row>
    <row r="29" spans="1:27">
      <c r="C29" s="156"/>
      <c r="E29" s="156"/>
      <c r="J29" s="2002"/>
      <c r="K29" s="684"/>
      <c r="M29" s="684"/>
      <c r="W29" s="814">
        <f>+W27-W28</f>
        <v>258050</v>
      </c>
    </row>
    <row r="30" spans="1:27">
      <c r="C30" s="156"/>
      <c r="E30" s="156"/>
      <c r="J30" s="2002"/>
      <c r="K30" s="684"/>
      <c r="O30" s="684"/>
    </row>
    <row r="32" spans="1:27">
      <c r="C32" s="156"/>
      <c r="E32" s="156"/>
      <c r="J32" s="2002"/>
      <c r="M32" s="798"/>
    </row>
    <row r="33" spans="3:13">
      <c r="C33" s="156"/>
      <c r="E33" s="156"/>
      <c r="J33" s="2002"/>
      <c r="M33" s="684"/>
    </row>
  </sheetData>
  <mergeCells count="25">
    <mergeCell ref="A1:S1"/>
    <mergeCell ref="A2:S2"/>
    <mergeCell ref="A7:S7"/>
    <mergeCell ref="A5:G5"/>
    <mergeCell ref="A4:G4"/>
    <mergeCell ref="N10:N11"/>
    <mergeCell ref="S10:S11"/>
    <mergeCell ref="A14:E14"/>
    <mergeCell ref="A15:S15"/>
    <mergeCell ref="O10:O11"/>
    <mergeCell ref="P10:P11"/>
    <mergeCell ref="Q10:Q11"/>
    <mergeCell ref="F10:F11"/>
    <mergeCell ref="A10:A11"/>
    <mergeCell ref="B10:C11"/>
    <mergeCell ref="E10:E11"/>
    <mergeCell ref="G10:L10"/>
    <mergeCell ref="M10:M11"/>
    <mergeCell ref="R10:R11"/>
    <mergeCell ref="O17:S17"/>
    <mergeCell ref="G17:J17"/>
    <mergeCell ref="A17:C17"/>
    <mergeCell ref="O16:S16"/>
    <mergeCell ref="L23:M23"/>
    <mergeCell ref="Q23:S23"/>
  </mergeCells>
  <printOptions horizontalCentered="1"/>
  <pageMargins left="0.39370078740157483" right="0.39370078740157483" top="0.78740157480314965" bottom="0.78740157480314965" header="0.78740157480314965" footer="0.78740157480314965"/>
  <pageSetup paperSize="9" scale="91" orientation="landscape" r:id="rId1"/>
  <colBreaks count="1" manualBreakCount="1">
    <brk id="19" max="1048575" man="1"/>
  </col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XFC528"/>
  <sheetViews>
    <sheetView zoomScale="85" zoomScaleNormal="85" workbookViewId="0">
      <selection activeCell="R10" sqref="R10"/>
    </sheetView>
  </sheetViews>
  <sheetFormatPr defaultColWidth="8" defaultRowHeight="16.5"/>
  <cols>
    <col min="1" max="1" width="5.625" style="2183" customWidth="1"/>
    <col min="2" max="2" width="5.5" style="3334" customWidth="1"/>
    <col min="3" max="3" width="8" style="2187" hidden="1" customWidth="1"/>
    <col min="4" max="4" width="15.625" style="2185" customWidth="1"/>
    <col min="5" max="5" width="11.875" style="2185" customWidth="1"/>
    <col min="6" max="6" width="13.75" style="2188" customWidth="1"/>
    <col min="7" max="7" width="14.625" style="2185" customWidth="1"/>
    <col min="8" max="8" width="14.125" style="2185" customWidth="1"/>
    <col min="9" max="9" width="9.375" style="2185" hidden="1" customWidth="1"/>
    <col min="10" max="10" width="12.875" style="2185" hidden="1" customWidth="1"/>
    <col min="11" max="11" width="16" style="2185" customWidth="1"/>
    <col min="12" max="12" width="12.625" style="2185" hidden="1" customWidth="1"/>
    <col min="13" max="13" width="14" style="2185" customWidth="1"/>
    <col min="14" max="14" width="8" style="2185" hidden="1" customWidth="1"/>
    <col min="15" max="15" width="16.375" style="2189" customWidth="1"/>
    <col min="16" max="17" width="8" style="2185"/>
    <col min="18" max="18" width="17.75" style="2185" customWidth="1"/>
    <col min="19" max="16384" width="8" style="2185"/>
  </cols>
  <sheetData>
    <row r="1" spans="1:19" ht="22.5">
      <c r="B1" s="3987" t="s">
        <v>165</v>
      </c>
      <c r="C1" s="3987"/>
      <c r="D1" s="3987"/>
      <c r="E1" s="3987"/>
      <c r="F1" s="3987"/>
      <c r="G1" s="3987"/>
      <c r="H1" s="3987"/>
      <c r="I1" s="3987"/>
      <c r="J1" s="3987"/>
      <c r="K1" s="3987"/>
      <c r="L1" s="3987"/>
      <c r="M1" s="3987"/>
      <c r="N1" s="3987"/>
      <c r="O1" s="3987"/>
      <c r="P1" s="2184"/>
      <c r="Q1" s="2184"/>
      <c r="R1" s="2184"/>
      <c r="S1" s="2184"/>
    </row>
    <row r="2" spans="1:19" ht="22.5">
      <c r="B2" s="3987" t="s">
        <v>55</v>
      </c>
      <c r="C2" s="3987"/>
      <c r="D2" s="3987"/>
      <c r="E2" s="3987"/>
      <c r="F2" s="3987"/>
      <c r="G2" s="3987"/>
      <c r="H2" s="3987"/>
      <c r="I2" s="3987"/>
      <c r="J2" s="3987"/>
      <c r="K2" s="3987"/>
      <c r="L2" s="3987"/>
      <c r="M2" s="3987"/>
      <c r="N2" s="3987"/>
      <c r="O2" s="3987"/>
      <c r="P2" s="2184"/>
      <c r="Q2" s="2184"/>
      <c r="R2" s="2184"/>
      <c r="S2" s="2184"/>
    </row>
    <row r="3" spans="1:19" ht="15" customHeight="1">
      <c r="B3" s="3988" t="s">
        <v>995</v>
      </c>
      <c r="C3" s="3988"/>
      <c r="D3" s="3988"/>
      <c r="E3" s="3988"/>
      <c r="F3" s="3988"/>
      <c r="G3" s="3988"/>
      <c r="H3" s="3988"/>
      <c r="I3" s="3988"/>
      <c r="J3" s="3988"/>
      <c r="K3" s="3988"/>
      <c r="L3" s="3988"/>
      <c r="M3" s="3988"/>
      <c r="N3" s="3988"/>
      <c r="O3" s="3988"/>
      <c r="P3" s="2184"/>
      <c r="Q3" s="2184"/>
      <c r="R3" s="2184"/>
      <c r="S3" s="2184"/>
    </row>
    <row r="5" spans="1:19" s="2191" customFormat="1">
      <c r="A5" s="3989" t="s">
        <v>574</v>
      </c>
      <c r="B5" s="3989"/>
      <c r="C5" s="3989"/>
      <c r="D5" s="3989"/>
      <c r="E5" s="3989"/>
      <c r="F5" s="3989"/>
      <c r="G5" s="3989"/>
      <c r="H5" s="2242"/>
      <c r="I5" s="2242"/>
      <c r="J5" s="2242"/>
      <c r="K5" s="2242"/>
      <c r="L5" s="2190"/>
      <c r="M5" s="2190"/>
      <c r="N5" s="2190"/>
      <c r="O5" s="2190"/>
    </row>
    <row r="6" spans="1:19" s="2191" customFormat="1">
      <c r="A6" s="3990" t="s">
        <v>1202</v>
      </c>
      <c r="B6" s="3990"/>
      <c r="C6" s="3990"/>
      <c r="D6" s="3990"/>
      <c r="E6" s="3990"/>
      <c r="F6" s="3990"/>
      <c r="G6" s="3990"/>
      <c r="H6" s="2225"/>
      <c r="I6" s="2225"/>
      <c r="J6" s="2225"/>
      <c r="K6" s="2225"/>
      <c r="L6" s="2190"/>
      <c r="M6" s="2190"/>
      <c r="N6" s="2190"/>
      <c r="O6" s="2190"/>
    </row>
    <row r="7" spans="1:19" s="2191" customFormat="1">
      <c r="A7" s="2183"/>
      <c r="F7" s="2192"/>
      <c r="O7" s="2189"/>
    </row>
    <row r="8" spans="1:19" s="2191" customFormat="1" ht="20.25">
      <c r="A8" s="2183"/>
      <c r="B8" s="3986" t="s">
        <v>1725</v>
      </c>
      <c r="C8" s="3986"/>
      <c r="D8" s="3986"/>
      <c r="E8" s="3986"/>
      <c r="F8" s="3986"/>
      <c r="G8" s="3986"/>
      <c r="H8" s="3986"/>
      <c r="I8" s="3986"/>
      <c r="J8" s="3986"/>
      <c r="K8" s="3986"/>
      <c r="L8" s="3986"/>
      <c r="M8" s="3986"/>
      <c r="N8" s="3986"/>
      <c r="O8" s="3986"/>
    </row>
    <row r="9" spans="1:19">
      <c r="B9" s="2193"/>
      <c r="C9" s="2194"/>
      <c r="D9" s="2189"/>
      <c r="E9" s="2189"/>
      <c r="F9" s="2195"/>
      <c r="G9" s="2189"/>
      <c r="H9" s="2189"/>
      <c r="I9" s="2189"/>
      <c r="J9" s="2189"/>
      <c r="K9" s="2189"/>
      <c r="L9" s="2189"/>
      <c r="M9" s="3957" t="s">
        <v>1157</v>
      </c>
      <c r="N9" s="3957"/>
      <c r="O9" s="3957"/>
    </row>
    <row r="10" spans="1:19" ht="29.25" customHeight="1">
      <c r="A10" s="4048" t="s">
        <v>1</v>
      </c>
      <c r="B10" s="4049"/>
      <c r="C10" s="4052" t="s">
        <v>1194</v>
      </c>
      <c r="D10" s="4049" t="s">
        <v>20</v>
      </c>
      <c r="E10" s="4053" t="s">
        <v>5</v>
      </c>
      <c r="F10" s="4045" t="s">
        <v>1195</v>
      </c>
      <c r="G10" s="4046"/>
      <c r="H10" s="4046"/>
      <c r="I10" s="4047"/>
      <c r="J10" s="4054" t="s">
        <v>1611</v>
      </c>
      <c r="K10" s="4054" t="s">
        <v>1612</v>
      </c>
      <c r="L10" s="4052" t="s">
        <v>11</v>
      </c>
      <c r="M10" s="4052" t="s">
        <v>1155</v>
      </c>
      <c r="N10" s="4052" t="s">
        <v>12</v>
      </c>
      <c r="O10" s="4052" t="s">
        <v>9</v>
      </c>
    </row>
    <row r="11" spans="1:19" ht="42.75" customHeight="1">
      <c r="A11" s="4050"/>
      <c r="B11" s="4051"/>
      <c r="C11" s="4052"/>
      <c r="D11" s="4051"/>
      <c r="E11" s="4053"/>
      <c r="F11" s="3339" t="s">
        <v>30</v>
      </c>
      <c r="G11" s="3229" t="s">
        <v>31</v>
      </c>
      <c r="H11" s="3229" t="s">
        <v>57</v>
      </c>
      <c r="I11" s="3340" t="s">
        <v>1365</v>
      </c>
      <c r="J11" s="4055"/>
      <c r="K11" s="4055"/>
      <c r="L11" s="4052"/>
      <c r="M11" s="4052"/>
      <c r="N11" s="4053"/>
      <c r="O11" s="4053"/>
      <c r="R11" s="2224">
        <f>F12-20728750</f>
        <v>-0.2857142798602581</v>
      </c>
    </row>
    <row r="12" spans="1:19" ht="24" customHeight="1">
      <c r="A12" s="4045" t="s">
        <v>321</v>
      </c>
      <c r="B12" s="4046"/>
      <c r="C12" s="4046"/>
      <c r="D12" s="4047"/>
      <c r="E12" s="3341"/>
      <c r="F12" s="3342">
        <f>SUM(F13:F261)</f>
        <v>20728749.71428572</v>
      </c>
      <c r="G12" s="3342">
        <f>SUM(G13:G261)</f>
        <v>196695205.93504173</v>
      </c>
      <c r="H12" s="3342">
        <f>SUM(H13:H261)</f>
        <v>59114600.033999912</v>
      </c>
      <c r="I12" s="3342"/>
      <c r="J12" s="3342"/>
      <c r="K12" s="3342">
        <f>SUM(K13:K261)</f>
        <v>276538555.68332708</v>
      </c>
      <c r="L12" s="3342">
        <f>SUM(L13:L245)</f>
        <v>0</v>
      </c>
      <c r="M12" s="3342">
        <f>SUM(M13:M261)</f>
        <v>276538555.68332708</v>
      </c>
      <c r="N12" s="3342">
        <f>SUM(N13:N245)</f>
        <v>0</v>
      </c>
      <c r="O12" s="3338"/>
      <c r="R12" s="2224">
        <f>H12-59114600</f>
        <v>3.3999912440776825E-2</v>
      </c>
    </row>
    <row r="13" spans="1:19" s="2207" customFormat="1" ht="16.5" customHeight="1">
      <c r="A13" s="2132">
        <v>1</v>
      </c>
      <c r="B13" s="2132">
        <v>1</v>
      </c>
      <c r="C13" s="3343"/>
      <c r="D13" s="3344" t="s">
        <v>1393</v>
      </c>
      <c r="E13" s="3344" t="s">
        <v>40</v>
      </c>
      <c r="F13" s="3345">
        <v>715000</v>
      </c>
      <c r="G13" s="3345">
        <f>134546.240653338+142169.25</f>
        <v>276715.49065333803</v>
      </c>
      <c r="H13" s="3345">
        <f>216990.75-142169.25</f>
        <v>74821.5</v>
      </c>
      <c r="I13" s="3345">
        <v>0</v>
      </c>
      <c r="J13" s="3345">
        <v>0</v>
      </c>
      <c r="K13" s="3345">
        <f>F13+G13+H13</f>
        <v>1066536.9906533379</v>
      </c>
      <c r="L13" s="3345">
        <v>0</v>
      </c>
      <c r="M13" s="3345">
        <f>K13</f>
        <v>1066536.9906533379</v>
      </c>
      <c r="N13" s="3345"/>
      <c r="O13" s="3346"/>
      <c r="P13" s="2206"/>
    </row>
    <row r="14" spans="1:19" s="2207" customFormat="1" ht="16.5" customHeight="1">
      <c r="A14" s="2132">
        <v>2</v>
      </c>
      <c r="B14" s="2132">
        <v>2</v>
      </c>
      <c r="C14" s="3343"/>
      <c r="D14" s="3344" t="s">
        <v>1394</v>
      </c>
      <c r="E14" s="3344" t="s">
        <v>40</v>
      </c>
      <c r="F14" s="3345">
        <v>715000</v>
      </c>
      <c r="G14" s="3345">
        <f t="shared" ref="G14:G16" si="0">134546.240653338+142169.25</f>
        <v>276715.49065333803</v>
      </c>
      <c r="H14" s="3345">
        <f t="shared" ref="H14:H16" si="1">216990.75-142169.25</f>
        <v>74821.5</v>
      </c>
      <c r="I14" s="3345">
        <v>0</v>
      </c>
      <c r="J14" s="3345">
        <v>0</v>
      </c>
      <c r="K14" s="3345">
        <f t="shared" ref="K14:K77" si="2">F14+G14+H14</f>
        <v>1066536.9906533379</v>
      </c>
      <c r="L14" s="3345">
        <v>0</v>
      </c>
      <c r="M14" s="3345">
        <f t="shared" ref="M14:M77" si="3">K14</f>
        <v>1066536.9906533379</v>
      </c>
      <c r="N14" s="3345"/>
      <c r="O14" s="3346"/>
      <c r="P14" s="2206"/>
      <c r="R14" s="3312">
        <f>R12/4</f>
        <v>8.4999781101942062E-3</v>
      </c>
    </row>
    <row r="15" spans="1:19" s="2207" customFormat="1" ht="16.5" customHeight="1">
      <c r="A15" s="2132">
        <v>3</v>
      </c>
      <c r="B15" s="2132">
        <v>3</v>
      </c>
      <c r="C15" s="3343"/>
      <c r="D15" s="3344" t="s">
        <v>1395</v>
      </c>
      <c r="E15" s="3344" t="s">
        <v>40</v>
      </c>
      <c r="F15" s="3345">
        <v>715000</v>
      </c>
      <c r="G15" s="3345">
        <f t="shared" si="0"/>
        <v>276715.49065333803</v>
      </c>
      <c r="H15" s="3345">
        <f t="shared" si="1"/>
        <v>74821.5</v>
      </c>
      <c r="I15" s="3345">
        <v>0</v>
      </c>
      <c r="J15" s="3345">
        <v>0</v>
      </c>
      <c r="K15" s="3345">
        <f t="shared" si="2"/>
        <v>1066536.9906533379</v>
      </c>
      <c r="L15" s="3345">
        <v>0</v>
      </c>
      <c r="M15" s="3345">
        <f t="shared" si="3"/>
        <v>1066536.9906533379</v>
      </c>
      <c r="N15" s="3345"/>
      <c r="O15" s="3346"/>
      <c r="P15" s="2206"/>
    </row>
    <row r="16" spans="1:19" s="2207" customFormat="1" ht="16.5" customHeight="1">
      <c r="A16" s="2132">
        <v>4</v>
      </c>
      <c r="B16" s="2132">
        <v>4</v>
      </c>
      <c r="C16" s="3343"/>
      <c r="D16" s="3344" t="s">
        <v>1396</v>
      </c>
      <c r="E16" s="3344" t="s">
        <v>40</v>
      </c>
      <c r="F16" s="3345">
        <v>715000</v>
      </c>
      <c r="G16" s="3345">
        <f t="shared" si="0"/>
        <v>276715.49065333803</v>
      </c>
      <c r="H16" s="3345">
        <f t="shared" si="1"/>
        <v>74821.5</v>
      </c>
      <c r="I16" s="3345">
        <v>0</v>
      </c>
      <c r="J16" s="3345">
        <v>0</v>
      </c>
      <c r="K16" s="3345">
        <f t="shared" si="2"/>
        <v>1066536.9906533379</v>
      </c>
      <c r="L16" s="3345">
        <v>0</v>
      </c>
      <c r="M16" s="3345">
        <f t="shared" si="3"/>
        <v>1066536.9906533379</v>
      </c>
      <c r="N16" s="3345"/>
      <c r="O16" s="3346"/>
      <c r="P16" s="2206"/>
      <c r="R16" s="3312">
        <f>'LƯƠNG TT'!G12-'Lương gia thuộc'!G12</f>
        <v>-57367046.331511199</v>
      </c>
    </row>
    <row r="17" spans="1:16" s="2207" customFormat="1" ht="16.5" customHeight="1">
      <c r="A17" s="2132">
        <v>5</v>
      </c>
      <c r="B17" s="2132">
        <v>5</v>
      </c>
      <c r="C17" s="3343"/>
      <c r="D17" s="3344" t="s">
        <v>1397</v>
      </c>
      <c r="E17" s="3344" t="s">
        <v>40</v>
      </c>
      <c r="F17" s="3345">
        <v>715000</v>
      </c>
      <c r="G17" s="3345">
        <v>134546.240653338</v>
      </c>
      <c r="H17" s="3345">
        <v>216990.75</v>
      </c>
      <c r="I17" s="3345">
        <v>0</v>
      </c>
      <c r="J17" s="3345">
        <v>0</v>
      </c>
      <c r="K17" s="3345">
        <f t="shared" si="2"/>
        <v>1066536.9906533379</v>
      </c>
      <c r="L17" s="3345">
        <v>0</v>
      </c>
      <c r="M17" s="3345">
        <f t="shared" si="3"/>
        <v>1066536.9906533379</v>
      </c>
      <c r="N17" s="3345"/>
      <c r="O17" s="3346"/>
      <c r="P17" s="2206"/>
    </row>
    <row r="18" spans="1:16" s="2207" customFormat="1" ht="16.5" customHeight="1">
      <c r="A18" s="2132">
        <v>6</v>
      </c>
      <c r="B18" s="2132">
        <v>6</v>
      </c>
      <c r="C18" s="3343"/>
      <c r="D18" s="3344" t="s">
        <v>951</v>
      </c>
      <c r="E18" s="3344" t="s">
        <v>40</v>
      </c>
      <c r="F18" s="3345">
        <v>715000</v>
      </c>
      <c r="G18" s="3345">
        <v>134546.240653338</v>
      </c>
      <c r="H18" s="3345">
        <v>216990.75</v>
      </c>
      <c r="I18" s="3345">
        <v>0</v>
      </c>
      <c r="J18" s="3345">
        <v>0</v>
      </c>
      <c r="K18" s="3345">
        <f t="shared" si="2"/>
        <v>1066536.9906533379</v>
      </c>
      <c r="L18" s="3345">
        <v>0</v>
      </c>
      <c r="M18" s="3345">
        <f t="shared" si="3"/>
        <v>1066536.9906533379</v>
      </c>
      <c r="N18" s="3345"/>
      <c r="O18" s="3346"/>
      <c r="P18" s="2206"/>
    </row>
    <row r="19" spans="1:16" s="2207" customFormat="1" ht="16.5" customHeight="1">
      <c r="A19" s="2132">
        <v>7</v>
      </c>
      <c r="B19" s="2132">
        <v>7</v>
      </c>
      <c r="C19" s="3343"/>
      <c r="D19" s="3344" t="s">
        <v>960</v>
      </c>
      <c r="E19" s="3344" t="s">
        <v>40</v>
      </c>
      <c r="F19" s="3345">
        <v>715000</v>
      </c>
      <c r="G19" s="3345">
        <v>134546.240653338</v>
      </c>
      <c r="H19" s="3345">
        <v>216990.75</v>
      </c>
      <c r="I19" s="3345">
        <v>0</v>
      </c>
      <c r="J19" s="3345">
        <v>0</v>
      </c>
      <c r="K19" s="3345">
        <f t="shared" si="2"/>
        <v>1066536.9906533379</v>
      </c>
      <c r="L19" s="3345">
        <v>0</v>
      </c>
      <c r="M19" s="3345">
        <f t="shared" si="3"/>
        <v>1066536.9906533379</v>
      </c>
      <c r="N19" s="3345"/>
      <c r="O19" s="3346"/>
      <c r="P19" s="2206"/>
    </row>
    <row r="20" spans="1:16" s="2207" customFormat="1" ht="16.5" customHeight="1">
      <c r="A20" s="2132">
        <v>8</v>
      </c>
      <c r="B20" s="2132">
        <v>8</v>
      </c>
      <c r="C20" s="3343"/>
      <c r="D20" s="3344" t="s">
        <v>661</v>
      </c>
      <c r="E20" s="3344" t="s">
        <v>40</v>
      </c>
      <c r="F20" s="3345">
        <v>715000</v>
      </c>
      <c r="G20" s="3345">
        <v>134546.240653338</v>
      </c>
      <c r="H20" s="3345">
        <v>216990.75</v>
      </c>
      <c r="I20" s="3345">
        <v>0</v>
      </c>
      <c r="J20" s="3345">
        <v>0</v>
      </c>
      <c r="K20" s="3345">
        <f t="shared" si="2"/>
        <v>1066536.9906533379</v>
      </c>
      <c r="L20" s="3345">
        <v>0</v>
      </c>
      <c r="M20" s="3345">
        <f t="shared" si="3"/>
        <v>1066536.9906533379</v>
      </c>
      <c r="N20" s="3345"/>
      <c r="O20" s="3346"/>
      <c r="P20" s="2206"/>
    </row>
    <row r="21" spans="1:16" s="2207" customFormat="1" ht="16.5" customHeight="1">
      <c r="A21" s="2132">
        <v>9</v>
      </c>
      <c r="B21" s="2132">
        <v>9</v>
      </c>
      <c r="C21" s="3343"/>
      <c r="D21" s="3344" t="s">
        <v>1398</v>
      </c>
      <c r="E21" s="3344" t="s">
        <v>40</v>
      </c>
      <c r="F21" s="3345">
        <v>719591.85714285704</v>
      </c>
      <c r="G21" s="3345">
        <f>279677.571428571+86990.5</f>
        <v>366668.07142857101</v>
      </c>
      <c r="H21" s="3345">
        <f>95195.5</f>
        <v>95195.5</v>
      </c>
      <c r="I21" s="3345">
        <v>0</v>
      </c>
      <c r="J21" s="3345">
        <v>0</v>
      </c>
      <c r="K21" s="3345">
        <f t="shared" si="2"/>
        <v>1181455.4285714282</v>
      </c>
      <c r="L21" s="3345">
        <v>0</v>
      </c>
      <c r="M21" s="3345">
        <f t="shared" si="3"/>
        <v>1181455.4285714282</v>
      </c>
      <c r="N21" s="3345"/>
      <c r="O21" s="3346"/>
      <c r="P21" s="2206"/>
    </row>
    <row r="22" spans="1:16" s="2207" customFormat="1" ht="16.5" customHeight="1">
      <c r="A22" s="2132">
        <v>10</v>
      </c>
      <c r="B22" s="2132">
        <v>10</v>
      </c>
      <c r="C22" s="3343"/>
      <c r="D22" s="3344" t="s">
        <v>925</v>
      </c>
      <c r="E22" s="3344" t="s">
        <v>40</v>
      </c>
      <c r="F22" s="3345">
        <v>719591.85714285704</v>
      </c>
      <c r="G22" s="3345">
        <v>279677.57142857101</v>
      </c>
      <c r="H22" s="3345">
        <v>95195</v>
      </c>
      <c r="I22" s="3345">
        <v>0</v>
      </c>
      <c r="J22" s="3345">
        <v>0</v>
      </c>
      <c r="K22" s="3345">
        <f t="shared" si="2"/>
        <v>1094464.4285714282</v>
      </c>
      <c r="L22" s="3345">
        <v>0</v>
      </c>
      <c r="M22" s="3345">
        <f t="shared" si="3"/>
        <v>1094464.4285714282</v>
      </c>
      <c r="N22" s="3345"/>
      <c r="O22" s="3346"/>
      <c r="P22" s="2206"/>
    </row>
    <row r="23" spans="1:16" s="2207" customFormat="1" ht="16.5" customHeight="1">
      <c r="A23" s="2132">
        <v>11</v>
      </c>
      <c r="B23" s="2132">
        <v>11</v>
      </c>
      <c r="C23" s="3343"/>
      <c r="D23" s="3344" t="s">
        <v>942</v>
      </c>
      <c r="E23" s="3344" t="s">
        <v>40</v>
      </c>
      <c r="F23" s="3345">
        <v>719591.85714285704</v>
      </c>
      <c r="G23" s="3345">
        <v>279677.57142857101</v>
      </c>
      <c r="H23" s="3345">
        <v>95195</v>
      </c>
      <c r="I23" s="3345">
        <v>0</v>
      </c>
      <c r="J23" s="3345">
        <v>0</v>
      </c>
      <c r="K23" s="3345">
        <f t="shared" si="2"/>
        <v>1094464.4285714282</v>
      </c>
      <c r="L23" s="3345">
        <v>0</v>
      </c>
      <c r="M23" s="3345">
        <f t="shared" si="3"/>
        <v>1094464.4285714282</v>
      </c>
      <c r="N23" s="3345"/>
      <c r="O23" s="3346"/>
      <c r="P23" s="2206"/>
    </row>
    <row r="24" spans="1:16" s="2207" customFormat="1" ht="16.5" customHeight="1">
      <c r="A24" s="2132">
        <v>12</v>
      </c>
      <c r="B24" s="2132">
        <v>12</v>
      </c>
      <c r="C24" s="3343"/>
      <c r="D24" s="3344" t="s">
        <v>943</v>
      </c>
      <c r="E24" s="3344" t="s">
        <v>40</v>
      </c>
      <c r="F24" s="3345">
        <v>719591.85714285704</v>
      </c>
      <c r="G24" s="3345">
        <v>279677.57142857101</v>
      </c>
      <c r="H24" s="3345">
        <v>95195</v>
      </c>
      <c r="I24" s="3345">
        <v>0</v>
      </c>
      <c r="J24" s="3345">
        <v>0</v>
      </c>
      <c r="K24" s="3345">
        <f t="shared" si="2"/>
        <v>1094464.4285714282</v>
      </c>
      <c r="L24" s="3345">
        <v>0</v>
      </c>
      <c r="M24" s="3345">
        <f t="shared" si="3"/>
        <v>1094464.4285714282</v>
      </c>
      <c r="N24" s="3345"/>
      <c r="O24" s="3346"/>
      <c r="P24" s="2206"/>
    </row>
    <row r="25" spans="1:16" s="2207" customFormat="1" ht="16.5" customHeight="1">
      <c r="A25" s="2132">
        <v>13</v>
      </c>
      <c r="B25" s="2132">
        <v>13</v>
      </c>
      <c r="C25" s="3343"/>
      <c r="D25" s="3344" t="s">
        <v>1399</v>
      </c>
      <c r="E25" s="3344" t="s">
        <v>40</v>
      </c>
      <c r="F25" s="3345">
        <v>719591.85714285704</v>
      </c>
      <c r="G25" s="3345">
        <v>279677.57142857101</v>
      </c>
      <c r="H25" s="3345">
        <v>95195</v>
      </c>
      <c r="I25" s="3345">
        <v>0</v>
      </c>
      <c r="J25" s="3345">
        <v>0</v>
      </c>
      <c r="K25" s="3345">
        <f t="shared" si="2"/>
        <v>1094464.4285714282</v>
      </c>
      <c r="L25" s="3345">
        <v>0</v>
      </c>
      <c r="M25" s="3345">
        <f t="shared" si="3"/>
        <v>1094464.4285714282</v>
      </c>
      <c r="N25" s="3345"/>
      <c r="O25" s="3346"/>
      <c r="P25" s="2206"/>
    </row>
    <row r="26" spans="1:16" s="2207" customFormat="1" ht="16.5" customHeight="1">
      <c r="A26" s="2132">
        <v>14</v>
      </c>
      <c r="B26" s="2132">
        <v>14</v>
      </c>
      <c r="C26" s="3343"/>
      <c r="D26" s="3344" t="s">
        <v>1400</v>
      </c>
      <c r="E26" s="3344" t="s">
        <v>40</v>
      </c>
      <c r="F26" s="3345">
        <v>719591.85714285704</v>
      </c>
      <c r="G26" s="3345">
        <v>279677.57142857101</v>
      </c>
      <c r="H26" s="3345">
        <v>95195</v>
      </c>
      <c r="I26" s="3345">
        <v>0</v>
      </c>
      <c r="J26" s="3345">
        <v>0</v>
      </c>
      <c r="K26" s="3345">
        <f t="shared" si="2"/>
        <v>1094464.4285714282</v>
      </c>
      <c r="L26" s="3345">
        <v>0</v>
      </c>
      <c r="M26" s="3345">
        <f t="shared" si="3"/>
        <v>1094464.4285714282</v>
      </c>
      <c r="N26" s="3345"/>
      <c r="O26" s="3346"/>
      <c r="P26" s="2206"/>
    </row>
    <row r="27" spans="1:16" s="2207" customFormat="1" ht="16.5" customHeight="1">
      <c r="A27" s="2132">
        <v>15</v>
      </c>
      <c r="B27" s="2132">
        <v>15</v>
      </c>
      <c r="C27" s="3343"/>
      <c r="D27" s="3344" t="s">
        <v>1401</v>
      </c>
      <c r="E27" s="3344" t="s">
        <v>40</v>
      </c>
      <c r="F27" s="3345">
        <v>719591.85714285704</v>
      </c>
      <c r="G27" s="3345">
        <v>279677.57142857101</v>
      </c>
      <c r="H27" s="3345">
        <v>95195</v>
      </c>
      <c r="I27" s="3345">
        <v>0</v>
      </c>
      <c r="J27" s="3345">
        <v>0</v>
      </c>
      <c r="K27" s="3345">
        <f t="shared" si="2"/>
        <v>1094464.4285714282</v>
      </c>
      <c r="L27" s="3345">
        <v>0</v>
      </c>
      <c r="M27" s="3345">
        <f t="shared" si="3"/>
        <v>1094464.4285714282</v>
      </c>
      <c r="N27" s="3345"/>
      <c r="O27" s="3346"/>
      <c r="P27" s="2206"/>
    </row>
    <row r="28" spans="1:16" s="2207" customFormat="1" ht="16.5" customHeight="1">
      <c r="A28" s="2132">
        <v>16</v>
      </c>
      <c r="B28" s="2132">
        <v>16</v>
      </c>
      <c r="C28" s="3343"/>
      <c r="D28" s="3344" t="s">
        <v>1402</v>
      </c>
      <c r="E28" s="3344" t="s">
        <v>40</v>
      </c>
      <c r="F28" s="3345">
        <f>220000-122679</f>
        <v>97321</v>
      </c>
      <c r="G28" s="3345">
        <v>787736.7391317389</v>
      </c>
      <c r="H28" s="3345">
        <v>92698</v>
      </c>
      <c r="I28" s="3345">
        <v>0</v>
      </c>
      <c r="J28" s="3345">
        <v>0</v>
      </c>
      <c r="K28" s="3345">
        <f t="shared" si="2"/>
        <v>977755.7391317389</v>
      </c>
      <c r="L28" s="3345">
        <v>0</v>
      </c>
      <c r="M28" s="3345">
        <f t="shared" si="3"/>
        <v>977755.7391317389</v>
      </c>
      <c r="N28" s="3345"/>
      <c r="O28" s="3346"/>
      <c r="P28" s="2206"/>
    </row>
    <row r="29" spans="1:16" s="2207" customFormat="1" ht="16.5" customHeight="1">
      <c r="A29" s="2132">
        <v>17</v>
      </c>
      <c r="B29" s="2132">
        <v>17</v>
      </c>
      <c r="C29" s="3343"/>
      <c r="D29" s="3344" t="s">
        <v>1403</v>
      </c>
      <c r="E29" s="3344" t="s">
        <v>40</v>
      </c>
      <c r="F29" s="3345">
        <v>220000</v>
      </c>
      <c r="G29" s="3345">
        <v>787736.7391317389</v>
      </c>
      <c r="H29" s="3345">
        <v>92698</v>
      </c>
      <c r="I29" s="3345">
        <v>0</v>
      </c>
      <c r="J29" s="3345">
        <v>0</v>
      </c>
      <c r="K29" s="3345">
        <f t="shared" si="2"/>
        <v>1100434.7391317389</v>
      </c>
      <c r="L29" s="3345">
        <v>0</v>
      </c>
      <c r="M29" s="3345">
        <f t="shared" si="3"/>
        <v>1100434.7391317389</v>
      </c>
      <c r="N29" s="3345"/>
      <c r="O29" s="3346"/>
      <c r="P29" s="2206"/>
    </row>
    <row r="30" spans="1:16" s="2207" customFormat="1" ht="16.5" customHeight="1">
      <c r="A30" s="2132">
        <v>18</v>
      </c>
      <c r="B30" s="2132">
        <v>18</v>
      </c>
      <c r="C30" s="3343"/>
      <c r="D30" s="3344" t="s">
        <v>1404</v>
      </c>
      <c r="E30" s="3344" t="s">
        <v>40</v>
      </c>
      <c r="F30" s="3345">
        <v>220000</v>
      </c>
      <c r="G30" s="3345">
        <v>787736.7391317389</v>
      </c>
      <c r="H30" s="3345">
        <v>92698</v>
      </c>
      <c r="I30" s="3345">
        <v>0</v>
      </c>
      <c r="J30" s="3345">
        <v>0</v>
      </c>
      <c r="K30" s="3345">
        <f t="shared" si="2"/>
        <v>1100434.7391317389</v>
      </c>
      <c r="L30" s="3345">
        <v>0</v>
      </c>
      <c r="M30" s="3345">
        <f t="shared" si="3"/>
        <v>1100434.7391317389</v>
      </c>
      <c r="N30" s="3345"/>
      <c r="O30" s="3346"/>
      <c r="P30" s="2206"/>
    </row>
    <row r="31" spans="1:16" s="2207" customFormat="1" ht="16.5" customHeight="1">
      <c r="A31" s="2132">
        <v>19</v>
      </c>
      <c r="B31" s="2132">
        <v>19</v>
      </c>
      <c r="C31" s="3343"/>
      <c r="D31" s="3344" t="s">
        <v>1405</v>
      </c>
      <c r="E31" s="3344" t="s">
        <v>40</v>
      </c>
      <c r="F31" s="3345">
        <v>220000</v>
      </c>
      <c r="G31" s="3345">
        <v>787736.7391317389</v>
      </c>
      <c r="H31" s="3345">
        <v>92698</v>
      </c>
      <c r="I31" s="3345">
        <v>0</v>
      </c>
      <c r="J31" s="3345">
        <v>0</v>
      </c>
      <c r="K31" s="3345">
        <f t="shared" si="2"/>
        <v>1100434.7391317389</v>
      </c>
      <c r="L31" s="3345">
        <v>0</v>
      </c>
      <c r="M31" s="3345">
        <f t="shared" si="3"/>
        <v>1100434.7391317389</v>
      </c>
      <c r="N31" s="3345"/>
      <c r="O31" s="3346"/>
      <c r="P31" s="2206"/>
    </row>
    <row r="32" spans="1:16" s="2207" customFormat="1" ht="16.5" customHeight="1">
      <c r="A32" s="2132">
        <v>20</v>
      </c>
      <c r="B32" s="2132">
        <v>20</v>
      </c>
      <c r="C32" s="3343"/>
      <c r="D32" s="3344" t="s">
        <v>1406</v>
      </c>
      <c r="E32" s="3344" t="s">
        <v>40</v>
      </c>
      <c r="F32" s="3345">
        <v>220000</v>
      </c>
      <c r="G32" s="3345">
        <v>787736.7391317389</v>
      </c>
      <c r="H32" s="3345">
        <v>92698</v>
      </c>
      <c r="I32" s="3345">
        <v>0</v>
      </c>
      <c r="J32" s="3345">
        <v>0</v>
      </c>
      <c r="K32" s="3345">
        <f t="shared" si="2"/>
        <v>1100434.7391317389</v>
      </c>
      <c r="L32" s="3345">
        <v>0</v>
      </c>
      <c r="M32" s="3345">
        <f t="shared" si="3"/>
        <v>1100434.7391317389</v>
      </c>
      <c r="N32" s="3345"/>
      <c r="O32" s="3346"/>
      <c r="P32" s="2206"/>
    </row>
    <row r="33" spans="1:16" s="2207" customFormat="1" ht="16.5" customHeight="1">
      <c r="A33" s="2132">
        <v>21</v>
      </c>
      <c r="B33" s="2132">
        <v>21</v>
      </c>
      <c r="C33" s="3343"/>
      <c r="D33" s="3344" t="s">
        <v>1407</v>
      </c>
      <c r="E33" s="3344" t="s">
        <v>40</v>
      </c>
      <c r="F33" s="3345">
        <v>220000</v>
      </c>
      <c r="G33" s="3345">
        <v>787736.7391317389</v>
      </c>
      <c r="H33" s="3345">
        <v>92698</v>
      </c>
      <c r="I33" s="3345">
        <v>0</v>
      </c>
      <c r="J33" s="3345">
        <v>0</v>
      </c>
      <c r="K33" s="3345">
        <f t="shared" si="2"/>
        <v>1100434.7391317389</v>
      </c>
      <c r="L33" s="3345">
        <v>0</v>
      </c>
      <c r="M33" s="3345">
        <f t="shared" si="3"/>
        <v>1100434.7391317389</v>
      </c>
      <c r="N33" s="3345"/>
      <c r="O33" s="3346"/>
      <c r="P33" s="2206"/>
    </row>
    <row r="34" spans="1:16" s="2207" customFormat="1" ht="16.5" customHeight="1">
      <c r="A34" s="2132">
        <v>22</v>
      </c>
      <c r="B34" s="2132">
        <v>22</v>
      </c>
      <c r="C34" s="3343">
        <v>0</v>
      </c>
      <c r="D34" s="3344" t="s">
        <v>109</v>
      </c>
      <c r="E34" s="3344" t="s">
        <v>40</v>
      </c>
      <c r="F34" s="3345">
        <v>717142.85714285704</v>
      </c>
      <c r="G34" s="3345">
        <v>111399.22478206801</v>
      </c>
      <c r="H34" s="3345">
        <v>250884</v>
      </c>
      <c r="I34" s="3345">
        <v>0</v>
      </c>
      <c r="J34" s="3345">
        <v>0</v>
      </c>
      <c r="K34" s="3345">
        <f t="shared" si="2"/>
        <v>1079426.0819249251</v>
      </c>
      <c r="L34" s="3345">
        <v>0</v>
      </c>
      <c r="M34" s="3345">
        <f t="shared" si="3"/>
        <v>1079426.0819249251</v>
      </c>
      <c r="N34" s="3345"/>
      <c r="O34" s="3346"/>
      <c r="P34" s="2206"/>
    </row>
    <row r="35" spans="1:16" s="2207" customFormat="1" ht="16.5" customHeight="1">
      <c r="A35" s="2132">
        <v>23</v>
      </c>
      <c r="B35" s="2132">
        <v>23</v>
      </c>
      <c r="C35" s="3343"/>
      <c r="D35" s="3344" t="s">
        <v>1408</v>
      </c>
      <c r="E35" s="3344" t="s">
        <v>40</v>
      </c>
      <c r="F35" s="3345">
        <v>717142.85714285704</v>
      </c>
      <c r="G35" s="3345">
        <v>111399.22478206801</v>
      </c>
      <c r="H35" s="3345">
        <v>250884</v>
      </c>
      <c r="I35" s="3345">
        <v>0</v>
      </c>
      <c r="J35" s="3345">
        <v>0</v>
      </c>
      <c r="K35" s="3345">
        <f t="shared" si="2"/>
        <v>1079426.0819249251</v>
      </c>
      <c r="L35" s="3345">
        <v>0</v>
      </c>
      <c r="M35" s="3345">
        <f t="shared" si="3"/>
        <v>1079426.0819249251</v>
      </c>
      <c r="N35" s="3345"/>
      <c r="O35" s="3346"/>
      <c r="P35" s="2206"/>
    </row>
    <row r="36" spans="1:16" s="2207" customFormat="1" ht="16.5" customHeight="1">
      <c r="A36" s="2132">
        <v>24</v>
      </c>
      <c r="B36" s="2132">
        <v>24</v>
      </c>
      <c r="C36" s="3343"/>
      <c r="D36" s="3344" t="s">
        <v>1409</v>
      </c>
      <c r="E36" s="3344" t="s">
        <v>40</v>
      </c>
      <c r="F36" s="3345">
        <v>717142.85714285704</v>
      </c>
      <c r="G36" s="3345">
        <v>111399.22478206801</v>
      </c>
      <c r="H36" s="3345">
        <v>250884</v>
      </c>
      <c r="I36" s="3345">
        <v>0</v>
      </c>
      <c r="J36" s="3345">
        <v>0</v>
      </c>
      <c r="K36" s="3345">
        <f t="shared" si="2"/>
        <v>1079426.0819249251</v>
      </c>
      <c r="L36" s="3345">
        <v>0</v>
      </c>
      <c r="M36" s="3345">
        <f t="shared" si="3"/>
        <v>1079426.0819249251</v>
      </c>
      <c r="N36" s="3345"/>
      <c r="O36" s="3346"/>
      <c r="P36" s="2206"/>
    </row>
    <row r="37" spans="1:16" s="2207" customFormat="1" ht="16.5" customHeight="1">
      <c r="A37" s="2132">
        <v>25</v>
      </c>
      <c r="B37" s="2132">
        <v>25</v>
      </c>
      <c r="C37" s="3343"/>
      <c r="D37" s="3344" t="s">
        <v>1410</v>
      </c>
      <c r="E37" s="3344" t="s">
        <v>40</v>
      </c>
      <c r="F37" s="3345">
        <v>717142.85714285704</v>
      </c>
      <c r="G37" s="3345">
        <v>111399.22478206801</v>
      </c>
      <c r="H37" s="3345">
        <v>250884</v>
      </c>
      <c r="I37" s="3345">
        <v>0</v>
      </c>
      <c r="J37" s="3345">
        <v>0</v>
      </c>
      <c r="K37" s="3345">
        <f t="shared" si="2"/>
        <v>1079426.0819249251</v>
      </c>
      <c r="L37" s="3345">
        <v>0</v>
      </c>
      <c r="M37" s="3345">
        <f t="shared" si="3"/>
        <v>1079426.0819249251</v>
      </c>
      <c r="N37" s="3345"/>
      <c r="O37" s="3346"/>
      <c r="P37" s="2206"/>
    </row>
    <row r="38" spans="1:16" s="2207" customFormat="1" ht="16.5" customHeight="1">
      <c r="A38" s="2132">
        <v>26</v>
      </c>
      <c r="B38" s="2132">
        <v>26</v>
      </c>
      <c r="C38" s="3343"/>
      <c r="D38" s="3344" t="s">
        <v>1411</v>
      </c>
      <c r="E38" s="3344" t="s">
        <v>40</v>
      </c>
      <c r="F38" s="3345">
        <v>717142.85714285704</v>
      </c>
      <c r="G38" s="3345">
        <v>111399.22478206801</v>
      </c>
      <c r="H38" s="3345">
        <v>250884</v>
      </c>
      <c r="I38" s="3345">
        <v>0</v>
      </c>
      <c r="J38" s="3345">
        <v>0</v>
      </c>
      <c r="K38" s="3345">
        <f t="shared" si="2"/>
        <v>1079426.0819249251</v>
      </c>
      <c r="L38" s="3345">
        <v>0</v>
      </c>
      <c r="M38" s="3345">
        <f t="shared" si="3"/>
        <v>1079426.0819249251</v>
      </c>
      <c r="N38" s="3345"/>
      <c r="O38" s="3346"/>
      <c r="P38" s="2206"/>
    </row>
    <row r="39" spans="1:16" s="2207" customFormat="1" ht="16.5" customHeight="1">
      <c r="A39" s="2132">
        <v>27</v>
      </c>
      <c r="B39" s="2132">
        <v>27</v>
      </c>
      <c r="C39" s="3343"/>
      <c r="D39" s="3344" t="s">
        <v>1412</v>
      </c>
      <c r="E39" s="3344" t="s">
        <v>40</v>
      </c>
      <c r="F39" s="3345">
        <v>717142.85714285704</v>
      </c>
      <c r="G39" s="3345">
        <v>111399.22478206801</v>
      </c>
      <c r="H39" s="3345">
        <v>250884</v>
      </c>
      <c r="I39" s="3345">
        <v>0</v>
      </c>
      <c r="J39" s="3345">
        <v>0</v>
      </c>
      <c r="K39" s="3345">
        <f t="shared" si="2"/>
        <v>1079426.0819249251</v>
      </c>
      <c r="L39" s="3345">
        <v>0</v>
      </c>
      <c r="M39" s="3345">
        <f t="shared" si="3"/>
        <v>1079426.0819249251</v>
      </c>
      <c r="N39" s="3345"/>
      <c r="O39" s="3346"/>
      <c r="P39" s="2206"/>
    </row>
    <row r="40" spans="1:16" s="2207" customFormat="1" ht="16.5" customHeight="1">
      <c r="A40" s="2132">
        <v>28</v>
      </c>
      <c r="B40" s="2132">
        <v>28</v>
      </c>
      <c r="C40" s="3343"/>
      <c r="D40" s="3344" t="s">
        <v>1413</v>
      </c>
      <c r="E40" s="3344" t="s">
        <v>40</v>
      </c>
      <c r="F40" s="3345">
        <v>117142.857142857</v>
      </c>
      <c r="G40" s="3345">
        <v>711399.22478206805</v>
      </c>
      <c r="H40" s="3345">
        <v>250884</v>
      </c>
      <c r="I40" s="3345">
        <v>0</v>
      </c>
      <c r="J40" s="3345">
        <v>0</v>
      </c>
      <c r="K40" s="3345">
        <f t="shared" si="2"/>
        <v>1079426.0819249251</v>
      </c>
      <c r="L40" s="3345">
        <v>0</v>
      </c>
      <c r="M40" s="3345">
        <f t="shared" si="3"/>
        <v>1079426.0819249251</v>
      </c>
      <c r="N40" s="3345"/>
      <c r="O40" s="3346"/>
      <c r="P40" s="2206"/>
    </row>
    <row r="41" spans="1:16" s="2207" customFormat="1" ht="16.5" customHeight="1">
      <c r="A41" s="2132">
        <v>29</v>
      </c>
      <c r="B41" s="2132">
        <v>29</v>
      </c>
      <c r="C41" s="3343">
        <v>0</v>
      </c>
      <c r="D41" s="3344" t="s">
        <v>1414</v>
      </c>
      <c r="E41" s="3344" t="s">
        <v>40</v>
      </c>
      <c r="F41" s="3345">
        <v>20000</v>
      </c>
      <c r="G41" s="3345">
        <v>770150.28040060343</v>
      </c>
      <c r="H41" s="3345">
        <v>284293.66666666669</v>
      </c>
      <c r="I41" s="3345">
        <v>0</v>
      </c>
      <c r="J41" s="3345">
        <v>0</v>
      </c>
      <c r="K41" s="3345">
        <f t="shared" si="2"/>
        <v>1074443.9470672701</v>
      </c>
      <c r="L41" s="3345">
        <v>0</v>
      </c>
      <c r="M41" s="3345">
        <f t="shared" si="3"/>
        <v>1074443.9470672701</v>
      </c>
      <c r="N41" s="3345"/>
      <c r="O41" s="3346"/>
      <c r="P41" s="2206"/>
    </row>
    <row r="42" spans="1:16" s="2207" customFormat="1" ht="16.5" customHeight="1">
      <c r="A42" s="2132">
        <v>30</v>
      </c>
      <c r="B42" s="2132">
        <v>30</v>
      </c>
      <c r="C42" s="3343"/>
      <c r="D42" s="3344" t="s">
        <v>1415</v>
      </c>
      <c r="E42" s="3344" t="s">
        <v>40</v>
      </c>
      <c r="F42" s="3345">
        <v>20000</v>
      </c>
      <c r="G42" s="3345">
        <v>770150.28040060343</v>
      </c>
      <c r="H42" s="3345">
        <v>284293.66666666669</v>
      </c>
      <c r="I42" s="3345">
        <v>0</v>
      </c>
      <c r="J42" s="3345">
        <v>0</v>
      </c>
      <c r="K42" s="3345">
        <f t="shared" si="2"/>
        <v>1074443.9470672701</v>
      </c>
      <c r="L42" s="3345">
        <v>0</v>
      </c>
      <c r="M42" s="3345">
        <f t="shared" si="3"/>
        <v>1074443.9470672701</v>
      </c>
      <c r="N42" s="3345"/>
      <c r="O42" s="3346"/>
      <c r="P42" s="2206"/>
    </row>
    <row r="43" spans="1:16" s="2207" customFormat="1" ht="16.5" customHeight="1">
      <c r="A43" s="2132">
        <v>31</v>
      </c>
      <c r="B43" s="2132">
        <v>31</v>
      </c>
      <c r="C43" s="3343"/>
      <c r="D43" s="3344" t="s">
        <v>1416</v>
      </c>
      <c r="E43" s="3344" t="s">
        <v>40</v>
      </c>
      <c r="F43" s="3345">
        <v>20000</v>
      </c>
      <c r="G43" s="3345">
        <v>770150.28040060343</v>
      </c>
      <c r="H43" s="3345">
        <v>284293.66666666669</v>
      </c>
      <c r="I43" s="3345">
        <v>0</v>
      </c>
      <c r="J43" s="3345">
        <v>0</v>
      </c>
      <c r="K43" s="3345">
        <f t="shared" si="2"/>
        <v>1074443.9470672701</v>
      </c>
      <c r="L43" s="3345">
        <v>0</v>
      </c>
      <c r="M43" s="3345">
        <f t="shared" si="3"/>
        <v>1074443.9470672701</v>
      </c>
      <c r="N43" s="3345"/>
      <c r="O43" s="3346"/>
      <c r="P43" s="2206"/>
    </row>
    <row r="44" spans="1:16" s="2207" customFormat="1" ht="16.5" customHeight="1">
      <c r="A44" s="2132">
        <v>32</v>
      </c>
      <c r="B44" s="2132">
        <v>32</v>
      </c>
      <c r="C44" s="3343"/>
      <c r="D44" s="3344" t="s">
        <v>1417</v>
      </c>
      <c r="E44" s="3344" t="s">
        <v>40</v>
      </c>
      <c r="F44" s="3345">
        <v>20000</v>
      </c>
      <c r="G44" s="3345">
        <v>770150.28040060343</v>
      </c>
      <c r="H44" s="3345">
        <v>284293.66666666669</v>
      </c>
      <c r="I44" s="3345">
        <v>0</v>
      </c>
      <c r="J44" s="3345">
        <v>0</v>
      </c>
      <c r="K44" s="3345">
        <f t="shared" si="2"/>
        <v>1074443.9470672701</v>
      </c>
      <c r="L44" s="3345">
        <v>0</v>
      </c>
      <c r="M44" s="3345">
        <f t="shared" si="3"/>
        <v>1074443.9470672701</v>
      </c>
      <c r="N44" s="3345"/>
      <c r="O44" s="3346"/>
      <c r="P44" s="2206"/>
    </row>
    <row r="45" spans="1:16" s="2207" customFormat="1" ht="16.5" customHeight="1">
      <c r="A45" s="2132">
        <v>33</v>
      </c>
      <c r="B45" s="2132">
        <v>33</v>
      </c>
      <c r="C45" s="3343"/>
      <c r="D45" s="3344" t="s">
        <v>1418</v>
      </c>
      <c r="E45" s="3344" t="s">
        <v>40</v>
      </c>
      <c r="F45" s="3345">
        <v>20000</v>
      </c>
      <c r="G45" s="3345">
        <v>770150.28040060343</v>
      </c>
      <c r="H45" s="3345">
        <v>284293.66666666669</v>
      </c>
      <c r="I45" s="3345">
        <v>0</v>
      </c>
      <c r="J45" s="3345">
        <v>0</v>
      </c>
      <c r="K45" s="3345">
        <f t="shared" si="2"/>
        <v>1074443.9470672701</v>
      </c>
      <c r="L45" s="3345">
        <v>0</v>
      </c>
      <c r="M45" s="3345">
        <f t="shared" si="3"/>
        <v>1074443.9470672701</v>
      </c>
      <c r="N45" s="3345"/>
      <c r="O45" s="3346"/>
      <c r="P45" s="2206"/>
    </row>
    <row r="46" spans="1:16" s="2207" customFormat="1" ht="16.5" customHeight="1">
      <c r="A46" s="2132">
        <v>34</v>
      </c>
      <c r="B46" s="2132">
        <v>34</v>
      </c>
      <c r="C46" s="3343"/>
      <c r="D46" s="3344" t="s">
        <v>1419</v>
      </c>
      <c r="E46" s="3344" t="s">
        <v>40</v>
      </c>
      <c r="F46" s="3345">
        <v>20000</v>
      </c>
      <c r="G46" s="3345">
        <v>770150.28040060343</v>
      </c>
      <c r="H46" s="3345">
        <v>284293.66666666669</v>
      </c>
      <c r="I46" s="3345">
        <v>0</v>
      </c>
      <c r="J46" s="3345">
        <v>0</v>
      </c>
      <c r="K46" s="3345">
        <f t="shared" si="2"/>
        <v>1074443.9470672701</v>
      </c>
      <c r="L46" s="3345">
        <v>0</v>
      </c>
      <c r="M46" s="3345">
        <f t="shared" si="3"/>
        <v>1074443.9470672701</v>
      </c>
      <c r="N46" s="3345"/>
      <c r="O46" s="3346"/>
      <c r="P46" s="2206"/>
    </row>
    <row r="47" spans="1:16" s="2207" customFormat="1" ht="16.5" customHeight="1">
      <c r="A47" s="2132">
        <v>35</v>
      </c>
      <c r="B47" s="2132">
        <v>35</v>
      </c>
      <c r="C47" s="3343">
        <v>0</v>
      </c>
      <c r="D47" s="3344" t="s">
        <v>1420</v>
      </c>
      <c r="E47" s="3344" t="s">
        <v>40</v>
      </c>
      <c r="F47" s="3345">
        <v>13333.333333333334</v>
      </c>
      <c r="G47" s="3345">
        <v>881563.93515539449</v>
      </c>
      <c r="H47" s="3345">
        <v>296151.33333333331</v>
      </c>
      <c r="I47" s="3345">
        <v>0</v>
      </c>
      <c r="J47" s="3345">
        <v>0</v>
      </c>
      <c r="K47" s="3345">
        <f t="shared" si="2"/>
        <v>1191048.6018220612</v>
      </c>
      <c r="L47" s="3345">
        <v>0</v>
      </c>
      <c r="M47" s="3345">
        <f t="shared" si="3"/>
        <v>1191048.6018220612</v>
      </c>
      <c r="N47" s="3345"/>
      <c r="O47" s="3346"/>
      <c r="P47" s="2206"/>
    </row>
    <row r="48" spans="1:16" s="2207" customFormat="1" ht="16.5" customHeight="1">
      <c r="A48" s="2132">
        <v>36</v>
      </c>
      <c r="B48" s="2132">
        <v>36</v>
      </c>
      <c r="C48" s="3343"/>
      <c r="D48" s="3344" t="s">
        <v>1421</v>
      </c>
      <c r="E48" s="3344" t="s">
        <v>40</v>
      </c>
      <c r="F48" s="3345">
        <v>13333.333333333334</v>
      </c>
      <c r="G48" s="3345">
        <v>881563.93515539449</v>
      </c>
      <c r="H48" s="3345">
        <v>296151.33333333331</v>
      </c>
      <c r="I48" s="3345">
        <v>0</v>
      </c>
      <c r="J48" s="3345">
        <v>0</v>
      </c>
      <c r="K48" s="3345">
        <f t="shared" si="2"/>
        <v>1191048.6018220612</v>
      </c>
      <c r="L48" s="3345">
        <v>0</v>
      </c>
      <c r="M48" s="3345">
        <f t="shared" si="3"/>
        <v>1191048.6018220612</v>
      </c>
      <c r="N48" s="3345"/>
      <c r="O48" s="3346"/>
      <c r="P48" s="2206"/>
    </row>
    <row r="49" spans="1:16" s="2207" customFormat="1" ht="16.5" customHeight="1">
      <c r="A49" s="2132">
        <v>37</v>
      </c>
      <c r="B49" s="2132">
        <v>37</v>
      </c>
      <c r="C49" s="3343"/>
      <c r="D49" s="3344" t="s">
        <v>1422</v>
      </c>
      <c r="E49" s="3344" t="s">
        <v>40</v>
      </c>
      <c r="F49" s="3345">
        <v>13333.333333333334</v>
      </c>
      <c r="G49" s="3345">
        <v>881563.93515539449</v>
      </c>
      <c r="H49" s="3345">
        <v>296151.33333333331</v>
      </c>
      <c r="I49" s="3345">
        <v>0</v>
      </c>
      <c r="J49" s="3345">
        <v>0</v>
      </c>
      <c r="K49" s="3345">
        <f t="shared" si="2"/>
        <v>1191048.6018220612</v>
      </c>
      <c r="L49" s="3345">
        <v>0</v>
      </c>
      <c r="M49" s="3345">
        <f t="shared" si="3"/>
        <v>1191048.6018220612</v>
      </c>
      <c r="N49" s="3345"/>
      <c r="O49" s="3346"/>
      <c r="P49" s="2206"/>
    </row>
    <row r="50" spans="1:16" s="2207" customFormat="1" ht="16.5" customHeight="1">
      <c r="A50" s="2132">
        <v>38</v>
      </c>
      <c r="B50" s="2132">
        <v>38</v>
      </c>
      <c r="C50" s="3343"/>
      <c r="D50" s="3344" t="s">
        <v>1423</v>
      </c>
      <c r="E50" s="3344" t="s">
        <v>40</v>
      </c>
      <c r="F50" s="3345">
        <v>13333.333333333334</v>
      </c>
      <c r="G50" s="3345">
        <v>881563.93515539449</v>
      </c>
      <c r="H50" s="3345">
        <v>296151.33333333331</v>
      </c>
      <c r="I50" s="3345">
        <v>0</v>
      </c>
      <c r="J50" s="3345">
        <v>0</v>
      </c>
      <c r="K50" s="3345">
        <f t="shared" si="2"/>
        <v>1191048.6018220612</v>
      </c>
      <c r="L50" s="3345">
        <v>0</v>
      </c>
      <c r="M50" s="3345">
        <f t="shared" si="3"/>
        <v>1191048.6018220612</v>
      </c>
      <c r="N50" s="3345"/>
      <c r="O50" s="3346"/>
      <c r="P50" s="2206"/>
    </row>
    <row r="51" spans="1:16" s="2207" customFormat="1" ht="16.5" customHeight="1">
      <c r="A51" s="2132">
        <v>39</v>
      </c>
      <c r="B51" s="2132">
        <v>39</v>
      </c>
      <c r="C51" s="3343"/>
      <c r="D51" s="3344" t="s">
        <v>1424</v>
      </c>
      <c r="E51" s="3344" t="s">
        <v>40</v>
      </c>
      <c r="F51" s="3345">
        <v>13333.333333333334</v>
      </c>
      <c r="G51" s="3345">
        <v>881563.93515539449</v>
      </c>
      <c r="H51" s="3345">
        <v>296151.33333333331</v>
      </c>
      <c r="I51" s="3345">
        <v>0</v>
      </c>
      <c r="J51" s="3345">
        <v>0</v>
      </c>
      <c r="K51" s="3345">
        <f t="shared" si="2"/>
        <v>1191048.6018220612</v>
      </c>
      <c r="L51" s="3345">
        <v>0</v>
      </c>
      <c r="M51" s="3345">
        <f t="shared" si="3"/>
        <v>1191048.6018220612</v>
      </c>
      <c r="N51" s="3345"/>
      <c r="O51" s="3346"/>
      <c r="P51" s="2206"/>
    </row>
    <row r="52" spans="1:16" s="2207" customFormat="1" ht="16.5" customHeight="1">
      <c r="A52" s="2132">
        <v>40</v>
      </c>
      <c r="B52" s="2132">
        <v>40</v>
      </c>
      <c r="C52" s="3343"/>
      <c r="D52" s="3344" t="s">
        <v>1425</v>
      </c>
      <c r="E52" s="3344" t="s">
        <v>40</v>
      </c>
      <c r="F52" s="3345">
        <v>13333.333333333334</v>
      </c>
      <c r="G52" s="3345">
        <v>881563.93515539449</v>
      </c>
      <c r="H52" s="3345">
        <v>296151.33333333331</v>
      </c>
      <c r="I52" s="3345">
        <v>0</v>
      </c>
      <c r="J52" s="3345">
        <v>0</v>
      </c>
      <c r="K52" s="3345">
        <f t="shared" si="2"/>
        <v>1191048.6018220612</v>
      </c>
      <c r="L52" s="3345">
        <v>0</v>
      </c>
      <c r="M52" s="3345">
        <f t="shared" si="3"/>
        <v>1191048.6018220612</v>
      </c>
      <c r="N52" s="3345"/>
      <c r="O52" s="3346"/>
      <c r="P52" s="2206"/>
    </row>
    <row r="53" spans="1:16" s="2207" customFormat="1" ht="16.5" customHeight="1">
      <c r="A53" s="2132">
        <v>41</v>
      </c>
      <c r="B53" s="2132">
        <v>41</v>
      </c>
      <c r="C53" s="3343">
        <v>0</v>
      </c>
      <c r="D53" s="3344" t="s">
        <v>1426</v>
      </c>
      <c r="E53" s="3344" t="s">
        <v>40</v>
      </c>
      <c r="F53" s="3345">
        <v>16000</v>
      </c>
      <c r="G53" s="3345">
        <v>754468.90440299222</v>
      </c>
      <c r="H53" s="3345">
        <v>292785.2</v>
      </c>
      <c r="I53" s="3345">
        <v>0</v>
      </c>
      <c r="J53" s="3345">
        <v>0</v>
      </c>
      <c r="K53" s="3345">
        <f t="shared" si="2"/>
        <v>1063254.1044029922</v>
      </c>
      <c r="L53" s="3345">
        <v>0</v>
      </c>
      <c r="M53" s="3345">
        <f t="shared" si="3"/>
        <v>1063254.1044029922</v>
      </c>
      <c r="N53" s="3345"/>
      <c r="O53" s="3346"/>
      <c r="P53" s="2206"/>
    </row>
    <row r="54" spans="1:16" s="2207" customFormat="1" ht="16.5" customHeight="1">
      <c r="A54" s="2132">
        <v>42</v>
      </c>
      <c r="B54" s="2132">
        <v>42</v>
      </c>
      <c r="C54" s="3343"/>
      <c r="D54" s="3344" t="s">
        <v>1427</v>
      </c>
      <c r="E54" s="3344" t="s">
        <v>40</v>
      </c>
      <c r="F54" s="3345">
        <v>16000</v>
      </c>
      <c r="G54" s="3345">
        <v>754468.90440299222</v>
      </c>
      <c r="H54" s="3345">
        <v>292785.2</v>
      </c>
      <c r="I54" s="3345">
        <v>0</v>
      </c>
      <c r="J54" s="3345">
        <v>0</v>
      </c>
      <c r="K54" s="3345">
        <f t="shared" si="2"/>
        <v>1063254.1044029922</v>
      </c>
      <c r="L54" s="3345">
        <v>0</v>
      </c>
      <c r="M54" s="3345">
        <f t="shared" si="3"/>
        <v>1063254.1044029922</v>
      </c>
      <c r="N54" s="3345"/>
      <c r="O54" s="3346"/>
      <c r="P54" s="2206"/>
    </row>
    <row r="55" spans="1:16" s="2207" customFormat="1" ht="16.5" customHeight="1">
      <c r="A55" s="2132">
        <v>43</v>
      </c>
      <c r="B55" s="2132">
        <v>43</v>
      </c>
      <c r="C55" s="3343"/>
      <c r="D55" s="3344" t="s">
        <v>1428</v>
      </c>
      <c r="E55" s="3344" t="s">
        <v>40</v>
      </c>
      <c r="F55" s="3345">
        <v>16000</v>
      </c>
      <c r="G55" s="3345">
        <v>754468.90440299222</v>
      </c>
      <c r="H55" s="3345">
        <v>292785.2</v>
      </c>
      <c r="I55" s="3345">
        <v>0</v>
      </c>
      <c r="J55" s="3345">
        <v>0</v>
      </c>
      <c r="K55" s="3345">
        <f t="shared" si="2"/>
        <v>1063254.1044029922</v>
      </c>
      <c r="L55" s="3345">
        <v>0</v>
      </c>
      <c r="M55" s="3345">
        <f t="shared" si="3"/>
        <v>1063254.1044029922</v>
      </c>
      <c r="N55" s="3345"/>
      <c r="O55" s="3346"/>
      <c r="P55" s="2206"/>
    </row>
    <row r="56" spans="1:16" s="2207" customFormat="1" ht="16.5" customHeight="1">
      <c r="A56" s="2132">
        <v>44</v>
      </c>
      <c r="B56" s="2132">
        <v>44</v>
      </c>
      <c r="C56" s="3343"/>
      <c r="D56" s="3344" t="s">
        <v>1429</v>
      </c>
      <c r="E56" s="3344" t="s">
        <v>40</v>
      </c>
      <c r="F56" s="3345">
        <v>16000</v>
      </c>
      <c r="G56" s="3345">
        <v>754468.90440299222</v>
      </c>
      <c r="H56" s="3345">
        <v>292785.2</v>
      </c>
      <c r="I56" s="3345">
        <v>0</v>
      </c>
      <c r="J56" s="3345">
        <v>0</v>
      </c>
      <c r="K56" s="3345">
        <f t="shared" si="2"/>
        <v>1063254.1044029922</v>
      </c>
      <c r="L56" s="3345">
        <v>0</v>
      </c>
      <c r="M56" s="3345">
        <f t="shared" si="3"/>
        <v>1063254.1044029922</v>
      </c>
      <c r="N56" s="3345"/>
      <c r="O56" s="3346"/>
      <c r="P56" s="2206"/>
    </row>
    <row r="57" spans="1:16" s="2207" customFormat="1" ht="16.5" customHeight="1">
      <c r="A57" s="2132">
        <v>45</v>
      </c>
      <c r="B57" s="2132">
        <v>45</v>
      </c>
      <c r="C57" s="3343"/>
      <c r="D57" s="3344" t="s">
        <v>1430</v>
      </c>
      <c r="E57" s="3344" t="s">
        <v>40</v>
      </c>
      <c r="F57" s="3345">
        <v>16000</v>
      </c>
      <c r="G57" s="3345">
        <v>754468.90440299222</v>
      </c>
      <c r="H57" s="3345">
        <v>292785.2</v>
      </c>
      <c r="I57" s="3345">
        <v>0</v>
      </c>
      <c r="J57" s="3345">
        <v>0</v>
      </c>
      <c r="K57" s="3345">
        <f t="shared" si="2"/>
        <v>1063254.1044029922</v>
      </c>
      <c r="L57" s="3345">
        <v>0</v>
      </c>
      <c r="M57" s="3345">
        <f t="shared" si="3"/>
        <v>1063254.1044029922</v>
      </c>
      <c r="N57" s="3345"/>
      <c r="O57" s="3346"/>
      <c r="P57" s="2206"/>
    </row>
    <row r="58" spans="1:16" s="2207" customFormat="1" ht="16.5" customHeight="1">
      <c r="A58" s="2132">
        <v>46</v>
      </c>
      <c r="B58" s="2132">
        <v>46</v>
      </c>
      <c r="C58" s="3343">
        <v>0</v>
      </c>
      <c r="D58" s="3344" t="s">
        <v>1425</v>
      </c>
      <c r="E58" s="3344" t="s">
        <v>40</v>
      </c>
      <c r="F58" s="3345">
        <v>16000</v>
      </c>
      <c r="G58" s="3345">
        <v>840500.79381908814</v>
      </c>
      <c r="H58" s="3345">
        <v>359434</v>
      </c>
      <c r="I58" s="3345">
        <v>0</v>
      </c>
      <c r="J58" s="3345">
        <v>0</v>
      </c>
      <c r="K58" s="3345">
        <f t="shared" si="2"/>
        <v>1215934.793819088</v>
      </c>
      <c r="L58" s="3345">
        <v>0</v>
      </c>
      <c r="M58" s="3345">
        <f t="shared" si="3"/>
        <v>1215934.793819088</v>
      </c>
      <c r="N58" s="3345"/>
      <c r="O58" s="3346"/>
      <c r="P58" s="2206"/>
    </row>
    <row r="59" spans="1:16" s="2207" customFormat="1" ht="16.5" customHeight="1">
      <c r="A59" s="2132">
        <v>47</v>
      </c>
      <c r="B59" s="2132">
        <v>47</v>
      </c>
      <c r="C59" s="3343"/>
      <c r="D59" s="3344" t="s">
        <v>1426</v>
      </c>
      <c r="E59" s="3344" t="s">
        <v>40</v>
      </c>
      <c r="F59" s="3345">
        <v>16000</v>
      </c>
      <c r="G59" s="3345">
        <v>840500.79381908814</v>
      </c>
      <c r="H59" s="3345">
        <v>359434</v>
      </c>
      <c r="I59" s="3345">
        <v>0</v>
      </c>
      <c r="J59" s="3345">
        <v>0</v>
      </c>
      <c r="K59" s="3345">
        <f t="shared" si="2"/>
        <v>1215934.793819088</v>
      </c>
      <c r="L59" s="3345">
        <v>0</v>
      </c>
      <c r="M59" s="3345">
        <f t="shared" si="3"/>
        <v>1215934.793819088</v>
      </c>
      <c r="N59" s="3345"/>
      <c r="O59" s="3346"/>
      <c r="P59" s="2206"/>
    </row>
    <row r="60" spans="1:16" s="2207" customFormat="1" ht="16.5" customHeight="1">
      <c r="A60" s="2132">
        <v>48</v>
      </c>
      <c r="B60" s="2132">
        <v>48</v>
      </c>
      <c r="C60" s="3343"/>
      <c r="D60" s="3344" t="s">
        <v>1427</v>
      </c>
      <c r="E60" s="3344" t="s">
        <v>40</v>
      </c>
      <c r="F60" s="3345">
        <v>16000</v>
      </c>
      <c r="G60" s="3345">
        <v>840500.79381908814</v>
      </c>
      <c r="H60" s="3345">
        <v>359434</v>
      </c>
      <c r="I60" s="3345">
        <v>0</v>
      </c>
      <c r="J60" s="3345">
        <v>0</v>
      </c>
      <c r="K60" s="3345">
        <f t="shared" si="2"/>
        <v>1215934.793819088</v>
      </c>
      <c r="L60" s="3345">
        <v>0</v>
      </c>
      <c r="M60" s="3345">
        <f t="shared" si="3"/>
        <v>1215934.793819088</v>
      </c>
      <c r="N60" s="3345"/>
      <c r="O60" s="3346"/>
      <c r="P60" s="2206"/>
    </row>
    <row r="61" spans="1:16" s="2207" customFormat="1" ht="16.5" customHeight="1">
      <c r="A61" s="2132">
        <v>49</v>
      </c>
      <c r="B61" s="2132">
        <v>49</v>
      </c>
      <c r="C61" s="3343"/>
      <c r="D61" s="3344" t="s">
        <v>1428</v>
      </c>
      <c r="E61" s="3344" t="s">
        <v>40</v>
      </c>
      <c r="F61" s="3345">
        <v>16000</v>
      </c>
      <c r="G61" s="3345">
        <v>840500.79381908814</v>
      </c>
      <c r="H61" s="3345">
        <v>359434</v>
      </c>
      <c r="I61" s="3345">
        <v>0</v>
      </c>
      <c r="J61" s="3345">
        <v>0</v>
      </c>
      <c r="K61" s="3345">
        <f t="shared" si="2"/>
        <v>1215934.793819088</v>
      </c>
      <c r="L61" s="3345">
        <v>0</v>
      </c>
      <c r="M61" s="3345">
        <f t="shared" si="3"/>
        <v>1215934.793819088</v>
      </c>
      <c r="N61" s="3345"/>
      <c r="O61" s="3346"/>
      <c r="P61" s="2206"/>
    </row>
    <row r="62" spans="1:16" s="2207" customFormat="1" ht="16.5" customHeight="1">
      <c r="A62" s="2132">
        <v>50</v>
      </c>
      <c r="B62" s="2132">
        <v>50</v>
      </c>
      <c r="C62" s="3343"/>
      <c r="D62" s="3344" t="s">
        <v>1429</v>
      </c>
      <c r="E62" s="3344" t="s">
        <v>40</v>
      </c>
      <c r="F62" s="3345">
        <v>16000</v>
      </c>
      <c r="G62" s="3345">
        <v>840500.79381908814</v>
      </c>
      <c r="H62" s="3345">
        <v>359434</v>
      </c>
      <c r="I62" s="3345">
        <v>0</v>
      </c>
      <c r="J62" s="3345">
        <v>0</v>
      </c>
      <c r="K62" s="3345">
        <f t="shared" si="2"/>
        <v>1215934.793819088</v>
      </c>
      <c r="L62" s="3345">
        <v>0</v>
      </c>
      <c r="M62" s="3345">
        <f t="shared" si="3"/>
        <v>1215934.793819088</v>
      </c>
      <c r="N62" s="3345"/>
      <c r="O62" s="3346"/>
      <c r="P62" s="2206"/>
    </row>
    <row r="63" spans="1:16" s="2207" customFormat="1" ht="16.5" customHeight="1">
      <c r="A63" s="2132">
        <v>51</v>
      </c>
      <c r="B63" s="2132">
        <v>51</v>
      </c>
      <c r="C63" s="3343">
        <v>0</v>
      </c>
      <c r="D63" s="3344" t="s">
        <v>1430</v>
      </c>
      <c r="E63" s="3344" t="s">
        <v>40</v>
      </c>
      <c r="F63" s="3345">
        <v>16000</v>
      </c>
      <c r="G63" s="3345">
        <v>796575.34988855198</v>
      </c>
      <c r="H63" s="3345">
        <v>292785.2</v>
      </c>
      <c r="I63" s="3345">
        <v>0</v>
      </c>
      <c r="J63" s="3345">
        <v>0</v>
      </c>
      <c r="K63" s="3345">
        <f t="shared" si="2"/>
        <v>1105360.5498885519</v>
      </c>
      <c r="L63" s="3345">
        <v>0</v>
      </c>
      <c r="M63" s="3345">
        <f t="shared" si="3"/>
        <v>1105360.5498885519</v>
      </c>
      <c r="N63" s="3345"/>
      <c r="O63" s="3346"/>
      <c r="P63" s="2206"/>
    </row>
    <row r="64" spans="1:16" s="2207" customFormat="1" ht="16.5" customHeight="1">
      <c r="A64" s="2132">
        <v>52</v>
      </c>
      <c r="B64" s="2132">
        <v>52</v>
      </c>
      <c r="C64" s="3343"/>
      <c r="D64" s="3344" t="s">
        <v>744</v>
      </c>
      <c r="E64" s="3344" t="s">
        <v>40</v>
      </c>
      <c r="F64" s="3345">
        <v>16000</v>
      </c>
      <c r="G64" s="3345">
        <v>796575.34988855198</v>
      </c>
      <c r="H64" s="3345">
        <v>292785.2</v>
      </c>
      <c r="I64" s="3345">
        <v>0</v>
      </c>
      <c r="J64" s="3345">
        <v>0</v>
      </c>
      <c r="K64" s="3345">
        <f t="shared" si="2"/>
        <v>1105360.5498885519</v>
      </c>
      <c r="L64" s="3345">
        <v>0</v>
      </c>
      <c r="M64" s="3345">
        <f t="shared" si="3"/>
        <v>1105360.5498885519</v>
      </c>
      <c r="N64" s="3345"/>
      <c r="O64" s="3346"/>
      <c r="P64" s="2206"/>
    </row>
    <row r="65" spans="1:16" s="2207" customFormat="1" ht="16.5" customHeight="1">
      <c r="A65" s="2132">
        <v>53</v>
      </c>
      <c r="B65" s="2132">
        <v>53</v>
      </c>
      <c r="C65" s="3343"/>
      <c r="D65" s="3344" t="s">
        <v>1466</v>
      </c>
      <c r="E65" s="3344" t="s">
        <v>40</v>
      </c>
      <c r="F65" s="3345">
        <v>16000</v>
      </c>
      <c r="G65" s="3345">
        <v>796575.34988855198</v>
      </c>
      <c r="H65" s="3345">
        <v>292785.2</v>
      </c>
      <c r="I65" s="3345">
        <v>0</v>
      </c>
      <c r="J65" s="3345">
        <v>0</v>
      </c>
      <c r="K65" s="3345">
        <f t="shared" si="2"/>
        <v>1105360.5498885519</v>
      </c>
      <c r="L65" s="3345">
        <v>0</v>
      </c>
      <c r="M65" s="3345">
        <f t="shared" si="3"/>
        <v>1105360.5498885519</v>
      </c>
      <c r="N65" s="3345"/>
      <c r="O65" s="3346"/>
      <c r="P65" s="2206"/>
    </row>
    <row r="66" spans="1:16" s="2207" customFormat="1" ht="16.5" customHeight="1">
      <c r="A66" s="2132">
        <v>54</v>
      </c>
      <c r="B66" s="2132">
        <v>54</v>
      </c>
      <c r="C66" s="3343"/>
      <c r="D66" s="3344" t="s">
        <v>1467</v>
      </c>
      <c r="E66" s="3344" t="s">
        <v>40</v>
      </c>
      <c r="F66" s="3345">
        <v>16000</v>
      </c>
      <c r="G66" s="3345">
        <v>796575.34988855198</v>
      </c>
      <c r="H66" s="3345">
        <v>292785.2</v>
      </c>
      <c r="I66" s="3345">
        <v>0</v>
      </c>
      <c r="J66" s="3345">
        <v>0</v>
      </c>
      <c r="K66" s="3345">
        <f t="shared" si="2"/>
        <v>1105360.5498885519</v>
      </c>
      <c r="L66" s="3345">
        <v>0</v>
      </c>
      <c r="M66" s="3345">
        <f t="shared" si="3"/>
        <v>1105360.5498885519</v>
      </c>
      <c r="N66" s="3345"/>
      <c r="O66" s="3346"/>
      <c r="P66" s="2206"/>
    </row>
    <row r="67" spans="1:16" s="2207" customFormat="1" ht="16.5" customHeight="1">
      <c r="A67" s="2132">
        <v>55</v>
      </c>
      <c r="B67" s="2132">
        <v>55</v>
      </c>
      <c r="C67" s="3343"/>
      <c r="D67" s="3344" t="s">
        <v>1468</v>
      </c>
      <c r="E67" s="3344" t="s">
        <v>40</v>
      </c>
      <c r="F67" s="3345">
        <v>16000</v>
      </c>
      <c r="G67" s="3345">
        <v>796575.34988855198</v>
      </c>
      <c r="H67" s="3345">
        <v>292785.2</v>
      </c>
      <c r="I67" s="3345">
        <v>0</v>
      </c>
      <c r="J67" s="3345">
        <v>0</v>
      </c>
      <c r="K67" s="3345">
        <f t="shared" si="2"/>
        <v>1105360.5498885519</v>
      </c>
      <c r="L67" s="3345">
        <v>0</v>
      </c>
      <c r="M67" s="3345">
        <f t="shared" si="3"/>
        <v>1105360.5498885519</v>
      </c>
      <c r="N67" s="3345"/>
      <c r="O67" s="3346"/>
      <c r="P67" s="2206"/>
    </row>
    <row r="68" spans="1:16" s="2207" customFormat="1" ht="16.5" customHeight="1">
      <c r="A68" s="2132">
        <v>56</v>
      </c>
      <c r="B68" s="2132">
        <v>56</v>
      </c>
      <c r="C68" s="3343">
        <v>0</v>
      </c>
      <c r="D68" s="3344" t="s">
        <v>1469</v>
      </c>
      <c r="E68" s="3344" t="s">
        <v>40</v>
      </c>
      <c r="F68" s="3345">
        <v>16666.666666666668</v>
      </c>
      <c r="G68" s="3345">
        <v>728853.21436715487</v>
      </c>
      <c r="H68" s="3345">
        <v>316337</v>
      </c>
      <c r="I68" s="3345">
        <v>0</v>
      </c>
      <c r="J68" s="3345">
        <v>0</v>
      </c>
      <c r="K68" s="3345">
        <f t="shared" si="2"/>
        <v>1061856.8810338215</v>
      </c>
      <c r="L68" s="3345">
        <v>0</v>
      </c>
      <c r="M68" s="3345">
        <f t="shared" si="3"/>
        <v>1061856.8810338215</v>
      </c>
      <c r="N68" s="3345"/>
      <c r="O68" s="3346"/>
      <c r="P68" s="2206"/>
    </row>
    <row r="69" spans="1:16" s="2207" customFormat="1" ht="16.5" customHeight="1">
      <c r="A69" s="2132">
        <v>57</v>
      </c>
      <c r="B69" s="2132">
        <v>57</v>
      </c>
      <c r="C69" s="3343"/>
      <c r="D69" s="3344" t="s">
        <v>1470</v>
      </c>
      <c r="E69" s="3344" t="s">
        <v>40</v>
      </c>
      <c r="F69" s="3345">
        <v>16666.666666666668</v>
      </c>
      <c r="G69" s="3345">
        <v>728853.21436715487</v>
      </c>
      <c r="H69" s="3345">
        <v>316337</v>
      </c>
      <c r="I69" s="3345">
        <v>0</v>
      </c>
      <c r="J69" s="3345">
        <v>0</v>
      </c>
      <c r="K69" s="3345">
        <f t="shared" si="2"/>
        <v>1061856.8810338215</v>
      </c>
      <c r="L69" s="3345">
        <v>0</v>
      </c>
      <c r="M69" s="3345">
        <f t="shared" si="3"/>
        <v>1061856.8810338215</v>
      </c>
      <c r="N69" s="3345"/>
      <c r="O69" s="3346"/>
      <c r="P69" s="2206"/>
    </row>
    <row r="70" spans="1:16" s="2207" customFormat="1" ht="16.5" customHeight="1">
      <c r="A70" s="2132">
        <v>58</v>
      </c>
      <c r="B70" s="2132">
        <v>58</v>
      </c>
      <c r="C70" s="3343"/>
      <c r="D70" s="3344" t="s">
        <v>1471</v>
      </c>
      <c r="E70" s="3344" t="s">
        <v>40</v>
      </c>
      <c r="F70" s="3345">
        <v>16666.666666666668</v>
      </c>
      <c r="G70" s="3345">
        <v>728853.21436715487</v>
      </c>
      <c r="H70" s="3345">
        <v>316337</v>
      </c>
      <c r="I70" s="3345">
        <v>0</v>
      </c>
      <c r="J70" s="3345">
        <v>0</v>
      </c>
      <c r="K70" s="3345">
        <f t="shared" si="2"/>
        <v>1061856.8810338215</v>
      </c>
      <c r="L70" s="3345">
        <v>0</v>
      </c>
      <c r="M70" s="3345">
        <f t="shared" si="3"/>
        <v>1061856.8810338215</v>
      </c>
      <c r="N70" s="3345"/>
      <c r="O70" s="3346"/>
      <c r="P70" s="2206"/>
    </row>
    <row r="71" spans="1:16" s="2207" customFormat="1" ht="16.5" customHeight="1">
      <c r="A71" s="2132">
        <v>59</v>
      </c>
      <c r="B71" s="2132">
        <v>59</v>
      </c>
      <c r="C71" s="3343"/>
      <c r="D71" s="3344" t="s">
        <v>1472</v>
      </c>
      <c r="E71" s="3344" t="s">
        <v>40</v>
      </c>
      <c r="F71" s="3345">
        <v>16666.666666666668</v>
      </c>
      <c r="G71" s="3345">
        <v>728853.21436715487</v>
      </c>
      <c r="H71" s="3345">
        <v>316337</v>
      </c>
      <c r="I71" s="3345">
        <v>0</v>
      </c>
      <c r="J71" s="3345">
        <v>0</v>
      </c>
      <c r="K71" s="3345">
        <f t="shared" si="2"/>
        <v>1061856.8810338215</v>
      </c>
      <c r="L71" s="3345">
        <v>0</v>
      </c>
      <c r="M71" s="3345">
        <f t="shared" si="3"/>
        <v>1061856.8810338215</v>
      </c>
      <c r="N71" s="3345"/>
      <c r="O71" s="3346"/>
      <c r="P71" s="2206"/>
    </row>
    <row r="72" spans="1:16" s="2207" customFormat="1" ht="16.5" customHeight="1">
      <c r="A72" s="2132">
        <v>60</v>
      </c>
      <c r="B72" s="2132">
        <v>60</v>
      </c>
      <c r="C72" s="3343"/>
      <c r="D72" s="3344" t="s">
        <v>1473</v>
      </c>
      <c r="E72" s="3344" t="s">
        <v>40</v>
      </c>
      <c r="F72" s="3345">
        <v>16666.666666666668</v>
      </c>
      <c r="G72" s="3345">
        <v>728853.21436715487</v>
      </c>
      <c r="H72" s="3345">
        <v>316337</v>
      </c>
      <c r="I72" s="3345">
        <v>0</v>
      </c>
      <c r="J72" s="3345">
        <v>0</v>
      </c>
      <c r="K72" s="3345">
        <f t="shared" si="2"/>
        <v>1061856.8810338215</v>
      </c>
      <c r="L72" s="3345">
        <v>0</v>
      </c>
      <c r="M72" s="3345">
        <f t="shared" si="3"/>
        <v>1061856.8810338215</v>
      </c>
      <c r="N72" s="3345"/>
      <c r="O72" s="3346"/>
      <c r="P72" s="2206"/>
    </row>
    <row r="73" spans="1:16" s="2207" customFormat="1" ht="16.5" customHeight="1">
      <c r="A73" s="2132">
        <v>61</v>
      </c>
      <c r="B73" s="2132">
        <v>61</v>
      </c>
      <c r="C73" s="3343"/>
      <c r="D73" s="3344" t="s">
        <v>1474</v>
      </c>
      <c r="E73" s="3344" t="s">
        <v>40</v>
      </c>
      <c r="F73" s="3345">
        <v>16666.666666666668</v>
      </c>
      <c r="G73" s="3345">
        <v>728853.21436715487</v>
      </c>
      <c r="H73" s="3345">
        <v>316337</v>
      </c>
      <c r="I73" s="3345">
        <v>0</v>
      </c>
      <c r="J73" s="3345">
        <v>0</v>
      </c>
      <c r="K73" s="3345">
        <f t="shared" si="2"/>
        <v>1061856.8810338215</v>
      </c>
      <c r="L73" s="3345">
        <v>0</v>
      </c>
      <c r="M73" s="3345">
        <f t="shared" si="3"/>
        <v>1061856.8810338215</v>
      </c>
      <c r="N73" s="3345"/>
      <c r="O73" s="3346"/>
      <c r="P73" s="2206"/>
    </row>
    <row r="74" spans="1:16" s="2207" customFormat="1" ht="16.5" customHeight="1">
      <c r="A74" s="2132">
        <v>62</v>
      </c>
      <c r="B74" s="2132">
        <v>62</v>
      </c>
      <c r="C74" s="3343">
        <v>0</v>
      </c>
      <c r="D74" s="3344" t="s">
        <v>1475</v>
      </c>
      <c r="E74" s="3344" t="s">
        <v>40</v>
      </c>
      <c r="F74" s="3345">
        <v>24000</v>
      </c>
      <c r="G74" s="3345">
        <v>661666.29855281836</v>
      </c>
      <c r="H74" s="3345">
        <v>365466.8</v>
      </c>
      <c r="I74" s="3345">
        <v>0</v>
      </c>
      <c r="J74" s="3345">
        <v>0</v>
      </c>
      <c r="K74" s="3345">
        <f t="shared" si="2"/>
        <v>1051133.0985528184</v>
      </c>
      <c r="L74" s="3345">
        <v>0</v>
      </c>
      <c r="M74" s="3345">
        <f t="shared" si="3"/>
        <v>1051133.0985528184</v>
      </c>
      <c r="N74" s="3345">
        <v>0</v>
      </c>
      <c r="O74" s="3346"/>
      <c r="P74" s="2206"/>
    </row>
    <row r="75" spans="1:16" s="2207" customFormat="1" ht="16.5" customHeight="1">
      <c r="A75" s="2132">
        <v>63</v>
      </c>
      <c r="B75" s="2132">
        <v>63</v>
      </c>
      <c r="C75" s="3343"/>
      <c r="D75" s="3344" t="s">
        <v>1476</v>
      </c>
      <c r="E75" s="3344" t="s">
        <v>40</v>
      </c>
      <c r="F75" s="3345">
        <v>24000</v>
      </c>
      <c r="G75" s="3345">
        <v>661666.29855281836</v>
      </c>
      <c r="H75" s="3345">
        <v>365466.8</v>
      </c>
      <c r="I75" s="3345">
        <v>0</v>
      </c>
      <c r="J75" s="3345">
        <v>0</v>
      </c>
      <c r="K75" s="3345">
        <f t="shared" si="2"/>
        <v>1051133.0985528184</v>
      </c>
      <c r="L75" s="3345">
        <v>0</v>
      </c>
      <c r="M75" s="3345">
        <f t="shared" si="3"/>
        <v>1051133.0985528184</v>
      </c>
      <c r="N75" s="3345">
        <v>0</v>
      </c>
      <c r="O75" s="3346"/>
      <c r="P75" s="2206"/>
    </row>
    <row r="76" spans="1:16" s="2207" customFormat="1" ht="16.5" customHeight="1">
      <c r="A76" s="2132">
        <v>64</v>
      </c>
      <c r="B76" s="2132">
        <v>64</v>
      </c>
      <c r="C76" s="3343"/>
      <c r="D76" s="3344" t="s">
        <v>1455</v>
      </c>
      <c r="E76" s="3344" t="s">
        <v>40</v>
      </c>
      <c r="F76" s="3345">
        <v>24000</v>
      </c>
      <c r="G76" s="3345">
        <v>661666.29855281836</v>
      </c>
      <c r="H76" s="3345">
        <v>365466.8</v>
      </c>
      <c r="I76" s="3345">
        <v>0</v>
      </c>
      <c r="J76" s="3345">
        <v>0</v>
      </c>
      <c r="K76" s="3345">
        <f t="shared" si="2"/>
        <v>1051133.0985528184</v>
      </c>
      <c r="L76" s="3345">
        <v>0</v>
      </c>
      <c r="M76" s="3345">
        <f t="shared" si="3"/>
        <v>1051133.0985528184</v>
      </c>
      <c r="N76" s="3345"/>
      <c r="O76" s="3346"/>
      <c r="P76" s="2206"/>
    </row>
    <row r="77" spans="1:16" s="2207" customFormat="1" ht="16.5" customHeight="1">
      <c r="A77" s="2132">
        <v>65</v>
      </c>
      <c r="B77" s="2132">
        <v>65</v>
      </c>
      <c r="C77" s="3343"/>
      <c r="D77" s="3344" t="s">
        <v>1456</v>
      </c>
      <c r="E77" s="3344" t="s">
        <v>40</v>
      </c>
      <c r="F77" s="3345">
        <v>24000</v>
      </c>
      <c r="G77" s="3345">
        <v>661666.29855281836</v>
      </c>
      <c r="H77" s="3345">
        <v>365466.8</v>
      </c>
      <c r="I77" s="3345">
        <v>0</v>
      </c>
      <c r="J77" s="3345">
        <v>0</v>
      </c>
      <c r="K77" s="3345">
        <f t="shared" si="2"/>
        <v>1051133.0985528184</v>
      </c>
      <c r="L77" s="3345">
        <v>0</v>
      </c>
      <c r="M77" s="3345">
        <f t="shared" si="3"/>
        <v>1051133.0985528184</v>
      </c>
      <c r="N77" s="3345"/>
      <c r="O77" s="3346"/>
      <c r="P77" s="2206"/>
    </row>
    <row r="78" spans="1:16" s="2207" customFormat="1" ht="16.5" customHeight="1">
      <c r="A78" s="2132">
        <v>66</v>
      </c>
      <c r="B78" s="2132">
        <v>66</v>
      </c>
      <c r="C78" s="3343"/>
      <c r="D78" s="3344" t="s">
        <v>1457</v>
      </c>
      <c r="E78" s="3344" t="s">
        <v>40</v>
      </c>
      <c r="F78" s="3345">
        <v>24000</v>
      </c>
      <c r="G78" s="3345">
        <v>661666.29855281836</v>
      </c>
      <c r="H78" s="3345">
        <v>365466.8</v>
      </c>
      <c r="I78" s="3345">
        <v>0</v>
      </c>
      <c r="J78" s="3345">
        <v>0</v>
      </c>
      <c r="K78" s="3345">
        <f t="shared" ref="K78:K141" si="4">F78+G78+H78</f>
        <v>1051133.0985528184</v>
      </c>
      <c r="L78" s="3345">
        <v>0</v>
      </c>
      <c r="M78" s="3345">
        <f t="shared" ref="M78:M141" si="5">K78</f>
        <v>1051133.0985528184</v>
      </c>
      <c r="N78" s="3345"/>
      <c r="O78" s="3346"/>
      <c r="P78" s="2206"/>
    </row>
    <row r="79" spans="1:16" s="2207" customFormat="1" ht="16.5" customHeight="1">
      <c r="A79" s="2132">
        <v>67</v>
      </c>
      <c r="B79" s="2132">
        <v>67</v>
      </c>
      <c r="C79" s="3343">
        <v>0</v>
      </c>
      <c r="D79" s="3344" t="s">
        <v>1458</v>
      </c>
      <c r="E79" s="3344" t="s">
        <v>40</v>
      </c>
      <c r="F79" s="3345">
        <v>23333.333333333332</v>
      </c>
      <c r="G79" s="3345">
        <v>838751.03708446585</v>
      </c>
      <c r="H79" s="3345">
        <v>257277.66666666666</v>
      </c>
      <c r="I79" s="3345">
        <v>0</v>
      </c>
      <c r="J79" s="3345">
        <v>0</v>
      </c>
      <c r="K79" s="3345">
        <f t="shared" si="4"/>
        <v>1119362.0370844658</v>
      </c>
      <c r="L79" s="3345">
        <v>0</v>
      </c>
      <c r="M79" s="3345">
        <f t="shared" si="5"/>
        <v>1119362.0370844658</v>
      </c>
      <c r="N79" s="3345">
        <v>0</v>
      </c>
      <c r="O79" s="3346"/>
      <c r="P79" s="2206"/>
    </row>
    <row r="80" spans="1:16" s="2207" customFormat="1" ht="16.5" customHeight="1">
      <c r="A80" s="2132">
        <v>68</v>
      </c>
      <c r="B80" s="2132">
        <v>68</v>
      </c>
      <c r="C80" s="3343"/>
      <c r="D80" s="3344" t="s">
        <v>1459</v>
      </c>
      <c r="E80" s="3344" t="s">
        <v>40</v>
      </c>
      <c r="F80" s="3345">
        <v>23333.333333333332</v>
      </c>
      <c r="G80" s="3345">
        <v>838751.03708446585</v>
      </c>
      <c r="H80" s="3345">
        <v>257277.66666666666</v>
      </c>
      <c r="I80" s="3345">
        <v>0</v>
      </c>
      <c r="J80" s="3345">
        <v>0</v>
      </c>
      <c r="K80" s="3345">
        <f t="shared" si="4"/>
        <v>1119362.0370844658</v>
      </c>
      <c r="L80" s="3345">
        <v>0</v>
      </c>
      <c r="M80" s="3345">
        <f t="shared" si="5"/>
        <v>1119362.0370844658</v>
      </c>
      <c r="N80" s="3345">
        <v>0</v>
      </c>
      <c r="O80" s="3346"/>
      <c r="P80" s="2206"/>
    </row>
    <row r="81" spans="1:16" s="2207" customFormat="1" ht="16.5" customHeight="1">
      <c r="A81" s="2132">
        <v>69</v>
      </c>
      <c r="B81" s="2132">
        <v>69</v>
      </c>
      <c r="C81" s="3343"/>
      <c r="D81" s="3344" t="s">
        <v>1460</v>
      </c>
      <c r="E81" s="3344" t="s">
        <v>40</v>
      </c>
      <c r="F81" s="3345">
        <v>23333.333333333332</v>
      </c>
      <c r="G81" s="3345">
        <v>838751.03708446585</v>
      </c>
      <c r="H81" s="3345">
        <v>257277.66666666666</v>
      </c>
      <c r="I81" s="3345">
        <v>0</v>
      </c>
      <c r="J81" s="3345">
        <v>0</v>
      </c>
      <c r="K81" s="3345">
        <f t="shared" si="4"/>
        <v>1119362.0370844658</v>
      </c>
      <c r="L81" s="3345">
        <v>0</v>
      </c>
      <c r="M81" s="3345">
        <f t="shared" si="5"/>
        <v>1119362.0370844658</v>
      </c>
      <c r="N81" s="3345">
        <v>0</v>
      </c>
      <c r="O81" s="3346"/>
      <c r="P81" s="2206"/>
    </row>
    <row r="82" spans="1:16" s="2207" customFormat="1" ht="16.5" customHeight="1">
      <c r="A82" s="2132">
        <v>70</v>
      </c>
      <c r="B82" s="2132">
        <v>70</v>
      </c>
      <c r="C82" s="3343"/>
      <c r="D82" s="3344" t="s">
        <v>1613</v>
      </c>
      <c r="E82" s="3344" t="s">
        <v>40</v>
      </c>
      <c r="F82" s="3345">
        <v>23333.333333333332</v>
      </c>
      <c r="G82" s="3345">
        <v>838751.03708446585</v>
      </c>
      <c r="H82" s="3345">
        <v>257277.66666666666</v>
      </c>
      <c r="I82" s="3345">
        <v>0</v>
      </c>
      <c r="J82" s="3345">
        <v>0</v>
      </c>
      <c r="K82" s="3345">
        <f t="shared" si="4"/>
        <v>1119362.0370844658</v>
      </c>
      <c r="L82" s="3345">
        <v>0</v>
      </c>
      <c r="M82" s="3345">
        <f t="shared" si="5"/>
        <v>1119362.0370844658</v>
      </c>
      <c r="N82" s="3345">
        <v>0</v>
      </c>
      <c r="O82" s="3346"/>
      <c r="P82" s="2206"/>
    </row>
    <row r="83" spans="1:16" s="2207" customFormat="1" ht="16.5" customHeight="1">
      <c r="A83" s="2132">
        <v>71</v>
      </c>
      <c r="B83" s="2132">
        <v>71</v>
      </c>
      <c r="C83" s="3343"/>
      <c r="D83" s="3344" t="s">
        <v>1614</v>
      </c>
      <c r="E83" s="3344" t="s">
        <v>40</v>
      </c>
      <c r="F83" s="3345">
        <v>23333.333333333332</v>
      </c>
      <c r="G83" s="3345">
        <v>838751.03708446585</v>
      </c>
      <c r="H83" s="3345">
        <v>257277.66666666666</v>
      </c>
      <c r="I83" s="3345">
        <v>0</v>
      </c>
      <c r="J83" s="3345">
        <v>0</v>
      </c>
      <c r="K83" s="3345">
        <f t="shared" si="4"/>
        <v>1119362.0370844658</v>
      </c>
      <c r="L83" s="3345">
        <v>0</v>
      </c>
      <c r="M83" s="3345">
        <f t="shared" si="5"/>
        <v>1119362.0370844658</v>
      </c>
      <c r="N83" s="3345">
        <v>0</v>
      </c>
      <c r="O83" s="3346"/>
      <c r="P83" s="2206"/>
    </row>
    <row r="84" spans="1:16" s="2207" customFormat="1" ht="16.5" customHeight="1">
      <c r="A84" s="2132">
        <v>72</v>
      </c>
      <c r="B84" s="2132">
        <v>72</v>
      </c>
      <c r="C84" s="3343"/>
      <c r="D84" s="3344" t="s">
        <v>1615</v>
      </c>
      <c r="E84" s="3344" t="s">
        <v>40</v>
      </c>
      <c r="F84" s="3345">
        <v>23333.333333333332</v>
      </c>
      <c r="G84" s="3345">
        <v>838751.03708446585</v>
      </c>
      <c r="H84" s="3345">
        <v>257277.66666666666</v>
      </c>
      <c r="I84" s="3345">
        <v>0</v>
      </c>
      <c r="J84" s="3345">
        <v>0</v>
      </c>
      <c r="K84" s="3345">
        <f t="shared" si="4"/>
        <v>1119362.0370844658</v>
      </c>
      <c r="L84" s="3345">
        <v>0</v>
      </c>
      <c r="M84" s="3345">
        <f t="shared" si="5"/>
        <v>1119362.0370844658</v>
      </c>
      <c r="N84" s="3345">
        <v>0</v>
      </c>
      <c r="O84" s="3346"/>
      <c r="P84" s="2206"/>
    </row>
    <row r="85" spans="1:16" s="2207" customFormat="1" ht="16.5" customHeight="1">
      <c r="A85" s="2132">
        <v>73</v>
      </c>
      <c r="B85" s="2132">
        <v>73</v>
      </c>
      <c r="C85" s="3343">
        <v>0</v>
      </c>
      <c r="D85" s="3344" t="s">
        <v>1616</v>
      </c>
      <c r="E85" s="3344" t="s">
        <v>40</v>
      </c>
      <c r="F85" s="3345">
        <v>15000</v>
      </c>
      <c r="G85" s="3345">
        <v>856378.43263760116</v>
      </c>
      <c r="H85" s="3345">
        <v>180351.75</v>
      </c>
      <c r="I85" s="3345">
        <v>0</v>
      </c>
      <c r="J85" s="3345">
        <v>0</v>
      </c>
      <c r="K85" s="3345">
        <f t="shared" si="4"/>
        <v>1051730.1826376012</v>
      </c>
      <c r="L85" s="3345">
        <v>0</v>
      </c>
      <c r="M85" s="3345">
        <f t="shared" si="5"/>
        <v>1051730.1826376012</v>
      </c>
      <c r="N85" s="3345"/>
      <c r="O85" s="3346"/>
      <c r="P85" s="2206"/>
    </row>
    <row r="86" spans="1:16" s="2207" customFormat="1" ht="16.5" customHeight="1">
      <c r="A86" s="2132">
        <v>74</v>
      </c>
      <c r="B86" s="2132">
        <v>74</v>
      </c>
      <c r="C86" s="3343"/>
      <c r="D86" s="3344" t="s">
        <v>1617</v>
      </c>
      <c r="E86" s="3344" t="s">
        <v>40</v>
      </c>
      <c r="F86" s="3345">
        <v>15000</v>
      </c>
      <c r="G86" s="3345">
        <v>856378.43263760116</v>
      </c>
      <c r="H86" s="3345">
        <v>180351.75</v>
      </c>
      <c r="I86" s="3345">
        <v>0</v>
      </c>
      <c r="J86" s="3345">
        <v>0</v>
      </c>
      <c r="K86" s="3345">
        <f t="shared" si="4"/>
        <v>1051730.1826376012</v>
      </c>
      <c r="L86" s="3345">
        <v>0</v>
      </c>
      <c r="M86" s="3345">
        <f t="shared" si="5"/>
        <v>1051730.1826376012</v>
      </c>
      <c r="N86" s="3345"/>
      <c r="O86" s="3346"/>
      <c r="P86" s="2206"/>
    </row>
    <row r="87" spans="1:16" s="2207" customFormat="1" ht="16.5" customHeight="1">
      <c r="A87" s="2132">
        <v>75</v>
      </c>
      <c r="B87" s="2132">
        <v>75</v>
      </c>
      <c r="C87" s="3343"/>
      <c r="D87" s="3344" t="s">
        <v>1618</v>
      </c>
      <c r="E87" s="3344" t="s">
        <v>40</v>
      </c>
      <c r="F87" s="3345">
        <v>15000</v>
      </c>
      <c r="G87" s="3345">
        <v>856378.43263760116</v>
      </c>
      <c r="H87" s="3345">
        <v>180351.75</v>
      </c>
      <c r="I87" s="3345">
        <v>0</v>
      </c>
      <c r="J87" s="3345">
        <v>0</v>
      </c>
      <c r="K87" s="3345">
        <f t="shared" si="4"/>
        <v>1051730.1826376012</v>
      </c>
      <c r="L87" s="3345">
        <v>0</v>
      </c>
      <c r="M87" s="3345">
        <f t="shared" si="5"/>
        <v>1051730.1826376012</v>
      </c>
      <c r="N87" s="3345"/>
      <c r="O87" s="3346"/>
      <c r="P87" s="2206"/>
    </row>
    <row r="88" spans="1:16" s="2207" customFormat="1" ht="16.5" customHeight="1">
      <c r="A88" s="2132">
        <v>76</v>
      </c>
      <c r="B88" s="2132">
        <v>76</v>
      </c>
      <c r="C88" s="3343"/>
      <c r="D88" s="3344" t="s">
        <v>270</v>
      </c>
      <c r="E88" s="3344" t="s">
        <v>40</v>
      </c>
      <c r="F88" s="3345">
        <v>15000</v>
      </c>
      <c r="G88" s="3345">
        <v>856378.43263760116</v>
      </c>
      <c r="H88" s="3345">
        <v>180351.75</v>
      </c>
      <c r="I88" s="3345">
        <v>0</v>
      </c>
      <c r="J88" s="3345">
        <v>0</v>
      </c>
      <c r="K88" s="3345">
        <f t="shared" si="4"/>
        <v>1051730.1826376012</v>
      </c>
      <c r="L88" s="3345">
        <v>0</v>
      </c>
      <c r="M88" s="3345">
        <f t="shared" si="5"/>
        <v>1051730.1826376012</v>
      </c>
      <c r="N88" s="3345"/>
      <c r="O88" s="3346"/>
      <c r="P88" s="2206"/>
    </row>
    <row r="89" spans="1:16" s="2207" customFormat="1" ht="16.5" customHeight="1">
      <c r="A89" s="2132">
        <v>77</v>
      </c>
      <c r="B89" s="2132">
        <v>77</v>
      </c>
      <c r="C89" s="3343"/>
      <c r="D89" s="3344" t="s">
        <v>1619</v>
      </c>
      <c r="E89" s="3344" t="s">
        <v>40</v>
      </c>
      <c r="F89" s="3345">
        <v>15000</v>
      </c>
      <c r="G89" s="3345">
        <v>856378.43263760116</v>
      </c>
      <c r="H89" s="3345">
        <v>180351.75</v>
      </c>
      <c r="I89" s="3345">
        <v>0</v>
      </c>
      <c r="J89" s="3345">
        <v>0</v>
      </c>
      <c r="K89" s="3345">
        <f t="shared" si="4"/>
        <v>1051730.1826376012</v>
      </c>
      <c r="L89" s="3345">
        <v>0</v>
      </c>
      <c r="M89" s="3345">
        <f t="shared" si="5"/>
        <v>1051730.1826376012</v>
      </c>
      <c r="N89" s="3345"/>
      <c r="O89" s="3346"/>
      <c r="P89" s="2206"/>
    </row>
    <row r="90" spans="1:16" s="2207" customFormat="1" ht="16.5" customHeight="1">
      <c r="A90" s="2132">
        <v>78</v>
      </c>
      <c r="B90" s="2132">
        <v>78</v>
      </c>
      <c r="C90" s="3343"/>
      <c r="D90" s="3344" t="s">
        <v>1620</v>
      </c>
      <c r="E90" s="3344" t="s">
        <v>40</v>
      </c>
      <c r="F90" s="3345">
        <v>15000</v>
      </c>
      <c r="G90" s="3345">
        <v>856378.43263760116</v>
      </c>
      <c r="H90" s="3345">
        <v>180351.75</v>
      </c>
      <c r="I90" s="3345">
        <v>0</v>
      </c>
      <c r="J90" s="3345">
        <v>0</v>
      </c>
      <c r="K90" s="3345">
        <f t="shared" si="4"/>
        <v>1051730.1826376012</v>
      </c>
      <c r="L90" s="3345">
        <v>0</v>
      </c>
      <c r="M90" s="3345">
        <f t="shared" si="5"/>
        <v>1051730.1826376012</v>
      </c>
      <c r="N90" s="3345"/>
      <c r="O90" s="3346"/>
      <c r="P90" s="2206"/>
    </row>
    <row r="91" spans="1:16" s="2207" customFormat="1" ht="16.5" customHeight="1">
      <c r="A91" s="2132">
        <v>79</v>
      </c>
      <c r="B91" s="2132">
        <v>79</v>
      </c>
      <c r="C91" s="3343"/>
      <c r="D91" s="3344" t="s">
        <v>1621</v>
      </c>
      <c r="E91" s="3344" t="s">
        <v>40</v>
      </c>
      <c r="F91" s="3345">
        <v>15000</v>
      </c>
      <c r="G91" s="3345">
        <v>856378.43263760116</v>
      </c>
      <c r="H91" s="3345">
        <v>180351.75</v>
      </c>
      <c r="I91" s="3345">
        <v>0</v>
      </c>
      <c r="J91" s="3345">
        <v>0</v>
      </c>
      <c r="K91" s="3345">
        <f t="shared" si="4"/>
        <v>1051730.1826376012</v>
      </c>
      <c r="L91" s="3345">
        <v>0</v>
      </c>
      <c r="M91" s="3345">
        <f t="shared" si="5"/>
        <v>1051730.1826376012</v>
      </c>
      <c r="N91" s="3345"/>
      <c r="O91" s="3346"/>
      <c r="P91" s="2206"/>
    </row>
    <row r="92" spans="1:16" s="2207" customFormat="1" ht="16.5" customHeight="1">
      <c r="A92" s="2132">
        <v>80</v>
      </c>
      <c r="B92" s="2132">
        <v>80</v>
      </c>
      <c r="C92" s="3343"/>
      <c r="D92" s="3344" t="s">
        <v>1622</v>
      </c>
      <c r="E92" s="3344" t="s">
        <v>40</v>
      </c>
      <c r="F92" s="3345">
        <v>15000</v>
      </c>
      <c r="G92" s="3345">
        <v>856378.43263760116</v>
      </c>
      <c r="H92" s="3345">
        <v>180351.75</v>
      </c>
      <c r="I92" s="3345">
        <v>0</v>
      </c>
      <c r="J92" s="3345">
        <v>0</v>
      </c>
      <c r="K92" s="3345">
        <f t="shared" si="4"/>
        <v>1051730.1826376012</v>
      </c>
      <c r="L92" s="3345">
        <v>0</v>
      </c>
      <c r="M92" s="3345">
        <f t="shared" si="5"/>
        <v>1051730.1826376012</v>
      </c>
      <c r="N92" s="3345"/>
      <c r="O92" s="3346"/>
      <c r="P92" s="2206"/>
    </row>
    <row r="93" spans="1:16" s="2207" customFormat="1" ht="16.5" customHeight="1">
      <c r="A93" s="2132">
        <v>81</v>
      </c>
      <c r="B93" s="2132">
        <v>81</v>
      </c>
      <c r="C93" s="3343">
        <v>0</v>
      </c>
      <c r="D93" s="3344" t="s">
        <v>1431</v>
      </c>
      <c r="E93" s="3344" t="s">
        <v>40</v>
      </c>
      <c r="F93" s="3345">
        <v>17142.857142857141</v>
      </c>
      <c r="G93" s="3345">
        <v>932212.64222430252</v>
      </c>
      <c r="H93" s="3345">
        <v>206116.28571428571</v>
      </c>
      <c r="I93" s="3345">
        <v>0</v>
      </c>
      <c r="J93" s="3345">
        <v>0</v>
      </c>
      <c r="K93" s="3345">
        <f t="shared" si="4"/>
        <v>1155471.7850814455</v>
      </c>
      <c r="L93" s="3345">
        <v>0</v>
      </c>
      <c r="M93" s="3345">
        <f t="shared" si="5"/>
        <v>1155471.7850814455</v>
      </c>
      <c r="N93" s="3345"/>
      <c r="O93" s="3346"/>
      <c r="P93" s="2206"/>
    </row>
    <row r="94" spans="1:16" s="2207" customFormat="1" ht="16.5" customHeight="1">
      <c r="A94" s="2132">
        <v>82</v>
      </c>
      <c r="B94" s="2132">
        <v>82</v>
      </c>
      <c r="C94" s="3343"/>
      <c r="D94" s="3344" t="s">
        <v>981</v>
      </c>
      <c r="E94" s="3344" t="s">
        <v>40</v>
      </c>
      <c r="F94" s="3345">
        <v>17142.857142857141</v>
      </c>
      <c r="G94" s="3345">
        <v>932212.64222430252</v>
      </c>
      <c r="H94" s="3345">
        <v>206116.28571428571</v>
      </c>
      <c r="I94" s="3345">
        <v>0</v>
      </c>
      <c r="J94" s="3345">
        <v>0</v>
      </c>
      <c r="K94" s="3345">
        <f t="shared" si="4"/>
        <v>1155471.7850814455</v>
      </c>
      <c r="L94" s="3345">
        <v>0</v>
      </c>
      <c r="M94" s="3345">
        <f t="shared" si="5"/>
        <v>1155471.7850814455</v>
      </c>
      <c r="N94" s="3345"/>
      <c r="O94" s="3346"/>
      <c r="P94" s="2206"/>
    </row>
    <row r="95" spans="1:16" s="2207" customFormat="1" ht="16.5" customHeight="1">
      <c r="A95" s="2132">
        <v>83</v>
      </c>
      <c r="B95" s="2132">
        <v>83</v>
      </c>
      <c r="C95" s="3343"/>
      <c r="D95" s="3344" t="s">
        <v>1432</v>
      </c>
      <c r="E95" s="3344" t="s">
        <v>40</v>
      </c>
      <c r="F95" s="3345">
        <v>17142.857142857141</v>
      </c>
      <c r="G95" s="3345">
        <v>932212.64222430252</v>
      </c>
      <c r="H95" s="3345">
        <v>206116.28571428571</v>
      </c>
      <c r="I95" s="3345">
        <v>0</v>
      </c>
      <c r="J95" s="3345">
        <v>0</v>
      </c>
      <c r="K95" s="3345">
        <f t="shared" si="4"/>
        <v>1155471.7850814455</v>
      </c>
      <c r="L95" s="3345">
        <v>0</v>
      </c>
      <c r="M95" s="3345">
        <f t="shared" si="5"/>
        <v>1155471.7850814455</v>
      </c>
      <c r="N95" s="3345"/>
      <c r="O95" s="3346"/>
      <c r="P95" s="2206"/>
    </row>
    <row r="96" spans="1:16" s="2207" customFormat="1" ht="16.5" customHeight="1">
      <c r="A96" s="2132">
        <v>84</v>
      </c>
      <c r="B96" s="2132">
        <v>84</v>
      </c>
      <c r="C96" s="3343"/>
      <c r="D96" s="3344" t="s">
        <v>944</v>
      </c>
      <c r="E96" s="3344" t="s">
        <v>40</v>
      </c>
      <c r="F96" s="3345">
        <v>17142.857142857141</v>
      </c>
      <c r="G96" s="3345">
        <v>932212.64222430252</v>
      </c>
      <c r="H96" s="3345">
        <v>206116.28571428571</v>
      </c>
      <c r="I96" s="3345">
        <v>0</v>
      </c>
      <c r="J96" s="3345">
        <v>0</v>
      </c>
      <c r="K96" s="3345">
        <f t="shared" si="4"/>
        <v>1155471.7850814455</v>
      </c>
      <c r="L96" s="3345">
        <v>0</v>
      </c>
      <c r="M96" s="3345">
        <f t="shared" si="5"/>
        <v>1155471.7850814455</v>
      </c>
      <c r="N96" s="3345"/>
      <c r="O96" s="3346"/>
      <c r="P96" s="2206"/>
    </row>
    <row r="97" spans="1:16" s="2207" customFormat="1" ht="16.5" customHeight="1">
      <c r="A97" s="2132">
        <v>85</v>
      </c>
      <c r="B97" s="2132">
        <v>85</v>
      </c>
      <c r="C97" s="3343"/>
      <c r="D97" s="3344" t="s">
        <v>961</v>
      </c>
      <c r="E97" s="3344" t="s">
        <v>40</v>
      </c>
      <c r="F97" s="3345">
        <v>17142.857142857141</v>
      </c>
      <c r="G97" s="3345">
        <v>932212.64222430252</v>
      </c>
      <c r="H97" s="3345">
        <v>206116.28571428571</v>
      </c>
      <c r="I97" s="3345">
        <v>0</v>
      </c>
      <c r="J97" s="3345">
        <v>0</v>
      </c>
      <c r="K97" s="3345">
        <f t="shared" si="4"/>
        <v>1155471.7850814455</v>
      </c>
      <c r="L97" s="3345">
        <v>0</v>
      </c>
      <c r="M97" s="3345">
        <f t="shared" si="5"/>
        <v>1155471.7850814455</v>
      </c>
      <c r="N97" s="3345"/>
      <c r="O97" s="3346"/>
      <c r="P97" s="2206"/>
    </row>
    <row r="98" spans="1:16" s="2207" customFormat="1" ht="16.5" customHeight="1">
      <c r="A98" s="2132">
        <v>86</v>
      </c>
      <c r="B98" s="2132">
        <v>86</v>
      </c>
      <c r="C98" s="3343"/>
      <c r="D98" s="3344" t="s">
        <v>1433</v>
      </c>
      <c r="E98" s="3344" t="s">
        <v>40</v>
      </c>
      <c r="F98" s="3345">
        <v>17142.857142857141</v>
      </c>
      <c r="G98" s="3345">
        <v>932212.64222430252</v>
      </c>
      <c r="H98" s="3345">
        <v>206116.28571428571</v>
      </c>
      <c r="I98" s="3345">
        <v>0</v>
      </c>
      <c r="J98" s="3345">
        <v>0</v>
      </c>
      <c r="K98" s="3345">
        <f t="shared" si="4"/>
        <v>1155471.7850814455</v>
      </c>
      <c r="L98" s="3345">
        <v>0</v>
      </c>
      <c r="M98" s="3345">
        <f t="shared" si="5"/>
        <v>1155471.7850814455</v>
      </c>
      <c r="N98" s="3345"/>
      <c r="O98" s="3346"/>
      <c r="P98" s="2206"/>
    </row>
    <row r="99" spans="1:16" s="2207" customFormat="1" ht="16.5" customHeight="1">
      <c r="A99" s="2132">
        <v>87</v>
      </c>
      <c r="B99" s="2132">
        <v>87</v>
      </c>
      <c r="C99" s="3343"/>
      <c r="D99" s="3344" t="s">
        <v>962</v>
      </c>
      <c r="E99" s="3344" t="s">
        <v>40</v>
      </c>
      <c r="F99" s="3345">
        <v>17142.857142857141</v>
      </c>
      <c r="G99" s="3345">
        <v>932212.64222430252</v>
      </c>
      <c r="H99" s="3345">
        <v>206116.28571428571</v>
      </c>
      <c r="I99" s="3345">
        <v>0</v>
      </c>
      <c r="J99" s="3345">
        <v>0</v>
      </c>
      <c r="K99" s="3345">
        <f t="shared" si="4"/>
        <v>1155471.7850814455</v>
      </c>
      <c r="L99" s="3345">
        <v>0</v>
      </c>
      <c r="M99" s="3345">
        <f t="shared" si="5"/>
        <v>1155471.7850814455</v>
      </c>
      <c r="N99" s="3345"/>
      <c r="O99" s="3346"/>
      <c r="P99" s="2206"/>
    </row>
    <row r="100" spans="1:16" s="2207" customFormat="1" ht="16.5" customHeight="1">
      <c r="A100" s="2132">
        <v>88</v>
      </c>
      <c r="B100" s="2132">
        <v>88</v>
      </c>
      <c r="C100" s="3343">
        <v>0</v>
      </c>
      <c r="D100" s="3344" t="s">
        <v>945</v>
      </c>
      <c r="E100" s="3344" t="s">
        <v>40</v>
      </c>
      <c r="F100" s="3345">
        <v>32000</v>
      </c>
      <c r="G100" s="3345">
        <v>955136.99520170747</v>
      </c>
      <c r="H100" s="3345">
        <v>264326.8</v>
      </c>
      <c r="I100" s="3345">
        <v>0</v>
      </c>
      <c r="J100" s="3345">
        <v>0</v>
      </c>
      <c r="K100" s="3345">
        <f t="shared" si="4"/>
        <v>1251463.7952017074</v>
      </c>
      <c r="L100" s="3345">
        <v>0</v>
      </c>
      <c r="M100" s="3345">
        <f t="shared" si="5"/>
        <v>1251463.7952017074</v>
      </c>
      <c r="N100" s="3345"/>
      <c r="O100" s="3346"/>
      <c r="P100" s="2206"/>
    </row>
    <row r="101" spans="1:16" s="2207" customFormat="1" ht="16.5" customHeight="1">
      <c r="A101" s="2132">
        <v>89</v>
      </c>
      <c r="B101" s="2132">
        <v>89</v>
      </c>
      <c r="C101" s="3343"/>
      <c r="D101" s="3344" t="s">
        <v>1434</v>
      </c>
      <c r="E101" s="3344" t="s">
        <v>40</v>
      </c>
      <c r="F101" s="3345">
        <v>32000</v>
      </c>
      <c r="G101" s="3345">
        <v>955136.99520170747</v>
      </c>
      <c r="H101" s="3345">
        <v>264326.8</v>
      </c>
      <c r="I101" s="3345">
        <v>0</v>
      </c>
      <c r="J101" s="3345">
        <v>0</v>
      </c>
      <c r="K101" s="3345">
        <f t="shared" si="4"/>
        <v>1251463.7952017074</v>
      </c>
      <c r="L101" s="3345">
        <v>0</v>
      </c>
      <c r="M101" s="3345">
        <f t="shared" si="5"/>
        <v>1251463.7952017074</v>
      </c>
      <c r="N101" s="3345"/>
      <c r="O101" s="3346"/>
      <c r="P101" s="2206"/>
    </row>
    <row r="102" spans="1:16" s="2207" customFormat="1" ht="16.5" customHeight="1">
      <c r="A102" s="2132">
        <v>90</v>
      </c>
      <c r="B102" s="2132">
        <v>90</v>
      </c>
      <c r="C102" s="3343"/>
      <c r="D102" s="3344" t="s">
        <v>1435</v>
      </c>
      <c r="E102" s="3344" t="s">
        <v>40</v>
      </c>
      <c r="F102" s="3345">
        <v>32000</v>
      </c>
      <c r="G102" s="3345">
        <v>955136.99520170747</v>
      </c>
      <c r="H102" s="3345">
        <v>264326.8</v>
      </c>
      <c r="I102" s="3345">
        <v>0</v>
      </c>
      <c r="J102" s="3345">
        <v>0</v>
      </c>
      <c r="K102" s="3345">
        <f t="shared" si="4"/>
        <v>1251463.7952017074</v>
      </c>
      <c r="L102" s="3345">
        <v>0</v>
      </c>
      <c r="M102" s="3345">
        <f t="shared" si="5"/>
        <v>1251463.7952017074</v>
      </c>
      <c r="N102" s="3345"/>
      <c r="O102" s="3346"/>
      <c r="P102" s="2206"/>
    </row>
    <row r="103" spans="1:16" s="2207" customFormat="1" ht="16.5" customHeight="1">
      <c r="A103" s="2132">
        <v>91</v>
      </c>
      <c r="B103" s="2132">
        <v>91</v>
      </c>
      <c r="C103" s="3343"/>
      <c r="D103" s="3344" t="s">
        <v>1436</v>
      </c>
      <c r="E103" s="3344" t="s">
        <v>40</v>
      </c>
      <c r="F103" s="3345">
        <v>32000</v>
      </c>
      <c r="G103" s="3345">
        <v>955136.99520170747</v>
      </c>
      <c r="H103" s="3345">
        <v>264326.8</v>
      </c>
      <c r="I103" s="3345">
        <v>0</v>
      </c>
      <c r="J103" s="3345">
        <v>0</v>
      </c>
      <c r="K103" s="3345">
        <f t="shared" si="4"/>
        <v>1251463.7952017074</v>
      </c>
      <c r="L103" s="3345">
        <v>0</v>
      </c>
      <c r="M103" s="3345">
        <f t="shared" si="5"/>
        <v>1251463.7952017074</v>
      </c>
      <c r="N103" s="3345"/>
      <c r="O103" s="3346"/>
      <c r="P103" s="2206"/>
    </row>
    <row r="104" spans="1:16" s="2207" customFormat="1" ht="16.5" customHeight="1">
      <c r="A104" s="2132">
        <v>92</v>
      </c>
      <c r="B104" s="2132">
        <v>92</v>
      </c>
      <c r="C104" s="3343"/>
      <c r="D104" s="3344" t="s">
        <v>946</v>
      </c>
      <c r="E104" s="3344" t="s">
        <v>40</v>
      </c>
      <c r="F104" s="3345">
        <v>32000</v>
      </c>
      <c r="G104" s="3345">
        <v>955136.99520170747</v>
      </c>
      <c r="H104" s="3345">
        <v>264326.8</v>
      </c>
      <c r="I104" s="3345">
        <v>0</v>
      </c>
      <c r="J104" s="3345">
        <v>0</v>
      </c>
      <c r="K104" s="3345">
        <f t="shared" si="4"/>
        <v>1251463.7952017074</v>
      </c>
      <c r="L104" s="3345">
        <v>0</v>
      </c>
      <c r="M104" s="3345">
        <f t="shared" si="5"/>
        <v>1251463.7952017074</v>
      </c>
      <c r="N104" s="3345"/>
      <c r="O104" s="3346"/>
      <c r="P104" s="2206"/>
    </row>
    <row r="105" spans="1:16" s="2207" customFormat="1" ht="16.5" customHeight="1">
      <c r="A105" s="2132">
        <v>93</v>
      </c>
      <c r="B105" s="2132">
        <v>93</v>
      </c>
      <c r="C105" s="3343">
        <v>0</v>
      </c>
      <c r="D105" s="3344" t="s">
        <v>947</v>
      </c>
      <c r="E105" s="3344" t="s">
        <v>40</v>
      </c>
      <c r="F105" s="3345">
        <v>20000</v>
      </c>
      <c r="G105" s="3345">
        <v>822988.02136755222</v>
      </c>
      <c r="H105" s="3345">
        <v>192958.25</v>
      </c>
      <c r="I105" s="3345">
        <v>0</v>
      </c>
      <c r="J105" s="3345">
        <v>0</v>
      </c>
      <c r="K105" s="3345">
        <f t="shared" si="4"/>
        <v>1035946.2713675522</v>
      </c>
      <c r="L105" s="3345">
        <v>0</v>
      </c>
      <c r="M105" s="3345">
        <f t="shared" si="5"/>
        <v>1035946.2713675522</v>
      </c>
      <c r="N105" s="3345"/>
      <c r="O105" s="3346"/>
      <c r="P105" s="2206"/>
    </row>
    <row r="106" spans="1:16" s="2207" customFormat="1" ht="16.5" customHeight="1">
      <c r="A106" s="2132">
        <v>94</v>
      </c>
      <c r="B106" s="2132">
        <v>94</v>
      </c>
      <c r="C106" s="3343"/>
      <c r="D106" s="3344" t="s">
        <v>963</v>
      </c>
      <c r="E106" s="3344" t="s">
        <v>40</v>
      </c>
      <c r="F106" s="3345">
        <v>20000</v>
      </c>
      <c r="G106" s="3345">
        <v>822988.02136755222</v>
      </c>
      <c r="H106" s="3345">
        <v>192958.25</v>
      </c>
      <c r="I106" s="3345">
        <v>0</v>
      </c>
      <c r="J106" s="3345">
        <v>0</v>
      </c>
      <c r="K106" s="3345">
        <f t="shared" si="4"/>
        <v>1035946.2713675522</v>
      </c>
      <c r="L106" s="3345">
        <v>0</v>
      </c>
      <c r="M106" s="3345">
        <f t="shared" si="5"/>
        <v>1035946.2713675522</v>
      </c>
      <c r="N106" s="3345"/>
      <c r="O106" s="3346"/>
      <c r="P106" s="2206"/>
    </row>
    <row r="107" spans="1:16" s="2207" customFormat="1" ht="16.5" customHeight="1">
      <c r="A107" s="2132">
        <v>95</v>
      </c>
      <c r="B107" s="2132">
        <v>95</v>
      </c>
      <c r="C107" s="3343"/>
      <c r="D107" s="3344" t="s">
        <v>756</v>
      </c>
      <c r="E107" s="3344" t="s">
        <v>40</v>
      </c>
      <c r="F107" s="3345">
        <v>20000</v>
      </c>
      <c r="G107" s="3345">
        <v>822988.02136755222</v>
      </c>
      <c r="H107" s="3345">
        <v>192958.25</v>
      </c>
      <c r="I107" s="3345">
        <v>0</v>
      </c>
      <c r="J107" s="3345">
        <v>0</v>
      </c>
      <c r="K107" s="3345">
        <f t="shared" si="4"/>
        <v>1035946.2713675522</v>
      </c>
      <c r="L107" s="3345">
        <v>0</v>
      </c>
      <c r="M107" s="3345">
        <f t="shared" si="5"/>
        <v>1035946.2713675522</v>
      </c>
      <c r="N107" s="3345"/>
      <c r="O107" s="3346"/>
      <c r="P107" s="2206"/>
    </row>
    <row r="108" spans="1:16" s="2207" customFormat="1" ht="16.5" customHeight="1">
      <c r="A108" s="2132">
        <v>96</v>
      </c>
      <c r="B108" s="2132">
        <v>96</v>
      </c>
      <c r="C108" s="3343"/>
      <c r="D108" s="3344" t="s">
        <v>948</v>
      </c>
      <c r="E108" s="3344" t="s">
        <v>40</v>
      </c>
      <c r="F108" s="3345">
        <v>20000</v>
      </c>
      <c r="G108" s="3345">
        <v>822988.02136755222</v>
      </c>
      <c r="H108" s="3345">
        <v>192958.25</v>
      </c>
      <c r="I108" s="3345">
        <v>0</v>
      </c>
      <c r="J108" s="3345">
        <v>0</v>
      </c>
      <c r="K108" s="3345">
        <f t="shared" si="4"/>
        <v>1035946.2713675522</v>
      </c>
      <c r="L108" s="3345">
        <v>0</v>
      </c>
      <c r="M108" s="3345">
        <f t="shared" si="5"/>
        <v>1035946.2713675522</v>
      </c>
      <c r="N108" s="3345"/>
      <c r="O108" s="3346"/>
      <c r="P108" s="2206"/>
    </row>
    <row r="109" spans="1:16" s="2207" customFormat="1" ht="16.5" customHeight="1">
      <c r="A109" s="2132">
        <v>97</v>
      </c>
      <c r="B109" s="2132">
        <v>97</v>
      </c>
      <c r="C109" s="3343"/>
      <c r="D109" s="3344" t="s">
        <v>949</v>
      </c>
      <c r="E109" s="3344" t="s">
        <v>40</v>
      </c>
      <c r="F109" s="3345">
        <v>20000</v>
      </c>
      <c r="G109" s="3345">
        <v>822988.02136755222</v>
      </c>
      <c r="H109" s="3345">
        <v>192958.25</v>
      </c>
      <c r="I109" s="3345">
        <v>0</v>
      </c>
      <c r="J109" s="3345">
        <v>0</v>
      </c>
      <c r="K109" s="3345">
        <f t="shared" si="4"/>
        <v>1035946.2713675522</v>
      </c>
      <c r="L109" s="3345">
        <v>0</v>
      </c>
      <c r="M109" s="3345">
        <f t="shared" si="5"/>
        <v>1035946.2713675522</v>
      </c>
      <c r="N109" s="3345"/>
      <c r="O109" s="3346"/>
      <c r="P109" s="2206"/>
    </row>
    <row r="110" spans="1:16" s="2207" customFormat="1" ht="16.5" customHeight="1">
      <c r="A110" s="2132">
        <v>98</v>
      </c>
      <c r="B110" s="2132">
        <v>98</v>
      </c>
      <c r="C110" s="3343"/>
      <c r="D110" s="3344" t="s">
        <v>1437</v>
      </c>
      <c r="E110" s="3344" t="s">
        <v>40</v>
      </c>
      <c r="F110" s="3345">
        <v>20000</v>
      </c>
      <c r="G110" s="3345">
        <v>822988.02136755222</v>
      </c>
      <c r="H110" s="3345">
        <v>192958.25</v>
      </c>
      <c r="I110" s="3345">
        <v>0</v>
      </c>
      <c r="J110" s="3345">
        <v>0</v>
      </c>
      <c r="K110" s="3345">
        <f t="shared" si="4"/>
        <v>1035946.2713675522</v>
      </c>
      <c r="L110" s="3345">
        <v>0</v>
      </c>
      <c r="M110" s="3345">
        <f t="shared" si="5"/>
        <v>1035946.2713675522</v>
      </c>
      <c r="N110" s="3345"/>
      <c r="O110" s="3346"/>
      <c r="P110" s="2206"/>
    </row>
    <row r="111" spans="1:16" s="2207" customFormat="1" ht="16.5" customHeight="1">
      <c r="A111" s="2132">
        <v>99</v>
      </c>
      <c r="B111" s="2132">
        <v>99</v>
      </c>
      <c r="C111" s="3343"/>
      <c r="D111" s="3344" t="s">
        <v>653</v>
      </c>
      <c r="E111" s="3344" t="s">
        <v>40</v>
      </c>
      <c r="F111" s="3345">
        <v>20000</v>
      </c>
      <c r="G111" s="3345">
        <v>822988.02136755222</v>
      </c>
      <c r="H111" s="3345">
        <v>192958.25</v>
      </c>
      <c r="I111" s="3345">
        <v>0</v>
      </c>
      <c r="J111" s="3345">
        <v>0</v>
      </c>
      <c r="K111" s="3345">
        <f t="shared" si="4"/>
        <v>1035946.2713675522</v>
      </c>
      <c r="L111" s="3345">
        <v>0</v>
      </c>
      <c r="M111" s="3345">
        <f t="shared" si="5"/>
        <v>1035946.2713675522</v>
      </c>
      <c r="N111" s="3345"/>
      <c r="O111" s="3346"/>
      <c r="P111" s="2206"/>
    </row>
    <row r="112" spans="1:16" s="2207" customFormat="1" ht="16.5" customHeight="1">
      <c r="A112" s="2132">
        <v>100</v>
      </c>
      <c r="B112" s="2132">
        <v>100</v>
      </c>
      <c r="C112" s="3343"/>
      <c r="D112" s="3344" t="s">
        <v>986</v>
      </c>
      <c r="E112" s="3344" t="s">
        <v>40</v>
      </c>
      <c r="F112" s="3345">
        <v>20000</v>
      </c>
      <c r="G112" s="3345">
        <v>822988.02136755222</v>
      </c>
      <c r="H112" s="3345">
        <v>192958.25</v>
      </c>
      <c r="I112" s="3345">
        <v>0</v>
      </c>
      <c r="J112" s="3345">
        <v>0</v>
      </c>
      <c r="K112" s="3345">
        <f t="shared" si="4"/>
        <v>1035946.2713675522</v>
      </c>
      <c r="L112" s="3345">
        <v>0</v>
      </c>
      <c r="M112" s="3345">
        <f t="shared" si="5"/>
        <v>1035946.2713675522</v>
      </c>
      <c r="N112" s="3345"/>
      <c r="O112" s="3346"/>
      <c r="P112" s="2206"/>
    </row>
    <row r="113" spans="1:16" s="2207" customFormat="1" ht="16.5" customHeight="1">
      <c r="A113" s="2132">
        <v>101</v>
      </c>
      <c r="B113" s="2132">
        <v>101</v>
      </c>
      <c r="C113" s="3343">
        <v>0</v>
      </c>
      <c r="D113" s="3344" t="s">
        <v>1438</v>
      </c>
      <c r="E113" s="3344" t="s">
        <v>40</v>
      </c>
      <c r="F113" s="3345">
        <v>22857.142857142859</v>
      </c>
      <c r="G113" s="3345">
        <v>868716.12243207847</v>
      </c>
      <c r="H113" s="3345">
        <v>227727.42857142858</v>
      </c>
      <c r="I113" s="3345">
        <v>0</v>
      </c>
      <c r="J113" s="3345">
        <v>0</v>
      </c>
      <c r="K113" s="3345">
        <f t="shared" si="4"/>
        <v>1119300.6938606498</v>
      </c>
      <c r="L113" s="3345">
        <v>0</v>
      </c>
      <c r="M113" s="3345">
        <f t="shared" si="5"/>
        <v>1119300.6938606498</v>
      </c>
      <c r="N113" s="3345"/>
      <c r="O113" s="3346"/>
      <c r="P113" s="2206"/>
    </row>
    <row r="114" spans="1:16" s="2207" customFormat="1" ht="16.5" customHeight="1">
      <c r="A114" s="2132">
        <v>102</v>
      </c>
      <c r="B114" s="2132">
        <v>102</v>
      </c>
      <c r="C114" s="3343"/>
      <c r="D114" s="3344" t="s">
        <v>1439</v>
      </c>
      <c r="E114" s="3344" t="s">
        <v>40</v>
      </c>
      <c r="F114" s="3345">
        <v>22857.142857142859</v>
      </c>
      <c r="G114" s="3345">
        <v>868716.12243207847</v>
      </c>
      <c r="H114" s="3345">
        <v>227727.42857142858</v>
      </c>
      <c r="I114" s="3345">
        <v>0</v>
      </c>
      <c r="J114" s="3345">
        <v>0</v>
      </c>
      <c r="K114" s="3345">
        <f t="shared" si="4"/>
        <v>1119300.6938606498</v>
      </c>
      <c r="L114" s="3345">
        <v>0</v>
      </c>
      <c r="M114" s="3345">
        <f t="shared" si="5"/>
        <v>1119300.6938606498</v>
      </c>
      <c r="N114" s="3345"/>
      <c r="O114" s="3346"/>
      <c r="P114" s="2206"/>
    </row>
    <row r="115" spans="1:16" s="2207" customFormat="1" ht="16.5" customHeight="1">
      <c r="A115" s="2132">
        <v>103</v>
      </c>
      <c r="B115" s="2132">
        <v>103</v>
      </c>
      <c r="C115" s="3343"/>
      <c r="D115" s="3344" t="s">
        <v>740</v>
      </c>
      <c r="E115" s="3344" t="s">
        <v>40</v>
      </c>
      <c r="F115" s="3345">
        <v>22857.142857142859</v>
      </c>
      <c r="G115" s="3345">
        <v>868716.12243207847</v>
      </c>
      <c r="H115" s="3345">
        <v>227727.42857142858</v>
      </c>
      <c r="I115" s="3345">
        <v>0</v>
      </c>
      <c r="J115" s="3345">
        <v>0</v>
      </c>
      <c r="K115" s="3345">
        <f t="shared" si="4"/>
        <v>1119300.6938606498</v>
      </c>
      <c r="L115" s="3345">
        <v>0</v>
      </c>
      <c r="M115" s="3345">
        <f t="shared" si="5"/>
        <v>1119300.6938606498</v>
      </c>
      <c r="N115" s="3345"/>
      <c r="O115" s="3346"/>
      <c r="P115" s="2206"/>
    </row>
    <row r="116" spans="1:16" s="2207" customFormat="1" ht="16.5" customHeight="1">
      <c r="A116" s="2132">
        <v>104</v>
      </c>
      <c r="B116" s="2132">
        <v>104</v>
      </c>
      <c r="C116" s="3343"/>
      <c r="D116" s="3344" t="s">
        <v>950</v>
      </c>
      <c r="E116" s="3344" t="s">
        <v>40</v>
      </c>
      <c r="F116" s="3345">
        <v>22857.142857142859</v>
      </c>
      <c r="G116" s="3345">
        <v>868716.12243207847</v>
      </c>
      <c r="H116" s="3345">
        <v>227727.42857142858</v>
      </c>
      <c r="I116" s="3345">
        <v>0</v>
      </c>
      <c r="J116" s="3345">
        <v>0</v>
      </c>
      <c r="K116" s="3345">
        <f t="shared" si="4"/>
        <v>1119300.6938606498</v>
      </c>
      <c r="L116" s="3345">
        <v>0</v>
      </c>
      <c r="M116" s="3345">
        <f t="shared" si="5"/>
        <v>1119300.6938606498</v>
      </c>
      <c r="N116" s="3345"/>
      <c r="O116" s="3346"/>
      <c r="P116" s="2206"/>
    </row>
    <row r="117" spans="1:16" s="2207" customFormat="1" ht="16.5" customHeight="1">
      <c r="A117" s="2132">
        <v>105</v>
      </c>
      <c r="B117" s="2132">
        <v>105</v>
      </c>
      <c r="C117" s="3343"/>
      <c r="D117" s="3344" t="s">
        <v>1412</v>
      </c>
      <c r="E117" s="3344" t="s">
        <v>40</v>
      </c>
      <c r="F117" s="3345">
        <v>22857.142857142859</v>
      </c>
      <c r="G117" s="3345">
        <v>868716.12243207847</v>
      </c>
      <c r="H117" s="3345">
        <v>227727.42857142858</v>
      </c>
      <c r="I117" s="3345">
        <v>0</v>
      </c>
      <c r="J117" s="3345">
        <v>0</v>
      </c>
      <c r="K117" s="3345">
        <f t="shared" si="4"/>
        <v>1119300.6938606498</v>
      </c>
      <c r="L117" s="3345">
        <v>0</v>
      </c>
      <c r="M117" s="3345">
        <f t="shared" si="5"/>
        <v>1119300.6938606498</v>
      </c>
      <c r="N117" s="3345"/>
      <c r="O117" s="3346"/>
      <c r="P117" s="2206"/>
    </row>
    <row r="118" spans="1:16" s="2207" customFormat="1" ht="16.5" customHeight="1">
      <c r="A118" s="2132">
        <v>106</v>
      </c>
      <c r="B118" s="2132">
        <v>106</v>
      </c>
      <c r="C118" s="3343"/>
      <c r="D118" s="3344" t="s">
        <v>1413</v>
      </c>
      <c r="E118" s="3344" t="s">
        <v>40</v>
      </c>
      <c r="F118" s="3345">
        <v>22857.142857142859</v>
      </c>
      <c r="G118" s="3345">
        <v>868716.12243207847</v>
      </c>
      <c r="H118" s="3345">
        <v>227727.42857142858</v>
      </c>
      <c r="I118" s="3345">
        <v>0</v>
      </c>
      <c r="J118" s="3345">
        <v>0</v>
      </c>
      <c r="K118" s="3345">
        <f t="shared" si="4"/>
        <v>1119300.6938606498</v>
      </c>
      <c r="L118" s="3345">
        <v>0</v>
      </c>
      <c r="M118" s="3345">
        <f t="shared" si="5"/>
        <v>1119300.6938606498</v>
      </c>
      <c r="N118" s="3345"/>
      <c r="O118" s="3346"/>
      <c r="P118" s="2206"/>
    </row>
    <row r="119" spans="1:16" s="2207" customFormat="1" ht="16.5" customHeight="1">
      <c r="A119" s="2132">
        <v>107</v>
      </c>
      <c r="B119" s="2132">
        <v>107</v>
      </c>
      <c r="C119" s="3343"/>
      <c r="D119" s="3344" t="s">
        <v>1414</v>
      </c>
      <c r="E119" s="3344" t="s">
        <v>40</v>
      </c>
      <c r="F119" s="3345">
        <v>22857.142857142859</v>
      </c>
      <c r="G119" s="3345">
        <v>868716.12243207847</v>
      </c>
      <c r="H119" s="3345">
        <v>227727.42857142858</v>
      </c>
      <c r="I119" s="3345">
        <v>0</v>
      </c>
      <c r="J119" s="3345">
        <v>0</v>
      </c>
      <c r="K119" s="3345">
        <f t="shared" si="4"/>
        <v>1119300.6938606498</v>
      </c>
      <c r="L119" s="3345">
        <v>0</v>
      </c>
      <c r="M119" s="3345">
        <f t="shared" si="5"/>
        <v>1119300.6938606498</v>
      </c>
      <c r="N119" s="3345"/>
      <c r="O119" s="3346"/>
      <c r="P119" s="2206"/>
    </row>
    <row r="120" spans="1:16" s="2207" customFormat="1" ht="16.5" customHeight="1">
      <c r="A120" s="2132">
        <v>108</v>
      </c>
      <c r="B120" s="2132">
        <v>108</v>
      </c>
      <c r="C120" s="3343">
        <v>0</v>
      </c>
      <c r="D120" s="3344" t="s">
        <v>1415</v>
      </c>
      <c r="E120" s="3344" t="s">
        <v>40</v>
      </c>
      <c r="F120" s="3345">
        <v>22857.142857142859</v>
      </c>
      <c r="G120" s="3345">
        <v>808010.65845489712</v>
      </c>
      <c r="H120" s="3345">
        <v>227727.42857142858</v>
      </c>
      <c r="I120" s="3345">
        <v>0</v>
      </c>
      <c r="J120" s="3345">
        <v>0</v>
      </c>
      <c r="K120" s="3345">
        <f t="shared" si="4"/>
        <v>1058595.2298834685</v>
      </c>
      <c r="L120" s="3345">
        <v>0</v>
      </c>
      <c r="M120" s="3345">
        <f t="shared" si="5"/>
        <v>1058595.2298834685</v>
      </c>
      <c r="N120" s="3345"/>
      <c r="O120" s="3346"/>
      <c r="P120" s="2206"/>
    </row>
    <row r="121" spans="1:16" s="2207" customFormat="1" ht="16.5" customHeight="1">
      <c r="A121" s="2132">
        <v>109</v>
      </c>
      <c r="B121" s="2132">
        <v>109</v>
      </c>
      <c r="C121" s="3343"/>
      <c r="D121" s="3344" t="s">
        <v>1416</v>
      </c>
      <c r="E121" s="3344" t="s">
        <v>40</v>
      </c>
      <c r="F121" s="3345">
        <v>22857.142857142859</v>
      </c>
      <c r="G121" s="3345">
        <v>808010.65845489712</v>
      </c>
      <c r="H121" s="3345">
        <v>227727.42857142858</v>
      </c>
      <c r="I121" s="3345">
        <v>0</v>
      </c>
      <c r="J121" s="3345">
        <v>0</v>
      </c>
      <c r="K121" s="3345">
        <f t="shared" si="4"/>
        <v>1058595.2298834685</v>
      </c>
      <c r="L121" s="3345">
        <v>0</v>
      </c>
      <c r="M121" s="3345">
        <f t="shared" si="5"/>
        <v>1058595.2298834685</v>
      </c>
      <c r="N121" s="3345"/>
      <c r="O121" s="3346"/>
      <c r="P121" s="2206"/>
    </row>
    <row r="122" spans="1:16" s="2207" customFormat="1" ht="16.5" customHeight="1">
      <c r="A122" s="2132">
        <v>110</v>
      </c>
      <c r="B122" s="2132">
        <v>110</v>
      </c>
      <c r="C122" s="3343"/>
      <c r="D122" s="3344" t="s">
        <v>1417</v>
      </c>
      <c r="E122" s="3344" t="s">
        <v>40</v>
      </c>
      <c r="F122" s="3345">
        <v>22857.142857142859</v>
      </c>
      <c r="G122" s="3345">
        <v>808010.65845489712</v>
      </c>
      <c r="H122" s="3345">
        <v>227727.42857142858</v>
      </c>
      <c r="I122" s="3345">
        <v>0</v>
      </c>
      <c r="J122" s="3345">
        <v>0</v>
      </c>
      <c r="K122" s="3345">
        <f t="shared" si="4"/>
        <v>1058595.2298834685</v>
      </c>
      <c r="L122" s="3345">
        <v>0</v>
      </c>
      <c r="M122" s="3345">
        <f t="shared" si="5"/>
        <v>1058595.2298834685</v>
      </c>
      <c r="N122" s="3345"/>
      <c r="O122" s="3346"/>
      <c r="P122" s="2206"/>
    </row>
    <row r="123" spans="1:16" s="2207" customFormat="1" ht="16.5" customHeight="1">
      <c r="A123" s="2132">
        <v>111</v>
      </c>
      <c r="B123" s="2132">
        <v>111</v>
      </c>
      <c r="C123" s="3343"/>
      <c r="D123" s="3344" t="s">
        <v>1418</v>
      </c>
      <c r="E123" s="3344" t="s">
        <v>40</v>
      </c>
      <c r="F123" s="3345">
        <v>22857.142857142859</v>
      </c>
      <c r="G123" s="3345">
        <v>808010.65845489712</v>
      </c>
      <c r="H123" s="3345">
        <v>227727.42857142858</v>
      </c>
      <c r="I123" s="3345">
        <v>0</v>
      </c>
      <c r="J123" s="3345">
        <v>0</v>
      </c>
      <c r="K123" s="3345">
        <f t="shared" si="4"/>
        <v>1058595.2298834685</v>
      </c>
      <c r="L123" s="3345">
        <v>0</v>
      </c>
      <c r="M123" s="3345">
        <f t="shared" si="5"/>
        <v>1058595.2298834685</v>
      </c>
      <c r="N123" s="3345"/>
      <c r="O123" s="3346"/>
      <c r="P123" s="2206"/>
    </row>
    <row r="124" spans="1:16" s="2207" customFormat="1" ht="16.5" customHeight="1">
      <c r="A124" s="2132">
        <v>112</v>
      </c>
      <c r="B124" s="2132">
        <v>112</v>
      </c>
      <c r="C124" s="3343"/>
      <c r="D124" s="3344" t="s">
        <v>1419</v>
      </c>
      <c r="E124" s="3344" t="s">
        <v>40</v>
      </c>
      <c r="F124" s="3345">
        <v>22857.142857142859</v>
      </c>
      <c r="G124" s="3345">
        <v>808010.65845489712</v>
      </c>
      <c r="H124" s="3345">
        <v>227727.42857142858</v>
      </c>
      <c r="I124" s="3345">
        <v>0</v>
      </c>
      <c r="J124" s="3345">
        <v>0</v>
      </c>
      <c r="K124" s="3345">
        <f t="shared" si="4"/>
        <v>1058595.2298834685</v>
      </c>
      <c r="L124" s="3345">
        <v>0</v>
      </c>
      <c r="M124" s="3345">
        <f t="shared" si="5"/>
        <v>1058595.2298834685</v>
      </c>
      <c r="N124" s="3345"/>
      <c r="O124" s="3346"/>
      <c r="P124" s="2206"/>
    </row>
    <row r="125" spans="1:16" s="2207" customFormat="1" ht="16.5" customHeight="1">
      <c r="A125" s="2132">
        <v>113</v>
      </c>
      <c r="B125" s="2132">
        <v>113</v>
      </c>
      <c r="C125" s="3343"/>
      <c r="D125" s="3344" t="s">
        <v>1420</v>
      </c>
      <c r="E125" s="3344" t="s">
        <v>40</v>
      </c>
      <c r="F125" s="3345">
        <v>22857.142857142859</v>
      </c>
      <c r="G125" s="3345">
        <v>808010.65845489712</v>
      </c>
      <c r="H125" s="3345">
        <v>227727.42857142858</v>
      </c>
      <c r="I125" s="3345">
        <v>0</v>
      </c>
      <c r="J125" s="3345">
        <v>0</v>
      </c>
      <c r="K125" s="3345">
        <f t="shared" si="4"/>
        <v>1058595.2298834685</v>
      </c>
      <c r="L125" s="3345">
        <v>0</v>
      </c>
      <c r="M125" s="3345">
        <f t="shared" si="5"/>
        <v>1058595.2298834685</v>
      </c>
      <c r="N125" s="3345"/>
      <c r="O125" s="3346"/>
      <c r="P125" s="2206"/>
    </row>
    <row r="126" spans="1:16" s="2207" customFormat="1" ht="16.5" customHeight="1">
      <c r="A126" s="2132">
        <v>114</v>
      </c>
      <c r="B126" s="2132">
        <v>114</v>
      </c>
      <c r="C126" s="3343"/>
      <c r="D126" s="3344" t="s">
        <v>1421</v>
      </c>
      <c r="E126" s="3344" t="s">
        <v>40</v>
      </c>
      <c r="F126" s="3345">
        <v>22857.142857142859</v>
      </c>
      <c r="G126" s="3345">
        <v>808010.65845489712</v>
      </c>
      <c r="H126" s="3345">
        <v>227727.42857142858</v>
      </c>
      <c r="I126" s="3345">
        <v>0</v>
      </c>
      <c r="J126" s="3345">
        <v>0</v>
      </c>
      <c r="K126" s="3345">
        <f t="shared" si="4"/>
        <v>1058595.2298834685</v>
      </c>
      <c r="L126" s="3345">
        <v>0</v>
      </c>
      <c r="M126" s="3345">
        <f t="shared" si="5"/>
        <v>1058595.2298834685</v>
      </c>
      <c r="N126" s="3345"/>
      <c r="O126" s="3346"/>
      <c r="P126" s="2206"/>
    </row>
    <row r="127" spans="1:16" s="2207" customFormat="1" ht="16.5" customHeight="1">
      <c r="A127" s="2132">
        <v>115</v>
      </c>
      <c r="B127" s="2132">
        <v>115</v>
      </c>
      <c r="C127" s="3343"/>
      <c r="D127" s="3344" t="s">
        <v>1422</v>
      </c>
      <c r="E127" s="3344" t="s">
        <v>40</v>
      </c>
      <c r="F127" s="3345">
        <v>22857.142857142859</v>
      </c>
      <c r="G127" s="3345">
        <v>808010.65845489712</v>
      </c>
      <c r="H127" s="3345">
        <v>227727.42857142858</v>
      </c>
      <c r="I127" s="3345">
        <v>0</v>
      </c>
      <c r="J127" s="3345">
        <v>0</v>
      </c>
      <c r="K127" s="3345">
        <f t="shared" si="4"/>
        <v>1058595.2298834685</v>
      </c>
      <c r="L127" s="3345">
        <v>0</v>
      </c>
      <c r="M127" s="3345">
        <f t="shared" si="5"/>
        <v>1058595.2298834685</v>
      </c>
      <c r="N127" s="3345"/>
      <c r="O127" s="3346"/>
      <c r="P127" s="2206"/>
    </row>
    <row r="128" spans="1:16" s="2207" customFormat="1" ht="16.5" customHeight="1">
      <c r="A128" s="2132">
        <v>116</v>
      </c>
      <c r="B128" s="2132">
        <v>116</v>
      </c>
      <c r="C128" s="3343">
        <v>0</v>
      </c>
      <c r="D128" s="3344" t="s">
        <v>1423</v>
      </c>
      <c r="E128" s="3344" t="s">
        <v>40</v>
      </c>
      <c r="F128" s="3345">
        <v>20000</v>
      </c>
      <c r="G128" s="3345">
        <v>787029.11692288425</v>
      </c>
      <c r="H128" s="3345">
        <v>199261.5</v>
      </c>
      <c r="I128" s="3345">
        <v>0</v>
      </c>
      <c r="J128" s="3345">
        <v>0</v>
      </c>
      <c r="K128" s="3345">
        <f t="shared" si="4"/>
        <v>1006290.6169228842</v>
      </c>
      <c r="L128" s="3345">
        <v>0</v>
      </c>
      <c r="M128" s="3345">
        <f t="shared" si="5"/>
        <v>1006290.6169228842</v>
      </c>
      <c r="N128" s="3345"/>
      <c r="O128" s="3346"/>
      <c r="P128" s="2206"/>
    </row>
    <row r="129" spans="1:16" s="2207" customFormat="1" ht="16.5" customHeight="1">
      <c r="A129" s="2132">
        <v>117</v>
      </c>
      <c r="B129" s="2132">
        <v>117</v>
      </c>
      <c r="C129" s="3343"/>
      <c r="D129" s="3344" t="s">
        <v>1424</v>
      </c>
      <c r="E129" s="3344" t="s">
        <v>40</v>
      </c>
      <c r="F129" s="3345">
        <v>20000</v>
      </c>
      <c r="G129" s="3345">
        <v>787029.11692288425</v>
      </c>
      <c r="H129" s="3345">
        <v>199261.5</v>
      </c>
      <c r="I129" s="3345">
        <v>0</v>
      </c>
      <c r="J129" s="3345">
        <v>0</v>
      </c>
      <c r="K129" s="3345">
        <f t="shared" si="4"/>
        <v>1006290.6169228842</v>
      </c>
      <c r="L129" s="3345">
        <v>0</v>
      </c>
      <c r="M129" s="3345">
        <f t="shared" si="5"/>
        <v>1006290.6169228842</v>
      </c>
      <c r="N129" s="3345"/>
      <c r="O129" s="3346"/>
      <c r="P129" s="2206"/>
    </row>
    <row r="130" spans="1:16" s="2207" customFormat="1" ht="16.5" customHeight="1">
      <c r="A130" s="2132">
        <v>118</v>
      </c>
      <c r="B130" s="2132">
        <v>118</v>
      </c>
      <c r="C130" s="3343"/>
      <c r="D130" s="3344" t="s">
        <v>1425</v>
      </c>
      <c r="E130" s="3344" t="s">
        <v>40</v>
      </c>
      <c r="F130" s="3345">
        <v>20000</v>
      </c>
      <c r="G130" s="3345">
        <v>787029.11692288425</v>
      </c>
      <c r="H130" s="3345">
        <v>199261.5</v>
      </c>
      <c r="I130" s="3345">
        <v>0</v>
      </c>
      <c r="J130" s="3345">
        <v>0</v>
      </c>
      <c r="K130" s="3345">
        <f t="shared" si="4"/>
        <v>1006290.6169228842</v>
      </c>
      <c r="L130" s="3345">
        <v>0</v>
      </c>
      <c r="M130" s="3345">
        <f t="shared" si="5"/>
        <v>1006290.6169228842</v>
      </c>
      <c r="N130" s="3345"/>
      <c r="O130" s="3346"/>
      <c r="P130" s="2206"/>
    </row>
    <row r="131" spans="1:16" s="2207" customFormat="1" ht="16.5" customHeight="1">
      <c r="A131" s="2132">
        <v>119</v>
      </c>
      <c r="B131" s="2132">
        <v>119</v>
      </c>
      <c r="C131" s="3343"/>
      <c r="D131" s="3344" t="s">
        <v>1447</v>
      </c>
      <c r="E131" s="3344" t="s">
        <v>40</v>
      </c>
      <c r="F131" s="3345">
        <v>20000</v>
      </c>
      <c r="G131" s="3345">
        <v>787029.11692288425</v>
      </c>
      <c r="H131" s="3345">
        <v>199261.5</v>
      </c>
      <c r="I131" s="3345">
        <v>0</v>
      </c>
      <c r="J131" s="3345">
        <v>0</v>
      </c>
      <c r="K131" s="3345">
        <f t="shared" si="4"/>
        <v>1006290.6169228842</v>
      </c>
      <c r="L131" s="3345">
        <v>0</v>
      </c>
      <c r="M131" s="3345">
        <f t="shared" si="5"/>
        <v>1006290.6169228842</v>
      </c>
      <c r="N131" s="3345"/>
      <c r="O131" s="3346"/>
      <c r="P131" s="2206"/>
    </row>
    <row r="132" spans="1:16" s="2207" customFormat="1" ht="16.5" customHeight="1">
      <c r="A132" s="2132">
        <v>120</v>
      </c>
      <c r="B132" s="2132">
        <v>120</v>
      </c>
      <c r="C132" s="3343"/>
      <c r="D132" s="3344" t="s">
        <v>1448</v>
      </c>
      <c r="E132" s="3344" t="s">
        <v>40</v>
      </c>
      <c r="F132" s="3345">
        <v>20000</v>
      </c>
      <c r="G132" s="3345">
        <v>787029.11692288425</v>
      </c>
      <c r="H132" s="3345">
        <v>199261.5</v>
      </c>
      <c r="I132" s="3345">
        <v>0</v>
      </c>
      <c r="J132" s="3345">
        <v>0</v>
      </c>
      <c r="K132" s="3345">
        <f t="shared" si="4"/>
        <v>1006290.6169228842</v>
      </c>
      <c r="L132" s="3345">
        <v>0</v>
      </c>
      <c r="M132" s="3345">
        <f t="shared" si="5"/>
        <v>1006290.6169228842</v>
      </c>
      <c r="N132" s="3345"/>
      <c r="O132" s="3346"/>
      <c r="P132" s="2206"/>
    </row>
    <row r="133" spans="1:16" s="2207" customFormat="1" ht="16.5" customHeight="1">
      <c r="A133" s="2132">
        <v>121</v>
      </c>
      <c r="B133" s="2132">
        <v>121</v>
      </c>
      <c r="C133" s="3343"/>
      <c r="D133" s="3344" t="s">
        <v>1449</v>
      </c>
      <c r="E133" s="3344" t="s">
        <v>40</v>
      </c>
      <c r="F133" s="3345">
        <v>20000</v>
      </c>
      <c r="G133" s="3345">
        <v>787029.11692288425</v>
      </c>
      <c r="H133" s="3345">
        <v>199261.5</v>
      </c>
      <c r="I133" s="3345">
        <v>0</v>
      </c>
      <c r="J133" s="3345">
        <v>0</v>
      </c>
      <c r="K133" s="3345">
        <f t="shared" si="4"/>
        <v>1006290.6169228842</v>
      </c>
      <c r="L133" s="3345">
        <v>0</v>
      </c>
      <c r="M133" s="3345">
        <f t="shared" si="5"/>
        <v>1006290.6169228842</v>
      </c>
      <c r="N133" s="3345"/>
      <c r="O133" s="3346"/>
      <c r="P133" s="2206"/>
    </row>
    <row r="134" spans="1:16" s="2207" customFormat="1" ht="16.5" customHeight="1">
      <c r="A134" s="2132">
        <v>122</v>
      </c>
      <c r="B134" s="2132">
        <v>122</v>
      </c>
      <c r="C134" s="3343"/>
      <c r="D134" s="3344" t="s">
        <v>1450</v>
      </c>
      <c r="E134" s="3344" t="s">
        <v>40</v>
      </c>
      <c r="F134" s="3345">
        <v>20000</v>
      </c>
      <c r="G134" s="3345">
        <v>787029.11692288425</v>
      </c>
      <c r="H134" s="3345">
        <v>199261.5</v>
      </c>
      <c r="I134" s="3345">
        <v>0</v>
      </c>
      <c r="J134" s="3345">
        <v>0</v>
      </c>
      <c r="K134" s="3345">
        <f t="shared" si="4"/>
        <v>1006290.6169228842</v>
      </c>
      <c r="L134" s="3345">
        <v>0</v>
      </c>
      <c r="M134" s="3345">
        <f t="shared" si="5"/>
        <v>1006290.6169228842</v>
      </c>
      <c r="N134" s="3345"/>
      <c r="O134" s="3346"/>
      <c r="P134" s="2206"/>
    </row>
    <row r="135" spans="1:16" s="2207" customFormat="1" ht="16.5" customHeight="1">
      <c r="A135" s="2132">
        <v>123</v>
      </c>
      <c r="B135" s="2132">
        <v>123</v>
      </c>
      <c r="C135" s="3343"/>
      <c r="D135" s="3344" t="s">
        <v>1451</v>
      </c>
      <c r="E135" s="3344" t="s">
        <v>40</v>
      </c>
      <c r="F135" s="3345">
        <v>20000</v>
      </c>
      <c r="G135" s="3345">
        <v>787029.11692288425</v>
      </c>
      <c r="H135" s="3345">
        <v>199261.5</v>
      </c>
      <c r="I135" s="3345">
        <v>0</v>
      </c>
      <c r="J135" s="3345">
        <v>0</v>
      </c>
      <c r="K135" s="3345">
        <f t="shared" si="4"/>
        <v>1006290.6169228842</v>
      </c>
      <c r="L135" s="3345">
        <v>0</v>
      </c>
      <c r="M135" s="3345">
        <f t="shared" si="5"/>
        <v>1006290.6169228842</v>
      </c>
      <c r="N135" s="3345"/>
      <c r="O135" s="3346"/>
      <c r="P135" s="2206"/>
    </row>
    <row r="136" spans="1:16" s="2207" customFormat="1" ht="16.5" customHeight="1">
      <c r="A136" s="2132">
        <v>124</v>
      </c>
      <c r="B136" s="2132">
        <v>124</v>
      </c>
      <c r="C136" s="3343">
        <v>0</v>
      </c>
      <c r="D136" s="3344" t="s">
        <v>1452</v>
      </c>
      <c r="E136" s="3344" t="s">
        <v>40</v>
      </c>
      <c r="F136" s="3345">
        <v>22857.142857142859</v>
      </c>
      <c r="G136" s="3345">
        <v>918052.8461281585</v>
      </c>
      <c r="H136" s="3345">
        <v>227727.42857142858</v>
      </c>
      <c r="I136" s="3345">
        <v>0</v>
      </c>
      <c r="J136" s="3345">
        <v>0</v>
      </c>
      <c r="K136" s="3345">
        <f t="shared" si="4"/>
        <v>1168637.4175567299</v>
      </c>
      <c r="L136" s="3345">
        <v>0</v>
      </c>
      <c r="M136" s="3345">
        <f t="shared" si="5"/>
        <v>1168637.4175567299</v>
      </c>
      <c r="N136" s="3345"/>
      <c r="O136" s="3346"/>
      <c r="P136" s="2206"/>
    </row>
    <row r="137" spans="1:16" s="2207" customFormat="1" ht="16.5" customHeight="1">
      <c r="A137" s="2132">
        <v>125</v>
      </c>
      <c r="B137" s="2132">
        <v>125</v>
      </c>
      <c r="C137" s="3343"/>
      <c r="D137" s="3344" t="s">
        <v>1453</v>
      </c>
      <c r="E137" s="3344" t="s">
        <v>40</v>
      </c>
      <c r="F137" s="3345">
        <v>22857.142857142859</v>
      </c>
      <c r="G137" s="3345">
        <v>918052.8461281585</v>
      </c>
      <c r="H137" s="3345">
        <v>227727.42857142858</v>
      </c>
      <c r="I137" s="3345">
        <v>0</v>
      </c>
      <c r="J137" s="3345">
        <v>0</v>
      </c>
      <c r="K137" s="3345">
        <f t="shared" si="4"/>
        <v>1168637.4175567299</v>
      </c>
      <c r="L137" s="3345">
        <v>0</v>
      </c>
      <c r="M137" s="3345">
        <f t="shared" si="5"/>
        <v>1168637.4175567299</v>
      </c>
      <c r="N137" s="3345"/>
      <c r="O137" s="3346"/>
      <c r="P137" s="2206"/>
    </row>
    <row r="138" spans="1:16" s="2207" customFormat="1" ht="16.5" customHeight="1">
      <c r="A138" s="2132">
        <v>126</v>
      </c>
      <c r="B138" s="2132">
        <v>126</v>
      </c>
      <c r="C138" s="3343"/>
      <c r="D138" s="3344" t="s">
        <v>1454</v>
      </c>
      <c r="E138" s="3344" t="s">
        <v>40</v>
      </c>
      <c r="F138" s="3345">
        <v>22857.142857142859</v>
      </c>
      <c r="G138" s="3345">
        <v>918052.8461281585</v>
      </c>
      <c r="H138" s="3345">
        <v>227727.42857142858</v>
      </c>
      <c r="I138" s="3345">
        <v>0</v>
      </c>
      <c r="J138" s="3345">
        <v>0</v>
      </c>
      <c r="K138" s="3345">
        <f t="shared" si="4"/>
        <v>1168637.4175567299</v>
      </c>
      <c r="L138" s="3345">
        <v>0</v>
      </c>
      <c r="M138" s="3345">
        <f t="shared" si="5"/>
        <v>1168637.4175567299</v>
      </c>
      <c r="N138" s="3345"/>
      <c r="O138" s="3346"/>
      <c r="P138" s="2206"/>
    </row>
    <row r="139" spans="1:16" s="2207" customFormat="1" ht="16.5" customHeight="1">
      <c r="A139" s="2132">
        <v>127</v>
      </c>
      <c r="B139" s="2132">
        <v>127</v>
      </c>
      <c r="C139" s="3343"/>
      <c r="D139" s="3344" t="s">
        <v>1462</v>
      </c>
      <c r="E139" s="3344" t="s">
        <v>40</v>
      </c>
      <c r="F139" s="3345">
        <v>22857.142857142859</v>
      </c>
      <c r="G139" s="3345">
        <v>918052.8461281585</v>
      </c>
      <c r="H139" s="3345">
        <v>227727.42857142858</v>
      </c>
      <c r="I139" s="3345">
        <v>0</v>
      </c>
      <c r="J139" s="3345">
        <v>0</v>
      </c>
      <c r="K139" s="3345">
        <f t="shared" si="4"/>
        <v>1168637.4175567299</v>
      </c>
      <c r="L139" s="3345">
        <v>0</v>
      </c>
      <c r="M139" s="3345">
        <f t="shared" si="5"/>
        <v>1168637.4175567299</v>
      </c>
      <c r="N139" s="3345"/>
      <c r="O139" s="3346"/>
      <c r="P139" s="2206"/>
    </row>
    <row r="140" spans="1:16" s="2207" customFormat="1" ht="16.5" customHeight="1">
      <c r="A140" s="2132">
        <v>128</v>
      </c>
      <c r="B140" s="2132">
        <v>128</v>
      </c>
      <c r="C140" s="3343"/>
      <c r="D140" s="3344" t="s">
        <v>1463</v>
      </c>
      <c r="E140" s="3344" t="s">
        <v>40</v>
      </c>
      <c r="F140" s="3345">
        <v>22857.142857142859</v>
      </c>
      <c r="G140" s="3345">
        <v>918052.8461281585</v>
      </c>
      <c r="H140" s="3345">
        <v>227727.42857142858</v>
      </c>
      <c r="I140" s="3345">
        <v>0</v>
      </c>
      <c r="J140" s="3345">
        <v>0</v>
      </c>
      <c r="K140" s="3345">
        <f t="shared" si="4"/>
        <v>1168637.4175567299</v>
      </c>
      <c r="L140" s="3345">
        <v>0</v>
      </c>
      <c r="M140" s="3345">
        <f t="shared" si="5"/>
        <v>1168637.4175567299</v>
      </c>
      <c r="N140" s="3345"/>
      <c r="O140" s="3346"/>
      <c r="P140" s="2206"/>
    </row>
    <row r="141" spans="1:16" s="2207" customFormat="1" ht="16.5" customHeight="1">
      <c r="A141" s="2132">
        <v>129</v>
      </c>
      <c r="B141" s="2132">
        <v>129</v>
      </c>
      <c r="C141" s="3343"/>
      <c r="D141" s="3344" t="s">
        <v>1464</v>
      </c>
      <c r="E141" s="3344" t="s">
        <v>40</v>
      </c>
      <c r="F141" s="3345">
        <v>22857.142857142859</v>
      </c>
      <c r="G141" s="3345">
        <v>918052.8461281585</v>
      </c>
      <c r="H141" s="3345">
        <v>227727.42857142858</v>
      </c>
      <c r="I141" s="3345">
        <v>0</v>
      </c>
      <c r="J141" s="3345">
        <v>0</v>
      </c>
      <c r="K141" s="3345">
        <f t="shared" si="4"/>
        <v>1168637.4175567299</v>
      </c>
      <c r="L141" s="3345">
        <v>0</v>
      </c>
      <c r="M141" s="3345">
        <f t="shared" si="5"/>
        <v>1168637.4175567299</v>
      </c>
      <c r="N141" s="3345"/>
      <c r="O141" s="3346"/>
      <c r="P141" s="2206"/>
    </row>
    <row r="142" spans="1:16" s="2207" customFormat="1" ht="16.5" customHeight="1">
      <c r="A142" s="2132">
        <v>130</v>
      </c>
      <c r="B142" s="2132">
        <v>130</v>
      </c>
      <c r="C142" s="3343"/>
      <c r="D142" s="3344" t="s">
        <v>1465</v>
      </c>
      <c r="E142" s="3344" t="s">
        <v>40</v>
      </c>
      <c r="F142" s="3345">
        <v>22857.142857142859</v>
      </c>
      <c r="G142" s="3345">
        <v>918052.8461281585</v>
      </c>
      <c r="H142" s="3345">
        <v>227727.42857142858</v>
      </c>
      <c r="I142" s="3345">
        <v>0</v>
      </c>
      <c r="J142" s="3345">
        <v>0</v>
      </c>
      <c r="K142" s="3345">
        <f t="shared" ref="K142:K205" si="6">F142+G142+H142</f>
        <v>1168637.4175567299</v>
      </c>
      <c r="L142" s="3345">
        <v>0</v>
      </c>
      <c r="M142" s="3345">
        <f t="shared" ref="M142:M205" si="7">K142</f>
        <v>1168637.4175567299</v>
      </c>
      <c r="N142" s="3345"/>
      <c r="O142" s="3346"/>
      <c r="P142" s="2206"/>
    </row>
    <row r="143" spans="1:16" s="2207" customFormat="1" ht="16.5" customHeight="1">
      <c r="A143" s="2132">
        <v>131</v>
      </c>
      <c r="B143" s="2132">
        <v>131</v>
      </c>
      <c r="C143" s="3343">
        <v>0</v>
      </c>
      <c r="D143" s="3344" t="s">
        <v>744</v>
      </c>
      <c r="E143" s="3344" t="s">
        <v>40</v>
      </c>
      <c r="F143" s="3345">
        <v>20000</v>
      </c>
      <c r="G143" s="3345">
        <v>795063.26064622623</v>
      </c>
      <c r="H143" s="3345">
        <v>269135.33333333331</v>
      </c>
      <c r="I143" s="3345">
        <v>0</v>
      </c>
      <c r="J143" s="3345">
        <v>0</v>
      </c>
      <c r="K143" s="3345">
        <f t="shared" si="6"/>
        <v>1084198.5939795596</v>
      </c>
      <c r="L143" s="3345">
        <v>0</v>
      </c>
      <c r="M143" s="3345">
        <f t="shared" si="7"/>
        <v>1084198.5939795596</v>
      </c>
      <c r="N143" s="3345"/>
      <c r="O143" s="3346"/>
      <c r="P143" s="2206"/>
    </row>
    <row r="144" spans="1:16" s="2207" customFormat="1" ht="16.5" customHeight="1">
      <c r="A144" s="2132">
        <v>132</v>
      </c>
      <c r="B144" s="2132">
        <v>132</v>
      </c>
      <c r="C144" s="3343"/>
      <c r="D144" s="3344" t="s">
        <v>1466</v>
      </c>
      <c r="E144" s="3344" t="s">
        <v>40</v>
      </c>
      <c r="F144" s="3345">
        <v>20000</v>
      </c>
      <c r="G144" s="3345">
        <v>795063.26064622623</v>
      </c>
      <c r="H144" s="3345">
        <v>269135.33333333331</v>
      </c>
      <c r="I144" s="3345">
        <v>0</v>
      </c>
      <c r="J144" s="3345">
        <v>0</v>
      </c>
      <c r="K144" s="3345">
        <f t="shared" si="6"/>
        <v>1084198.5939795596</v>
      </c>
      <c r="L144" s="3345">
        <v>0</v>
      </c>
      <c r="M144" s="3345">
        <f t="shared" si="7"/>
        <v>1084198.5939795596</v>
      </c>
      <c r="N144" s="3345"/>
      <c r="O144" s="3346"/>
      <c r="P144" s="2206"/>
    </row>
    <row r="145" spans="1:16" s="2207" customFormat="1" ht="16.5" customHeight="1">
      <c r="A145" s="2132">
        <v>133</v>
      </c>
      <c r="B145" s="2132">
        <v>133</v>
      </c>
      <c r="C145" s="3343"/>
      <c r="D145" s="3344" t="s">
        <v>1467</v>
      </c>
      <c r="E145" s="3344" t="s">
        <v>40</v>
      </c>
      <c r="F145" s="3345">
        <v>20000</v>
      </c>
      <c r="G145" s="3345">
        <v>795063.26064622623</v>
      </c>
      <c r="H145" s="3345">
        <v>269135.33333333331</v>
      </c>
      <c r="I145" s="3345">
        <v>0</v>
      </c>
      <c r="J145" s="3345">
        <v>0</v>
      </c>
      <c r="K145" s="3345">
        <f t="shared" si="6"/>
        <v>1084198.5939795596</v>
      </c>
      <c r="L145" s="3345">
        <v>0</v>
      </c>
      <c r="M145" s="3345">
        <f t="shared" si="7"/>
        <v>1084198.5939795596</v>
      </c>
      <c r="N145" s="3345"/>
      <c r="O145" s="3346"/>
      <c r="P145" s="2206"/>
    </row>
    <row r="146" spans="1:16" s="2207" customFormat="1" ht="16.5" customHeight="1">
      <c r="A146" s="2132">
        <v>134</v>
      </c>
      <c r="B146" s="2132">
        <v>134</v>
      </c>
      <c r="C146" s="3343"/>
      <c r="D146" s="3344" t="s">
        <v>1468</v>
      </c>
      <c r="E146" s="3344" t="s">
        <v>40</v>
      </c>
      <c r="F146" s="3345">
        <v>20000</v>
      </c>
      <c r="G146" s="3345">
        <v>795063.26064622623</v>
      </c>
      <c r="H146" s="3345">
        <v>269135.33333333331</v>
      </c>
      <c r="I146" s="3345">
        <v>0</v>
      </c>
      <c r="J146" s="3345">
        <v>0</v>
      </c>
      <c r="K146" s="3345">
        <f t="shared" si="6"/>
        <v>1084198.5939795596</v>
      </c>
      <c r="L146" s="3345">
        <v>0</v>
      </c>
      <c r="M146" s="3345">
        <f t="shared" si="7"/>
        <v>1084198.5939795596</v>
      </c>
      <c r="N146" s="3345"/>
      <c r="O146" s="3346"/>
      <c r="P146" s="2206"/>
    </row>
    <row r="147" spans="1:16" s="2207" customFormat="1" ht="16.5" customHeight="1">
      <c r="A147" s="2132">
        <v>135</v>
      </c>
      <c r="B147" s="2132">
        <v>135</v>
      </c>
      <c r="C147" s="3343"/>
      <c r="D147" s="3344" t="s">
        <v>1469</v>
      </c>
      <c r="E147" s="3344" t="s">
        <v>40</v>
      </c>
      <c r="F147" s="3345">
        <v>20000</v>
      </c>
      <c r="G147" s="3345">
        <v>795063.26064622623</v>
      </c>
      <c r="H147" s="3345">
        <v>269135.33333333331</v>
      </c>
      <c r="I147" s="3345">
        <v>0</v>
      </c>
      <c r="J147" s="3345">
        <v>0</v>
      </c>
      <c r="K147" s="3345">
        <f t="shared" si="6"/>
        <v>1084198.5939795596</v>
      </c>
      <c r="L147" s="3345">
        <v>0</v>
      </c>
      <c r="M147" s="3345">
        <f t="shared" si="7"/>
        <v>1084198.5939795596</v>
      </c>
      <c r="N147" s="3345"/>
      <c r="O147" s="3346"/>
      <c r="P147" s="2206"/>
    </row>
    <row r="148" spans="1:16" s="2207" customFormat="1" ht="16.5" customHeight="1">
      <c r="A148" s="2132">
        <v>136</v>
      </c>
      <c r="B148" s="2132">
        <v>136</v>
      </c>
      <c r="C148" s="3343"/>
      <c r="D148" s="3344" t="s">
        <v>1470</v>
      </c>
      <c r="E148" s="3344" t="s">
        <v>40</v>
      </c>
      <c r="F148" s="3345">
        <v>20000</v>
      </c>
      <c r="G148" s="3345">
        <v>795063.26064622623</v>
      </c>
      <c r="H148" s="3345">
        <v>269135.33333333331</v>
      </c>
      <c r="I148" s="3345">
        <v>0</v>
      </c>
      <c r="J148" s="3345">
        <v>0</v>
      </c>
      <c r="K148" s="3345">
        <f t="shared" si="6"/>
        <v>1084198.5939795596</v>
      </c>
      <c r="L148" s="3345">
        <v>0</v>
      </c>
      <c r="M148" s="3345">
        <f t="shared" si="7"/>
        <v>1084198.5939795596</v>
      </c>
      <c r="N148" s="3345"/>
      <c r="O148" s="3346"/>
      <c r="P148" s="2206"/>
    </row>
    <row r="149" spans="1:16" s="2207" customFormat="1" ht="16.5" customHeight="1">
      <c r="A149" s="2132">
        <v>137</v>
      </c>
      <c r="B149" s="2132">
        <v>137</v>
      </c>
      <c r="C149" s="3343">
        <v>0</v>
      </c>
      <c r="D149" s="3344" t="s">
        <v>1471</v>
      </c>
      <c r="E149" s="3344" t="s">
        <v>40</v>
      </c>
      <c r="F149" s="3345">
        <v>17142.857142857141</v>
      </c>
      <c r="G149" s="3345">
        <v>872309.20578017947</v>
      </c>
      <c r="H149" s="3345">
        <v>247989.42857142858</v>
      </c>
      <c r="I149" s="3345">
        <v>0</v>
      </c>
      <c r="J149" s="3345">
        <v>0</v>
      </c>
      <c r="K149" s="3345">
        <f t="shared" si="6"/>
        <v>1137441.4914944652</v>
      </c>
      <c r="L149" s="3345">
        <v>0</v>
      </c>
      <c r="M149" s="3345">
        <f t="shared" si="7"/>
        <v>1137441.4914944652</v>
      </c>
      <c r="N149" s="3345"/>
      <c r="O149" s="3346"/>
      <c r="P149" s="2206"/>
    </row>
    <row r="150" spans="1:16" s="2207" customFormat="1" ht="16.5" customHeight="1">
      <c r="A150" s="2132">
        <v>138</v>
      </c>
      <c r="B150" s="2132">
        <v>138</v>
      </c>
      <c r="C150" s="3343"/>
      <c r="D150" s="3344" t="s">
        <v>1472</v>
      </c>
      <c r="E150" s="3344" t="s">
        <v>40</v>
      </c>
      <c r="F150" s="3345">
        <v>17142.857142857141</v>
      </c>
      <c r="G150" s="3345">
        <v>872309.20578017947</v>
      </c>
      <c r="H150" s="3345">
        <v>247989.42857142858</v>
      </c>
      <c r="I150" s="3345">
        <v>0</v>
      </c>
      <c r="J150" s="3345">
        <v>0</v>
      </c>
      <c r="K150" s="3345">
        <f t="shared" si="6"/>
        <v>1137441.4914944652</v>
      </c>
      <c r="L150" s="3345">
        <v>0</v>
      </c>
      <c r="M150" s="3345">
        <f t="shared" si="7"/>
        <v>1137441.4914944652</v>
      </c>
      <c r="N150" s="3345"/>
      <c r="O150" s="3346"/>
      <c r="P150" s="2206"/>
    </row>
    <row r="151" spans="1:16" s="2207" customFormat="1" ht="16.5" customHeight="1">
      <c r="A151" s="2132">
        <v>139</v>
      </c>
      <c r="B151" s="2132">
        <v>139</v>
      </c>
      <c r="C151" s="3343"/>
      <c r="D151" s="3344" t="s">
        <v>1473</v>
      </c>
      <c r="E151" s="3344" t="s">
        <v>40</v>
      </c>
      <c r="F151" s="3345">
        <v>17142.857142857141</v>
      </c>
      <c r="G151" s="3345">
        <v>872309.20578017947</v>
      </c>
      <c r="H151" s="3345">
        <v>247989.42857142858</v>
      </c>
      <c r="I151" s="3345">
        <v>0</v>
      </c>
      <c r="J151" s="3345">
        <v>0</v>
      </c>
      <c r="K151" s="3345">
        <f t="shared" si="6"/>
        <v>1137441.4914944652</v>
      </c>
      <c r="L151" s="3345">
        <v>0</v>
      </c>
      <c r="M151" s="3345">
        <f t="shared" si="7"/>
        <v>1137441.4914944652</v>
      </c>
      <c r="N151" s="3345"/>
      <c r="O151" s="3346"/>
      <c r="P151" s="2206"/>
    </row>
    <row r="152" spans="1:16" s="2207" customFormat="1" ht="16.5" customHeight="1">
      <c r="A152" s="2132">
        <v>140</v>
      </c>
      <c r="B152" s="2132">
        <v>140</v>
      </c>
      <c r="C152" s="3343"/>
      <c r="D152" s="3344" t="s">
        <v>1474</v>
      </c>
      <c r="E152" s="3344" t="s">
        <v>40</v>
      </c>
      <c r="F152" s="3345">
        <v>17142.857142857141</v>
      </c>
      <c r="G152" s="3345">
        <v>872309.20578017947</v>
      </c>
      <c r="H152" s="3345">
        <v>247989.42857142858</v>
      </c>
      <c r="I152" s="3345">
        <v>0</v>
      </c>
      <c r="J152" s="3345">
        <v>0</v>
      </c>
      <c r="K152" s="3345">
        <f t="shared" si="6"/>
        <v>1137441.4914944652</v>
      </c>
      <c r="L152" s="3345">
        <v>0</v>
      </c>
      <c r="M152" s="3345">
        <f t="shared" si="7"/>
        <v>1137441.4914944652</v>
      </c>
      <c r="N152" s="3345"/>
      <c r="O152" s="3346"/>
      <c r="P152" s="2206"/>
    </row>
    <row r="153" spans="1:16" s="2207" customFormat="1" ht="16.5" customHeight="1">
      <c r="A153" s="2132">
        <v>141</v>
      </c>
      <c r="B153" s="2132">
        <v>141</v>
      </c>
      <c r="C153" s="3343"/>
      <c r="D153" s="3344" t="s">
        <v>1475</v>
      </c>
      <c r="E153" s="3344" t="s">
        <v>40</v>
      </c>
      <c r="F153" s="3345">
        <v>17142.857142857141</v>
      </c>
      <c r="G153" s="3345">
        <v>872309.20578017947</v>
      </c>
      <c r="H153" s="3345">
        <v>247989.42857142858</v>
      </c>
      <c r="I153" s="3345">
        <v>0</v>
      </c>
      <c r="J153" s="3345">
        <v>0</v>
      </c>
      <c r="K153" s="3345">
        <f t="shared" si="6"/>
        <v>1137441.4914944652</v>
      </c>
      <c r="L153" s="3345">
        <v>0</v>
      </c>
      <c r="M153" s="3345">
        <f t="shared" si="7"/>
        <v>1137441.4914944652</v>
      </c>
      <c r="N153" s="3345"/>
      <c r="O153" s="3346"/>
      <c r="P153" s="2206"/>
    </row>
    <row r="154" spans="1:16" s="2207" customFormat="1" ht="16.5" customHeight="1">
      <c r="A154" s="2132">
        <v>142</v>
      </c>
      <c r="B154" s="2132">
        <v>142</v>
      </c>
      <c r="C154" s="3343"/>
      <c r="D154" s="3344" t="s">
        <v>1476</v>
      </c>
      <c r="E154" s="3344" t="s">
        <v>40</v>
      </c>
      <c r="F154" s="3345">
        <v>17142.857142857141</v>
      </c>
      <c r="G154" s="3345">
        <v>872309.20578017947</v>
      </c>
      <c r="H154" s="3345">
        <v>247989.42857142858</v>
      </c>
      <c r="I154" s="3345">
        <v>0</v>
      </c>
      <c r="J154" s="3345">
        <v>0</v>
      </c>
      <c r="K154" s="3345">
        <f t="shared" si="6"/>
        <v>1137441.4914944652</v>
      </c>
      <c r="L154" s="3345">
        <v>0</v>
      </c>
      <c r="M154" s="3345">
        <f t="shared" si="7"/>
        <v>1137441.4914944652</v>
      </c>
      <c r="N154" s="3345"/>
      <c r="O154" s="3346"/>
      <c r="P154" s="2206"/>
    </row>
    <row r="155" spans="1:16" s="2207" customFormat="1" ht="16.5" customHeight="1">
      <c r="A155" s="2132">
        <v>143</v>
      </c>
      <c r="B155" s="2132">
        <v>143</v>
      </c>
      <c r="C155" s="3343"/>
      <c r="D155" s="3344" t="s">
        <v>1455</v>
      </c>
      <c r="E155" s="3344" t="s">
        <v>40</v>
      </c>
      <c r="F155" s="3345">
        <v>17142.857142857141</v>
      </c>
      <c r="G155" s="3345">
        <v>872309.20578017947</v>
      </c>
      <c r="H155" s="3345">
        <v>247989.42857142858</v>
      </c>
      <c r="I155" s="3345">
        <v>0</v>
      </c>
      <c r="J155" s="3345">
        <v>0</v>
      </c>
      <c r="K155" s="3345">
        <f t="shared" si="6"/>
        <v>1137441.4914944652</v>
      </c>
      <c r="L155" s="3345">
        <v>0</v>
      </c>
      <c r="M155" s="3345">
        <f t="shared" si="7"/>
        <v>1137441.4914944652</v>
      </c>
      <c r="N155" s="3345"/>
      <c r="O155" s="3346"/>
      <c r="P155" s="2206"/>
    </row>
    <row r="156" spans="1:16" s="2207" customFormat="1" ht="16.5" customHeight="1">
      <c r="A156" s="2132">
        <v>144</v>
      </c>
      <c r="B156" s="2132">
        <v>144</v>
      </c>
      <c r="C156" s="3343">
        <v>0</v>
      </c>
      <c r="D156" s="3344" t="s">
        <v>1456</v>
      </c>
      <c r="E156" s="3344" t="s">
        <v>40</v>
      </c>
      <c r="F156" s="3345">
        <v>17142.857142857141</v>
      </c>
      <c r="G156" s="3345">
        <v>884532.10538398777</v>
      </c>
      <c r="H156" s="3345">
        <v>247989.42857142858</v>
      </c>
      <c r="I156" s="3345">
        <v>0</v>
      </c>
      <c r="J156" s="3345">
        <v>0</v>
      </c>
      <c r="K156" s="3345">
        <f t="shared" si="6"/>
        <v>1149664.3910982735</v>
      </c>
      <c r="L156" s="3345">
        <v>0</v>
      </c>
      <c r="M156" s="3345">
        <f t="shared" si="7"/>
        <v>1149664.3910982735</v>
      </c>
      <c r="N156" s="3345"/>
      <c r="O156" s="3346"/>
      <c r="P156" s="2206"/>
    </row>
    <row r="157" spans="1:16" s="2207" customFormat="1" ht="16.5" customHeight="1">
      <c r="A157" s="2132">
        <v>145</v>
      </c>
      <c r="B157" s="2132">
        <v>145</v>
      </c>
      <c r="C157" s="3343"/>
      <c r="D157" s="3344" t="s">
        <v>1457</v>
      </c>
      <c r="E157" s="3344" t="s">
        <v>40</v>
      </c>
      <c r="F157" s="3345">
        <v>17142.857142857141</v>
      </c>
      <c r="G157" s="3345">
        <v>884532.10538398777</v>
      </c>
      <c r="H157" s="3345">
        <v>247989.42857142858</v>
      </c>
      <c r="I157" s="3345">
        <v>0</v>
      </c>
      <c r="J157" s="3345">
        <v>0</v>
      </c>
      <c r="K157" s="3345">
        <f t="shared" si="6"/>
        <v>1149664.3910982735</v>
      </c>
      <c r="L157" s="3345">
        <v>0</v>
      </c>
      <c r="M157" s="3345">
        <f t="shared" si="7"/>
        <v>1149664.3910982735</v>
      </c>
      <c r="N157" s="3345"/>
      <c r="O157" s="3346"/>
      <c r="P157" s="2206"/>
    </row>
    <row r="158" spans="1:16" s="2207" customFormat="1" ht="16.5" customHeight="1">
      <c r="A158" s="2132">
        <v>146</v>
      </c>
      <c r="B158" s="2132">
        <v>146</v>
      </c>
      <c r="C158" s="3343"/>
      <c r="D158" s="3344" t="s">
        <v>1458</v>
      </c>
      <c r="E158" s="3344" t="s">
        <v>40</v>
      </c>
      <c r="F158" s="3345">
        <v>17142.857142857141</v>
      </c>
      <c r="G158" s="3345">
        <v>884532.10538398777</v>
      </c>
      <c r="H158" s="3345">
        <v>247989.42857142858</v>
      </c>
      <c r="I158" s="3345">
        <v>0</v>
      </c>
      <c r="J158" s="3345">
        <v>0</v>
      </c>
      <c r="K158" s="3345">
        <f t="shared" si="6"/>
        <v>1149664.3910982735</v>
      </c>
      <c r="L158" s="3345">
        <v>0</v>
      </c>
      <c r="M158" s="3345">
        <f t="shared" si="7"/>
        <v>1149664.3910982735</v>
      </c>
      <c r="N158" s="3345"/>
      <c r="O158" s="3346"/>
      <c r="P158" s="2206"/>
    </row>
    <row r="159" spans="1:16" s="2207" customFormat="1" ht="16.5" customHeight="1">
      <c r="A159" s="2132">
        <v>147</v>
      </c>
      <c r="B159" s="2132">
        <v>147</v>
      </c>
      <c r="C159" s="3343"/>
      <c r="D159" s="3344" t="s">
        <v>1459</v>
      </c>
      <c r="E159" s="3344" t="s">
        <v>40</v>
      </c>
      <c r="F159" s="3345">
        <v>17142.857142857141</v>
      </c>
      <c r="G159" s="3345">
        <v>884532.10538398777</v>
      </c>
      <c r="H159" s="3345">
        <v>247989.42857142858</v>
      </c>
      <c r="I159" s="3345">
        <v>0</v>
      </c>
      <c r="J159" s="3345">
        <v>0</v>
      </c>
      <c r="K159" s="3345">
        <f t="shared" si="6"/>
        <v>1149664.3910982735</v>
      </c>
      <c r="L159" s="3345">
        <v>0</v>
      </c>
      <c r="M159" s="3345">
        <f t="shared" si="7"/>
        <v>1149664.3910982735</v>
      </c>
      <c r="N159" s="3345"/>
      <c r="O159" s="3346"/>
      <c r="P159" s="2206"/>
    </row>
    <row r="160" spans="1:16" s="2207" customFormat="1" ht="16.5" customHeight="1">
      <c r="A160" s="2132">
        <v>148</v>
      </c>
      <c r="B160" s="2132">
        <v>148</v>
      </c>
      <c r="C160" s="3343"/>
      <c r="D160" s="3344" t="s">
        <v>1460</v>
      </c>
      <c r="E160" s="3344" t="s">
        <v>40</v>
      </c>
      <c r="F160" s="3345">
        <v>17142.857142857141</v>
      </c>
      <c r="G160" s="3345">
        <v>884532.10538398777</v>
      </c>
      <c r="H160" s="3345">
        <v>247989.42857142858</v>
      </c>
      <c r="I160" s="3345">
        <v>0</v>
      </c>
      <c r="J160" s="3345">
        <v>0</v>
      </c>
      <c r="K160" s="3345">
        <f t="shared" si="6"/>
        <v>1149664.3910982735</v>
      </c>
      <c r="L160" s="3345">
        <v>0</v>
      </c>
      <c r="M160" s="3345">
        <f t="shared" si="7"/>
        <v>1149664.3910982735</v>
      </c>
      <c r="N160" s="3345"/>
      <c r="O160" s="3346"/>
      <c r="P160" s="2206"/>
    </row>
    <row r="161" spans="1:16" s="2207" customFormat="1" ht="16.5" customHeight="1">
      <c r="A161" s="2132">
        <v>149</v>
      </c>
      <c r="B161" s="2132">
        <v>149</v>
      </c>
      <c r="C161" s="3343"/>
      <c r="D161" s="3344" t="s">
        <v>771</v>
      </c>
      <c r="E161" s="3344" t="s">
        <v>40</v>
      </c>
      <c r="F161" s="3345">
        <v>17142.857142857141</v>
      </c>
      <c r="G161" s="3345">
        <v>884532.10538398777</v>
      </c>
      <c r="H161" s="3345">
        <v>247989.42857142858</v>
      </c>
      <c r="I161" s="3345">
        <v>0</v>
      </c>
      <c r="J161" s="3345">
        <v>0</v>
      </c>
      <c r="K161" s="3345">
        <f t="shared" si="6"/>
        <v>1149664.3910982735</v>
      </c>
      <c r="L161" s="3345">
        <v>0</v>
      </c>
      <c r="M161" s="3345">
        <f t="shared" si="7"/>
        <v>1149664.3910982735</v>
      </c>
      <c r="N161" s="3345"/>
      <c r="O161" s="3346"/>
      <c r="P161" s="2206"/>
    </row>
    <row r="162" spans="1:16" s="2207" customFormat="1" ht="16.5" customHeight="1">
      <c r="A162" s="2132">
        <v>150</v>
      </c>
      <c r="B162" s="2132">
        <v>150</v>
      </c>
      <c r="C162" s="3343"/>
      <c r="D162" s="3344" t="s">
        <v>771</v>
      </c>
      <c r="E162" s="3344" t="s">
        <v>40</v>
      </c>
      <c r="F162" s="3345">
        <v>17142.857142857141</v>
      </c>
      <c r="G162" s="3345">
        <v>884532.10538398777</v>
      </c>
      <c r="H162" s="3345">
        <v>247989.42857142858</v>
      </c>
      <c r="I162" s="3345">
        <v>0</v>
      </c>
      <c r="J162" s="3345">
        <v>0</v>
      </c>
      <c r="K162" s="3345">
        <f t="shared" si="6"/>
        <v>1149664.3910982735</v>
      </c>
      <c r="L162" s="3345">
        <v>0</v>
      </c>
      <c r="M162" s="3345">
        <f t="shared" si="7"/>
        <v>1149664.3910982735</v>
      </c>
      <c r="N162" s="3345"/>
      <c r="O162" s="3346"/>
      <c r="P162" s="2206"/>
    </row>
    <row r="163" spans="1:16" s="2207" customFormat="1" ht="16.5" customHeight="1">
      <c r="A163" s="2132">
        <v>151</v>
      </c>
      <c r="B163" s="2132">
        <v>151</v>
      </c>
      <c r="C163" s="3343">
        <v>0</v>
      </c>
      <c r="D163" s="3344" t="s">
        <v>373</v>
      </c>
      <c r="E163" s="3344" t="s">
        <v>40</v>
      </c>
      <c r="F163" s="3345">
        <v>17142.857142857141</v>
      </c>
      <c r="G163" s="3345">
        <v>872309.20578017947</v>
      </c>
      <c r="H163" s="3345">
        <v>250884</v>
      </c>
      <c r="I163" s="3345">
        <v>0</v>
      </c>
      <c r="J163" s="3345">
        <v>0</v>
      </c>
      <c r="K163" s="3345">
        <f t="shared" si="6"/>
        <v>1140336.0629230365</v>
      </c>
      <c r="L163" s="3345">
        <v>0</v>
      </c>
      <c r="M163" s="3345">
        <f t="shared" si="7"/>
        <v>1140336.0629230365</v>
      </c>
      <c r="N163" s="3345"/>
      <c r="O163" s="3346"/>
      <c r="P163" s="2206"/>
    </row>
    <row r="164" spans="1:16" s="2207" customFormat="1" ht="16.5" customHeight="1">
      <c r="A164" s="2132">
        <v>152</v>
      </c>
      <c r="B164" s="2132">
        <v>152</v>
      </c>
      <c r="C164" s="3343"/>
      <c r="D164" s="3344" t="s">
        <v>1623</v>
      </c>
      <c r="E164" s="3344" t="s">
        <v>40</v>
      </c>
      <c r="F164" s="3345">
        <v>17142.857142857141</v>
      </c>
      <c r="G164" s="3345">
        <v>872309.20578017947</v>
      </c>
      <c r="H164" s="3345">
        <v>250884</v>
      </c>
      <c r="I164" s="3345">
        <v>0</v>
      </c>
      <c r="J164" s="3345">
        <v>0</v>
      </c>
      <c r="K164" s="3345">
        <f t="shared" si="6"/>
        <v>1140336.0629230365</v>
      </c>
      <c r="L164" s="3345">
        <v>0</v>
      </c>
      <c r="M164" s="3345">
        <f t="shared" si="7"/>
        <v>1140336.0629230365</v>
      </c>
      <c r="N164" s="3345"/>
      <c r="O164" s="3346"/>
      <c r="P164" s="2206"/>
    </row>
    <row r="165" spans="1:16" s="2207" customFormat="1" ht="16.5" customHeight="1">
      <c r="A165" s="2132">
        <v>153</v>
      </c>
      <c r="B165" s="2132">
        <v>153</v>
      </c>
      <c r="C165" s="3343"/>
      <c r="D165" s="3344" t="s">
        <v>1624</v>
      </c>
      <c r="E165" s="3344" t="s">
        <v>40</v>
      </c>
      <c r="F165" s="3345">
        <v>17142.857142857141</v>
      </c>
      <c r="G165" s="3345">
        <v>872309.20578017947</v>
      </c>
      <c r="H165" s="3345">
        <v>250884</v>
      </c>
      <c r="I165" s="3345">
        <v>0</v>
      </c>
      <c r="J165" s="3345">
        <v>0</v>
      </c>
      <c r="K165" s="3345">
        <f t="shared" si="6"/>
        <v>1140336.0629230365</v>
      </c>
      <c r="L165" s="3345">
        <v>0</v>
      </c>
      <c r="M165" s="3345">
        <f t="shared" si="7"/>
        <v>1140336.0629230365</v>
      </c>
      <c r="N165" s="3345"/>
      <c r="O165" s="3346"/>
      <c r="P165" s="2206"/>
    </row>
    <row r="166" spans="1:16" s="2207" customFormat="1" ht="16.5" customHeight="1">
      <c r="A166" s="2132">
        <v>154</v>
      </c>
      <c r="B166" s="2132">
        <v>154</v>
      </c>
      <c r="C166" s="3343"/>
      <c r="D166" s="3344" t="s">
        <v>1625</v>
      </c>
      <c r="E166" s="3344" t="s">
        <v>40</v>
      </c>
      <c r="F166" s="3345">
        <v>17142.857142857141</v>
      </c>
      <c r="G166" s="3345">
        <v>872309.20578017947</v>
      </c>
      <c r="H166" s="3345">
        <v>250884</v>
      </c>
      <c r="I166" s="3345">
        <v>0</v>
      </c>
      <c r="J166" s="3345">
        <v>0</v>
      </c>
      <c r="K166" s="3345">
        <f t="shared" si="6"/>
        <v>1140336.0629230365</v>
      </c>
      <c r="L166" s="3345">
        <v>0</v>
      </c>
      <c r="M166" s="3345">
        <f t="shared" si="7"/>
        <v>1140336.0629230365</v>
      </c>
      <c r="N166" s="3345"/>
      <c r="O166" s="3346"/>
      <c r="P166" s="2206"/>
    </row>
    <row r="167" spans="1:16" s="2207" customFormat="1" ht="16.5" customHeight="1">
      <c r="A167" s="2132">
        <v>155</v>
      </c>
      <c r="B167" s="2132">
        <v>155</v>
      </c>
      <c r="C167" s="3343"/>
      <c r="D167" s="3344" t="s">
        <v>1626</v>
      </c>
      <c r="E167" s="3344" t="s">
        <v>40</v>
      </c>
      <c r="F167" s="3345">
        <v>17142.857142857141</v>
      </c>
      <c r="G167" s="3345">
        <v>872309.20578017947</v>
      </c>
      <c r="H167" s="3345">
        <v>250884</v>
      </c>
      <c r="I167" s="3345">
        <v>0</v>
      </c>
      <c r="J167" s="3345">
        <v>0</v>
      </c>
      <c r="K167" s="3345">
        <f t="shared" si="6"/>
        <v>1140336.0629230365</v>
      </c>
      <c r="L167" s="3345">
        <v>0</v>
      </c>
      <c r="M167" s="3345">
        <f t="shared" si="7"/>
        <v>1140336.0629230365</v>
      </c>
      <c r="N167" s="3345"/>
      <c r="O167" s="3346"/>
      <c r="P167" s="2206"/>
    </row>
    <row r="168" spans="1:16" s="2207" customFormat="1" ht="16.5" customHeight="1">
      <c r="A168" s="2132">
        <v>156</v>
      </c>
      <c r="B168" s="2132">
        <v>156</v>
      </c>
      <c r="C168" s="3343"/>
      <c r="D168" s="3344" t="s">
        <v>1627</v>
      </c>
      <c r="E168" s="3344" t="s">
        <v>40</v>
      </c>
      <c r="F168" s="3345">
        <v>17142.857142857141</v>
      </c>
      <c r="G168" s="3345">
        <v>872309.20578017947</v>
      </c>
      <c r="H168" s="3345">
        <v>250884</v>
      </c>
      <c r="I168" s="3345">
        <v>0</v>
      </c>
      <c r="J168" s="3345">
        <v>0</v>
      </c>
      <c r="K168" s="3345">
        <f t="shared" si="6"/>
        <v>1140336.0629230365</v>
      </c>
      <c r="L168" s="3345">
        <v>0</v>
      </c>
      <c r="M168" s="3345">
        <f t="shared" si="7"/>
        <v>1140336.0629230365</v>
      </c>
      <c r="N168" s="3345"/>
      <c r="O168" s="3346"/>
      <c r="P168" s="2206"/>
    </row>
    <row r="169" spans="1:16" s="2207" customFormat="1" ht="16.5" customHeight="1">
      <c r="A169" s="2132">
        <v>157</v>
      </c>
      <c r="B169" s="2132">
        <v>157</v>
      </c>
      <c r="C169" s="3343"/>
      <c r="D169" s="3344" t="s">
        <v>1628</v>
      </c>
      <c r="E169" s="3344" t="s">
        <v>40</v>
      </c>
      <c r="F169" s="3345">
        <v>17142.857142857141</v>
      </c>
      <c r="G169" s="3345">
        <v>872309.20578017947</v>
      </c>
      <c r="H169" s="3345">
        <v>250884</v>
      </c>
      <c r="I169" s="3345">
        <v>0</v>
      </c>
      <c r="J169" s="3345">
        <v>0</v>
      </c>
      <c r="K169" s="3345">
        <f t="shared" si="6"/>
        <v>1140336.0629230365</v>
      </c>
      <c r="L169" s="3345">
        <v>0</v>
      </c>
      <c r="M169" s="3345">
        <f t="shared" si="7"/>
        <v>1140336.0629230365</v>
      </c>
      <c r="N169" s="3345"/>
      <c r="O169" s="3346"/>
      <c r="P169" s="2206"/>
    </row>
    <row r="170" spans="1:16" s="2207" customFormat="1" ht="16.5" customHeight="1">
      <c r="A170" s="2132">
        <v>158</v>
      </c>
      <c r="B170" s="2132">
        <v>158</v>
      </c>
      <c r="C170" s="3343">
        <v>0</v>
      </c>
      <c r="D170" s="3344" t="s">
        <v>1629</v>
      </c>
      <c r="E170" s="3344" t="s">
        <v>40</v>
      </c>
      <c r="F170" s="3345">
        <v>24000</v>
      </c>
      <c r="G170" s="3345">
        <v>698787.34089288791</v>
      </c>
      <c r="H170" s="3345">
        <v>337100</v>
      </c>
      <c r="I170" s="3345">
        <v>0</v>
      </c>
      <c r="J170" s="3345">
        <v>0</v>
      </c>
      <c r="K170" s="3345">
        <f t="shared" si="6"/>
        <v>1059887.3408928879</v>
      </c>
      <c r="L170" s="3345">
        <v>0</v>
      </c>
      <c r="M170" s="3345">
        <f t="shared" si="7"/>
        <v>1059887.3408928879</v>
      </c>
      <c r="N170" s="3345"/>
      <c r="O170" s="3346"/>
      <c r="P170" s="2206"/>
    </row>
    <row r="171" spans="1:16" s="2207" customFormat="1" ht="16.5" customHeight="1">
      <c r="A171" s="2132">
        <v>159</v>
      </c>
      <c r="B171" s="2132">
        <v>159</v>
      </c>
      <c r="C171" s="3343"/>
      <c r="D171" s="3344" t="s">
        <v>1630</v>
      </c>
      <c r="E171" s="3344" t="s">
        <v>40</v>
      </c>
      <c r="F171" s="3345">
        <v>24000</v>
      </c>
      <c r="G171" s="3345">
        <v>698787.34089288791</v>
      </c>
      <c r="H171" s="3345">
        <v>337100</v>
      </c>
      <c r="I171" s="3345">
        <v>0</v>
      </c>
      <c r="J171" s="3345">
        <v>0</v>
      </c>
      <c r="K171" s="3345">
        <f t="shared" si="6"/>
        <v>1059887.3408928879</v>
      </c>
      <c r="L171" s="3345">
        <v>0</v>
      </c>
      <c r="M171" s="3345">
        <f t="shared" si="7"/>
        <v>1059887.3408928879</v>
      </c>
      <c r="N171" s="3345"/>
      <c r="O171" s="3346"/>
      <c r="P171" s="2206"/>
    </row>
    <row r="172" spans="1:16" s="2207" customFormat="1" ht="16.5" customHeight="1">
      <c r="A172" s="2132">
        <v>160</v>
      </c>
      <c r="B172" s="2132">
        <v>160</v>
      </c>
      <c r="C172" s="3343"/>
      <c r="D172" s="3344" t="s">
        <v>1631</v>
      </c>
      <c r="E172" s="3344" t="s">
        <v>40</v>
      </c>
      <c r="F172" s="3345">
        <v>24000</v>
      </c>
      <c r="G172" s="3345">
        <v>698787.34089288791</v>
      </c>
      <c r="H172" s="3345">
        <v>337100</v>
      </c>
      <c r="I172" s="3345">
        <v>0</v>
      </c>
      <c r="J172" s="3345">
        <v>0</v>
      </c>
      <c r="K172" s="3345">
        <f t="shared" si="6"/>
        <v>1059887.3408928879</v>
      </c>
      <c r="L172" s="3345">
        <v>0</v>
      </c>
      <c r="M172" s="3345">
        <f t="shared" si="7"/>
        <v>1059887.3408928879</v>
      </c>
      <c r="N172" s="3345"/>
      <c r="O172" s="3346"/>
      <c r="P172" s="2206"/>
    </row>
    <row r="173" spans="1:16" s="2207" customFormat="1" ht="16.5" customHeight="1">
      <c r="A173" s="2132">
        <v>161</v>
      </c>
      <c r="B173" s="2132">
        <v>161</v>
      </c>
      <c r="C173" s="3343"/>
      <c r="D173" s="3344" t="s">
        <v>1632</v>
      </c>
      <c r="E173" s="3344" t="s">
        <v>40</v>
      </c>
      <c r="F173" s="3345">
        <v>24000</v>
      </c>
      <c r="G173" s="3345">
        <v>698787.34089288791</v>
      </c>
      <c r="H173" s="3345">
        <v>337100</v>
      </c>
      <c r="I173" s="3345">
        <v>0</v>
      </c>
      <c r="J173" s="3345">
        <v>0</v>
      </c>
      <c r="K173" s="3345">
        <f t="shared" si="6"/>
        <v>1059887.3408928879</v>
      </c>
      <c r="L173" s="3345">
        <v>0</v>
      </c>
      <c r="M173" s="3345">
        <f t="shared" si="7"/>
        <v>1059887.3408928879</v>
      </c>
      <c r="N173" s="3345"/>
      <c r="O173" s="3346"/>
      <c r="P173" s="2206"/>
    </row>
    <row r="174" spans="1:16" s="2207" customFormat="1" ht="16.5" customHeight="1">
      <c r="A174" s="2132">
        <v>162</v>
      </c>
      <c r="B174" s="2132">
        <v>162</v>
      </c>
      <c r="C174" s="3343"/>
      <c r="D174" s="3344" t="s">
        <v>1633</v>
      </c>
      <c r="E174" s="3344" t="s">
        <v>40</v>
      </c>
      <c r="F174" s="3345">
        <v>24000</v>
      </c>
      <c r="G174" s="3345">
        <v>698787.34089288791</v>
      </c>
      <c r="H174" s="3345">
        <v>337100</v>
      </c>
      <c r="I174" s="3345">
        <v>0</v>
      </c>
      <c r="J174" s="3345">
        <v>0</v>
      </c>
      <c r="K174" s="3345">
        <f t="shared" si="6"/>
        <v>1059887.3408928879</v>
      </c>
      <c r="L174" s="3345">
        <v>0</v>
      </c>
      <c r="M174" s="3345">
        <f t="shared" si="7"/>
        <v>1059887.3408928879</v>
      </c>
      <c r="N174" s="3345"/>
      <c r="O174" s="3346"/>
      <c r="P174" s="2206"/>
    </row>
    <row r="175" spans="1:16" s="2207" customFormat="1" ht="16.5" customHeight="1">
      <c r="A175" s="2132">
        <v>163</v>
      </c>
      <c r="B175" s="2132">
        <v>163</v>
      </c>
      <c r="C175" s="3343">
        <v>0</v>
      </c>
      <c r="D175" s="3344" t="s">
        <v>1634</v>
      </c>
      <c r="E175" s="3344" t="s">
        <v>40</v>
      </c>
      <c r="F175" s="3345">
        <v>20000</v>
      </c>
      <c r="G175" s="3345">
        <v>816771.47254100384</v>
      </c>
      <c r="H175" s="3345">
        <v>284293.66666666669</v>
      </c>
      <c r="I175" s="3345">
        <v>0</v>
      </c>
      <c r="J175" s="3345">
        <v>0</v>
      </c>
      <c r="K175" s="3345">
        <f t="shared" si="6"/>
        <v>1121065.1392076705</v>
      </c>
      <c r="L175" s="3345">
        <v>0</v>
      </c>
      <c r="M175" s="3345">
        <f t="shared" si="7"/>
        <v>1121065.1392076705</v>
      </c>
      <c r="N175" s="3345">
        <v>0</v>
      </c>
      <c r="O175" s="3346"/>
      <c r="P175" s="2206"/>
    </row>
    <row r="176" spans="1:16" s="2207" customFormat="1" ht="16.5" customHeight="1">
      <c r="A176" s="2132">
        <v>164</v>
      </c>
      <c r="B176" s="2132">
        <v>164</v>
      </c>
      <c r="C176" s="3343"/>
      <c r="D176" s="3344" t="s">
        <v>270</v>
      </c>
      <c r="E176" s="3344" t="s">
        <v>40</v>
      </c>
      <c r="F176" s="3345">
        <v>20000</v>
      </c>
      <c r="G176" s="3345">
        <v>816771.47254100384</v>
      </c>
      <c r="H176" s="3345">
        <v>284293.66666666669</v>
      </c>
      <c r="I176" s="3345">
        <v>0</v>
      </c>
      <c r="J176" s="3345">
        <v>0</v>
      </c>
      <c r="K176" s="3345">
        <f t="shared" si="6"/>
        <v>1121065.1392076705</v>
      </c>
      <c r="L176" s="3345">
        <v>0</v>
      </c>
      <c r="M176" s="3345">
        <f t="shared" si="7"/>
        <v>1121065.1392076705</v>
      </c>
      <c r="N176" s="3345">
        <v>0</v>
      </c>
      <c r="O176" s="3346"/>
      <c r="P176" s="2206"/>
    </row>
    <row r="177" spans="1:16" s="2207" customFormat="1" ht="16.5" customHeight="1">
      <c r="A177" s="2132">
        <v>165</v>
      </c>
      <c r="B177" s="2132">
        <v>165</v>
      </c>
      <c r="C177" s="3343"/>
      <c r="D177" s="3344" t="s">
        <v>1440</v>
      </c>
      <c r="E177" s="3344" t="s">
        <v>40</v>
      </c>
      <c r="F177" s="3345">
        <v>20000</v>
      </c>
      <c r="G177" s="3345">
        <v>816771.47254100384</v>
      </c>
      <c r="H177" s="3345">
        <v>284293.66666666669</v>
      </c>
      <c r="I177" s="3345">
        <v>0</v>
      </c>
      <c r="J177" s="3345">
        <v>0</v>
      </c>
      <c r="K177" s="3345">
        <f t="shared" si="6"/>
        <v>1121065.1392076705</v>
      </c>
      <c r="L177" s="3345">
        <v>0</v>
      </c>
      <c r="M177" s="3345">
        <f t="shared" si="7"/>
        <v>1121065.1392076705</v>
      </c>
      <c r="N177" s="3345">
        <v>0</v>
      </c>
      <c r="O177" s="3346"/>
      <c r="P177" s="2206"/>
    </row>
    <row r="178" spans="1:16" s="2207" customFormat="1" ht="16.5" customHeight="1">
      <c r="A178" s="2132">
        <v>166</v>
      </c>
      <c r="B178" s="2132">
        <v>166</v>
      </c>
      <c r="C178" s="3343"/>
      <c r="D178" s="3344" t="s">
        <v>1441</v>
      </c>
      <c r="E178" s="3344" t="s">
        <v>40</v>
      </c>
      <c r="F178" s="3345">
        <v>20000</v>
      </c>
      <c r="G178" s="3345">
        <v>816771.47254100384</v>
      </c>
      <c r="H178" s="3345">
        <v>284293.66666666669</v>
      </c>
      <c r="I178" s="3345">
        <v>0</v>
      </c>
      <c r="J178" s="3345">
        <v>0</v>
      </c>
      <c r="K178" s="3345">
        <f t="shared" si="6"/>
        <v>1121065.1392076705</v>
      </c>
      <c r="L178" s="3345">
        <v>0</v>
      </c>
      <c r="M178" s="3345">
        <f t="shared" si="7"/>
        <v>1121065.1392076705</v>
      </c>
      <c r="N178" s="3345">
        <v>0</v>
      </c>
      <c r="O178" s="3346"/>
      <c r="P178" s="2206"/>
    </row>
    <row r="179" spans="1:16" s="2207" customFormat="1" ht="16.5" customHeight="1">
      <c r="A179" s="2132">
        <v>167</v>
      </c>
      <c r="B179" s="2132">
        <v>167</v>
      </c>
      <c r="C179" s="3343"/>
      <c r="D179" s="3344" t="s">
        <v>1442</v>
      </c>
      <c r="E179" s="3344" t="s">
        <v>40</v>
      </c>
      <c r="F179" s="3345">
        <v>20000</v>
      </c>
      <c r="G179" s="3345">
        <v>816771.47254100384</v>
      </c>
      <c r="H179" s="3345">
        <v>284293.66666666669</v>
      </c>
      <c r="I179" s="3345">
        <v>0</v>
      </c>
      <c r="J179" s="3345">
        <v>0</v>
      </c>
      <c r="K179" s="3345">
        <f t="shared" si="6"/>
        <v>1121065.1392076705</v>
      </c>
      <c r="L179" s="3345">
        <v>0</v>
      </c>
      <c r="M179" s="3345">
        <f t="shared" si="7"/>
        <v>1121065.1392076705</v>
      </c>
      <c r="N179" s="3345">
        <v>0</v>
      </c>
      <c r="O179" s="3346"/>
      <c r="P179" s="2206"/>
    </row>
    <row r="180" spans="1:16" s="2207" customFormat="1" ht="16.5" customHeight="1">
      <c r="A180" s="2132">
        <v>168</v>
      </c>
      <c r="B180" s="2132">
        <v>168</v>
      </c>
      <c r="C180" s="3343"/>
      <c r="D180" s="3344" t="s">
        <v>1443</v>
      </c>
      <c r="E180" s="3344" t="s">
        <v>40</v>
      </c>
      <c r="F180" s="3345">
        <v>20000</v>
      </c>
      <c r="G180" s="3345">
        <v>816771.47254100384</v>
      </c>
      <c r="H180" s="3345">
        <v>284293.66666666669</v>
      </c>
      <c r="I180" s="3345">
        <v>0</v>
      </c>
      <c r="J180" s="3345">
        <v>0</v>
      </c>
      <c r="K180" s="3345">
        <f t="shared" si="6"/>
        <v>1121065.1392076705</v>
      </c>
      <c r="L180" s="3345">
        <v>0</v>
      </c>
      <c r="M180" s="3345">
        <f t="shared" si="7"/>
        <v>1121065.1392076705</v>
      </c>
      <c r="N180" s="3345">
        <v>0</v>
      </c>
      <c r="O180" s="3346"/>
      <c r="P180" s="2206"/>
    </row>
    <row r="181" spans="1:16" s="2207" customFormat="1" ht="16.5" customHeight="1">
      <c r="A181" s="2132">
        <v>169</v>
      </c>
      <c r="B181" s="2132">
        <v>169</v>
      </c>
      <c r="C181" s="3343">
        <v>0</v>
      </c>
      <c r="D181" s="3344" t="s">
        <v>1635</v>
      </c>
      <c r="E181" s="3344" t="s">
        <v>40</v>
      </c>
      <c r="F181" s="3345">
        <v>17142.857142857141</v>
      </c>
      <c r="G181" s="3345">
        <v>816536.2111313066</v>
      </c>
      <c r="H181" s="3345">
        <v>230687.42857142858</v>
      </c>
      <c r="I181" s="3345">
        <v>0</v>
      </c>
      <c r="J181" s="3345">
        <v>0</v>
      </c>
      <c r="K181" s="3345">
        <f t="shared" si="6"/>
        <v>1064366.4968455923</v>
      </c>
      <c r="L181" s="3345">
        <v>0</v>
      </c>
      <c r="M181" s="3345">
        <f t="shared" si="7"/>
        <v>1064366.4968455923</v>
      </c>
      <c r="N181" s="3345"/>
      <c r="O181" s="3346"/>
      <c r="P181" s="2206"/>
    </row>
    <row r="182" spans="1:16" s="2207" customFormat="1" ht="16.5" customHeight="1">
      <c r="A182" s="2132">
        <v>170</v>
      </c>
      <c r="B182" s="2132">
        <v>170</v>
      </c>
      <c r="C182" s="3343"/>
      <c r="D182" s="3344" t="s">
        <v>1636</v>
      </c>
      <c r="E182" s="3344" t="s">
        <v>40</v>
      </c>
      <c r="F182" s="3345">
        <v>17142.857142857141</v>
      </c>
      <c r="G182" s="3345">
        <v>816536.2111313066</v>
      </c>
      <c r="H182" s="3345">
        <v>230687.42857142858</v>
      </c>
      <c r="I182" s="3345">
        <v>0</v>
      </c>
      <c r="J182" s="3345">
        <v>0</v>
      </c>
      <c r="K182" s="3345">
        <f t="shared" si="6"/>
        <v>1064366.4968455923</v>
      </c>
      <c r="L182" s="3345">
        <v>0</v>
      </c>
      <c r="M182" s="3345">
        <f t="shared" si="7"/>
        <v>1064366.4968455923</v>
      </c>
      <c r="N182" s="3345"/>
      <c r="O182" s="3346"/>
      <c r="P182" s="2206"/>
    </row>
    <row r="183" spans="1:16" s="2207" customFormat="1" ht="16.5" customHeight="1">
      <c r="A183" s="2132">
        <v>171</v>
      </c>
      <c r="B183" s="2132">
        <v>171</v>
      </c>
      <c r="C183" s="3343"/>
      <c r="D183" s="3344" t="s">
        <v>1637</v>
      </c>
      <c r="E183" s="3344" t="s">
        <v>40</v>
      </c>
      <c r="F183" s="3345">
        <v>17142.857142857141</v>
      </c>
      <c r="G183" s="3345">
        <v>816536.2111313066</v>
      </c>
      <c r="H183" s="3345">
        <v>230687.42857142858</v>
      </c>
      <c r="I183" s="3345">
        <v>0</v>
      </c>
      <c r="J183" s="3345">
        <v>0</v>
      </c>
      <c r="K183" s="3345">
        <f t="shared" si="6"/>
        <v>1064366.4968455923</v>
      </c>
      <c r="L183" s="3345">
        <v>0</v>
      </c>
      <c r="M183" s="3345">
        <f t="shared" si="7"/>
        <v>1064366.4968455923</v>
      </c>
      <c r="N183" s="3345"/>
      <c r="O183" s="3346"/>
      <c r="P183" s="2206"/>
    </row>
    <row r="184" spans="1:16" s="2207" customFormat="1" ht="16.5" customHeight="1">
      <c r="A184" s="2132">
        <v>172</v>
      </c>
      <c r="B184" s="2132">
        <v>172</v>
      </c>
      <c r="C184" s="3343"/>
      <c r="D184" s="3344" t="s">
        <v>1638</v>
      </c>
      <c r="E184" s="3344" t="s">
        <v>40</v>
      </c>
      <c r="F184" s="3345">
        <v>17142.857142857141</v>
      </c>
      <c r="G184" s="3345">
        <v>816536.2111313066</v>
      </c>
      <c r="H184" s="3345">
        <v>230687.42857142858</v>
      </c>
      <c r="I184" s="3345">
        <v>0</v>
      </c>
      <c r="J184" s="3345">
        <v>0</v>
      </c>
      <c r="K184" s="3345">
        <f t="shared" si="6"/>
        <v>1064366.4968455923</v>
      </c>
      <c r="L184" s="3345">
        <v>0</v>
      </c>
      <c r="M184" s="3345">
        <f t="shared" si="7"/>
        <v>1064366.4968455923</v>
      </c>
      <c r="N184" s="3345"/>
      <c r="O184" s="3346"/>
      <c r="P184" s="2206"/>
    </row>
    <row r="185" spans="1:16" s="2207" customFormat="1" ht="16.5" customHeight="1">
      <c r="A185" s="2132">
        <v>173</v>
      </c>
      <c r="B185" s="2132">
        <v>173</v>
      </c>
      <c r="C185" s="3343"/>
      <c r="D185" s="3344" t="s">
        <v>1639</v>
      </c>
      <c r="E185" s="3344" t="s">
        <v>40</v>
      </c>
      <c r="F185" s="3345">
        <v>17142.857142857141</v>
      </c>
      <c r="G185" s="3345">
        <v>816536.2111313066</v>
      </c>
      <c r="H185" s="3345">
        <v>230687.42857142858</v>
      </c>
      <c r="I185" s="3345">
        <v>0</v>
      </c>
      <c r="J185" s="3345">
        <v>0</v>
      </c>
      <c r="K185" s="3345">
        <f t="shared" si="6"/>
        <v>1064366.4968455923</v>
      </c>
      <c r="L185" s="3345">
        <v>0</v>
      </c>
      <c r="M185" s="3345">
        <f t="shared" si="7"/>
        <v>1064366.4968455923</v>
      </c>
      <c r="N185" s="3345"/>
      <c r="O185" s="3346"/>
      <c r="P185" s="2206"/>
    </row>
    <row r="186" spans="1:16" s="2207" customFormat="1" ht="16.5" customHeight="1">
      <c r="A186" s="2132">
        <v>174</v>
      </c>
      <c r="B186" s="2132">
        <v>174</v>
      </c>
      <c r="C186" s="3343"/>
      <c r="D186" s="3344" t="s">
        <v>1640</v>
      </c>
      <c r="E186" s="3344" t="s">
        <v>40</v>
      </c>
      <c r="F186" s="3345">
        <v>17142.857142857141</v>
      </c>
      <c r="G186" s="3345">
        <v>816536.2111313066</v>
      </c>
      <c r="H186" s="3345">
        <v>230687.42857142858</v>
      </c>
      <c r="I186" s="3345">
        <v>0</v>
      </c>
      <c r="J186" s="3345">
        <v>0</v>
      </c>
      <c r="K186" s="3345">
        <f t="shared" si="6"/>
        <v>1064366.4968455923</v>
      </c>
      <c r="L186" s="3345">
        <v>0</v>
      </c>
      <c r="M186" s="3345">
        <f t="shared" si="7"/>
        <v>1064366.4968455923</v>
      </c>
      <c r="N186" s="3345"/>
      <c r="O186" s="3346"/>
      <c r="P186" s="2206"/>
    </row>
    <row r="187" spans="1:16" s="2207" customFormat="1" ht="16.5" customHeight="1">
      <c r="A187" s="2132">
        <v>175</v>
      </c>
      <c r="B187" s="2132">
        <v>175</v>
      </c>
      <c r="C187" s="3343"/>
      <c r="D187" s="3344" t="s">
        <v>1641</v>
      </c>
      <c r="E187" s="3344" t="s">
        <v>40</v>
      </c>
      <c r="F187" s="3345">
        <v>17142.857142857141</v>
      </c>
      <c r="G187" s="3345">
        <v>816536.2111313066</v>
      </c>
      <c r="H187" s="3345">
        <v>230687.42857142858</v>
      </c>
      <c r="I187" s="3345">
        <v>0</v>
      </c>
      <c r="J187" s="3345">
        <v>0</v>
      </c>
      <c r="K187" s="3345">
        <f t="shared" si="6"/>
        <v>1064366.4968455923</v>
      </c>
      <c r="L187" s="3345">
        <v>0</v>
      </c>
      <c r="M187" s="3345">
        <f t="shared" si="7"/>
        <v>1064366.4968455923</v>
      </c>
      <c r="N187" s="3345"/>
      <c r="O187" s="3346"/>
      <c r="P187" s="2206"/>
    </row>
    <row r="188" spans="1:16" s="2207" customFormat="1" ht="16.5" customHeight="1">
      <c r="A188" s="2132">
        <v>176</v>
      </c>
      <c r="B188" s="2132">
        <v>176</v>
      </c>
      <c r="C188" s="3343">
        <v>0</v>
      </c>
      <c r="D188" s="3344" t="s">
        <v>1642</v>
      </c>
      <c r="E188" s="3344" t="s">
        <v>40</v>
      </c>
      <c r="F188" s="3345">
        <v>24000</v>
      </c>
      <c r="G188" s="3345">
        <v>821872.90233627637</v>
      </c>
      <c r="H188" s="3345">
        <v>298648</v>
      </c>
      <c r="I188" s="3345">
        <v>0</v>
      </c>
      <c r="J188" s="3345">
        <v>0</v>
      </c>
      <c r="K188" s="3345">
        <f t="shared" si="6"/>
        <v>1144520.9023362764</v>
      </c>
      <c r="L188" s="3345">
        <v>0</v>
      </c>
      <c r="M188" s="3345">
        <f t="shared" si="7"/>
        <v>1144520.9023362764</v>
      </c>
      <c r="N188" s="3345"/>
      <c r="O188" s="3346"/>
      <c r="P188" s="2206"/>
    </row>
    <row r="189" spans="1:16" s="2207" customFormat="1" ht="16.5" customHeight="1">
      <c r="A189" s="2132">
        <v>177</v>
      </c>
      <c r="B189" s="2132">
        <v>177</v>
      </c>
      <c r="C189" s="3343"/>
      <c r="D189" s="3344" t="s">
        <v>1488</v>
      </c>
      <c r="E189" s="3344" t="s">
        <v>40</v>
      </c>
      <c r="F189" s="3345">
        <v>24000</v>
      </c>
      <c r="G189" s="3345">
        <v>821872.90233627637</v>
      </c>
      <c r="H189" s="3345">
        <v>298648</v>
      </c>
      <c r="I189" s="3345">
        <v>0</v>
      </c>
      <c r="J189" s="3345">
        <v>0</v>
      </c>
      <c r="K189" s="3345">
        <f t="shared" si="6"/>
        <v>1144520.9023362764</v>
      </c>
      <c r="L189" s="3345">
        <v>0</v>
      </c>
      <c r="M189" s="3345">
        <f t="shared" si="7"/>
        <v>1144520.9023362764</v>
      </c>
      <c r="N189" s="3345"/>
      <c r="O189" s="3346"/>
      <c r="P189" s="2206"/>
    </row>
    <row r="190" spans="1:16" s="2207" customFormat="1" ht="16.5" customHeight="1">
      <c r="A190" s="2132">
        <v>178</v>
      </c>
      <c r="B190" s="2132">
        <v>178</v>
      </c>
      <c r="C190" s="3343"/>
      <c r="D190" s="3344" t="s">
        <v>1444</v>
      </c>
      <c r="E190" s="3344" t="s">
        <v>40</v>
      </c>
      <c r="F190" s="3345">
        <v>24000</v>
      </c>
      <c r="G190" s="3345">
        <v>821872.90233627637</v>
      </c>
      <c r="H190" s="3345">
        <v>298648</v>
      </c>
      <c r="I190" s="3345">
        <v>0</v>
      </c>
      <c r="J190" s="3345">
        <v>0</v>
      </c>
      <c r="K190" s="3345">
        <f t="shared" si="6"/>
        <v>1144520.9023362764</v>
      </c>
      <c r="L190" s="3345">
        <v>0</v>
      </c>
      <c r="M190" s="3345">
        <f t="shared" si="7"/>
        <v>1144520.9023362764</v>
      </c>
      <c r="N190" s="3345"/>
      <c r="O190" s="3346"/>
      <c r="P190" s="2206"/>
    </row>
    <row r="191" spans="1:16" s="2207" customFormat="1" ht="16.5" customHeight="1">
      <c r="A191" s="2132">
        <v>179</v>
      </c>
      <c r="B191" s="2132">
        <v>179</v>
      </c>
      <c r="C191" s="3343"/>
      <c r="D191" s="3344" t="s">
        <v>1445</v>
      </c>
      <c r="E191" s="3344" t="s">
        <v>40</v>
      </c>
      <c r="F191" s="3345">
        <v>24000</v>
      </c>
      <c r="G191" s="3345">
        <v>821872.90233627637</v>
      </c>
      <c r="H191" s="3345">
        <v>298648</v>
      </c>
      <c r="I191" s="3345">
        <v>0</v>
      </c>
      <c r="J191" s="3345">
        <v>0</v>
      </c>
      <c r="K191" s="3345">
        <f t="shared" si="6"/>
        <v>1144520.9023362764</v>
      </c>
      <c r="L191" s="3345">
        <v>0</v>
      </c>
      <c r="M191" s="3345">
        <f t="shared" si="7"/>
        <v>1144520.9023362764</v>
      </c>
      <c r="N191" s="3345"/>
      <c r="O191" s="3346"/>
      <c r="P191" s="2206"/>
    </row>
    <row r="192" spans="1:16" s="2207" customFormat="1" ht="16.5" customHeight="1">
      <c r="A192" s="2132">
        <v>180</v>
      </c>
      <c r="B192" s="2132">
        <v>180</v>
      </c>
      <c r="C192" s="3343"/>
      <c r="D192" s="3344" t="s">
        <v>1446</v>
      </c>
      <c r="E192" s="3344" t="s">
        <v>40</v>
      </c>
      <c r="F192" s="3345">
        <v>24000</v>
      </c>
      <c r="G192" s="3345">
        <v>821872.90233627637</v>
      </c>
      <c r="H192" s="3345">
        <v>298648</v>
      </c>
      <c r="I192" s="3345">
        <v>0</v>
      </c>
      <c r="J192" s="3345">
        <v>0</v>
      </c>
      <c r="K192" s="3345">
        <f t="shared" si="6"/>
        <v>1144520.9023362764</v>
      </c>
      <c r="L192" s="3345">
        <v>0</v>
      </c>
      <c r="M192" s="3345">
        <f t="shared" si="7"/>
        <v>1144520.9023362764</v>
      </c>
      <c r="N192" s="3345"/>
      <c r="O192" s="3346"/>
      <c r="P192" s="2206"/>
    </row>
    <row r="193" spans="1:16" s="2207" customFormat="1" ht="16.5" customHeight="1">
      <c r="A193" s="2132">
        <v>181</v>
      </c>
      <c r="B193" s="2132">
        <v>181</v>
      </c>
      <c r="C193" s="3343">
        <v>0</v>
      </c>
      <c r="D193" s="3344" t="s">
        <v>1586</v>
      </c>
      <c r="E193" s="3344" t="s">
        <v>40</v>
      </c>
      <c r="F193" s="3345">
        <v>15000</v>
      </c>
      <c r="G193" s="3345">
        <v>871449.03125097463</v>
      </c>
      <c r="H193" s="3345">
        <v>190417.25</v>
      </c>
      <c r="I193" s="3345">
        <v>0</v>
      </c>
      <c r="J193" s="3345">
        <v>0</v>
      </c>
      <c r="K193" s="3345">
        <f t="shared" si="6"/>
        <v>1076866.2812509746</v>
      </c>
      <c r="L193" s="3345">
        <v>0</v>
      </c>
      <c r="M193" s="3345">
        <f t="shared" si="7"/>
        <v>1076866.2812509746</v>
      </c>
      <c r="N193" s="3345"/>
      <c r="O193" s="3346"/>
      <c r="P193" s="2206"/>
    </row>
    <row r="194" spans="1:16" s="2207" customFormat="1" ht="16.5" customHeight="1">
      <c r="A194" s="2132">
        <v>182</v>
      </c>
      <c r="B194" s="2132">
        <v>182</v>
      </c>
      <c r="C194" s="3343"/>
      <c r="D194" s="3344" t="s">
        <v>1587</v>
      </c>
      <c r="E194" s="3344" t="s">
        <v>40</v>
      </c>
      <c r="F194" s="3345">
        <v>15000</v>
      </c>
      <c r="G194" s="3345">
        <v>871449.03125097463</v>
      </c>
      <c r="H194" s="3345">
        <v>190417.25</v>
      </c>
      <c r="I194" s="3345">
        <v>0</v>
      </c>
      <c r="J194" s="3345">
        <v>0</v>
      </c>
      <c r="K194" s="3345">
        <f t="shared" si="6"/>
        <v>1076866.2812509746</v>
      </c>
      <c r="L194" s="3345">
        <v>0</v>
      </c>
      <c r="M194" s="3345">
        <f t="shared" si="7"/>
        <v>1076866.2812509746</v>
      </c>
      <c r="N194" s="3345"/>
      <c r="O194" s="3346"/>
      <c r="P194" s="2206"/>
    </row>
    <row r="195" spans="1:16" s="2207" customFormat="1" ht="16.5" customHeight="1">
      <c r="A195" s="2132">
        <v>183</v>
      </c>
      <c r="B195" s="2132">
        <v>183</v>
      </c>
      <c r="C195" s="3343"/>
      <c r="D195" s="3344" t="s">
        <v>1588</v>
      </c>
      <c r="E195" s="3344" t="s">
        <v>40</v>
      </c>
      <c r="F195" s="3345">
        <v>15000</v>
      </c>
      <c r="G195" s="3345">
        <v>871449.03125097463</v>
      </c>
      <c r="H195" s="3345">
        <v>190417.25</v>
      </c>
      <c r="I195" s="3345">
        <v>0</v>
      </c>
      <c r="J195" s="3345">
        <v>0</v>
      </c>
      <c r="K195" s="3345">
        <f t="shared" si="6"/>
        <v>1076866.2812509746</v>
      </c>
      <c r="L195" s="3345">
        <v>0</v>
      </c>
      <c r="M195" s="3345">
        <f t="shared" si="7"/>
        <v>1076866.2812509746</v>
      </c>
      <c r="N195" s="3345"/>
      <c r="O195" s="3346"/>
      <c r="P195" s="2206"/>
    </row>
    <row r="196" spans="1:16" s="2207" customFormat="1" ht="16.5" customHeight="1">
      <c r="A196" s="2132">
        <v>184</v>
      </c>
      <c r="B196" s="2132">
        <v>184</v>
      </c>
      <c r="C196" s="3343"/>
      <c r="D196" s="3344" t="s">
        <v>1589</v>
      </c>
      <c r="E196" s="3344" t="s">
        <v>40</v>
      </c>
      <c r="F196" s="3345">
        <v>15000</v>
      </c>
      <c r="G196" s="3345">
        <v>871449.03125097463</v>
      </c>
      <c r="H196" s="3345">
        <v>190417.25</v>
      </c>
      <c r="I196" s="3345">
        <v>0</v>
      </c>
      <c r="J196" s="3345">
        <v>0</v>
      </c>
      <c r="K196" s="3345">
        <f t="shared" si="6"/>
        <v>1076866.2812509746</v>
      </c>
      <c r="L196" s="3345">
        <v>0</v>
      </c>
      <c r="M196" s="3345">
        <f t="shared" si="7"/>
        <v>1076866.2812509746</v>
      </c>
      <c r="N196" s="3345"/>
      <c r="O196" s="3346"/>
      <c r="P196" s="2206"/>
    </row>
    <row r="197" spans="1:16" s="2207" customFormat="1" ht="16.5" customHeight="1">
      <c r="A197" s="2132">
        <v>185</v>
      </c>
      <c r="B197" s="2132">
        <v>185</v>
      </c>
      <c r="C197" s="3343"/>
      <c r="D197" s="3344" t="s">
        <v>1590</v>
      </c>
      <c r="E197" s="3344" t="s">
        <v>40</v>
      </c>
      <c r="F197" s="3345">
        <v>15000</v>
      </c>
      <c r="G197" s="3345">
        <v>871449.03125097463</v>
      </c>
      <c r="H197" s="3345">
        <v>190417.25</v>
      </c>
      <c r="I197" s="3345">
        <v>0</v>
      </c>
      <c r="J197" s="3345">
        <v>0</v>
      </c>
      <c r="K197" s="3345">
        <f t="shared" si="6"/>
        <v>1076866.2812509746</v>
      </c>
      <c r="L197" s="3345">
        <v>0</v>
      </c>
      <c r="M197" s="3345">
        <f t="shared" si="7"/>
        <v>1076866.2812509746</v>
      </c>
      <c r="N197" s="3345"/>
      <c r="O197" s="3346"/>
      <c r="P197" s="2206"/>
    </row>
    <row r="198" spans="1:16" s="2207" customFormat="1" ht="16.5" customHeight="1">
      <c r="A198" s="2132">
        <v>186</v>
      </c>
      <c r="B198" s="2132">
        <v>186</v>
      </c>
      <c r="C198" s="3343"/>
      <c r="D198" s="3344" t="s">
        <v>1591</v>
      </c>
      <c r="E198" s="3344" t="s">
        <v>40</v>
      </c>
      <c r="F198" s="3345">
        <v>15000</v>
      </c>
      <c r="G198" s="3345">
        <v>871449.03125097463</v>
      </c>
      <c r="H198" s="3345">
        <v>190417.25</v>
      </c>
      <c r="I198" s="3345">
        <v>0</v>
      </c>
      <c r="J198" s="3345">
        <v>0</v>
      </c>
      <c r="K198" s="3345">
        <f t="shared" si="6"/>
        <v>1076866.2812509746</v>
      </c>
      <c r="L198" s="3345">
        <v>0</v>
      </c>
      <c r="M198" s="3345">
        <f t="shared" si="7"/>
        <v>1076866.2812509746</v>
      </c>
      <c r="N198" s="3345"/>
      <c r="O198" s="3346"/>
      <c r="P198" s="2206"/>
    </row>
    <row r="199" spans="1:16" s="2207" customFormat="1" ht="16.5" customHeight="1">
      <c r="A199" s="2132">
        <v>187</v>
      </c>
      <c r="B199" s="2132">
        <v>187</v>
      </c>
      <c r="C199" s="3343"/>
      <c r="D199" s="3344" t="s">
        <v>1643</v>
      </c>
      <c r="E199" s="3344" t="s">
        <v>40</v>
      </c>
      <c r="F199" s="3345">
        <v>15000</v>
      </c>
      <c r="G199" s="3345">
        <v>871449.03125097463</v>
      </c>
      <c r="H199" s="3345">
        <v>190417.25</v>
      </c>
      <c r="I199" s="3345">
        <v>0</v>
      </c>
      <c r="J199" s="3345">
        <v>0</v>
      </c>
      <c r="K199" s="3345">
        <f t="shared" si="6"/>
        <v>1076866.2812509746</v>
      </c>
      <c r="L199" s="3345">
        <v>0</v>
      </c>
      <c r="M199" s="3345">
        <f t="shared" si="7"/>
        <v>1076866.2812509746</v>
      </c>
      <c r="N199" s="3345"/>
      <c r="O199" s="3346"/>
      <c r="P199" s="2206"/>
    </row>
    <row r="200" spans="1:16" s="2207" customFormat="1" ht="16.5" customHeight="1">
      <c r="A200" s="2132">
        <v>188</v>
      </c>
      <c r="B200" s="2132">
        <v>188</v>
      </c>
      <c r="C200" s="3343"/>
      <c r="D200" s="3344" t="s">
        <v>1644</v>
      </c>
      <c r="E200" s="3344" t="s">
        <v>40</v>
      </c>
      <c r="F200" s="3345">
        <v>15000</v>
      </c>
      <c r="G200" s="3345">
        <v>871449.03125097463</v>
      </c>
      <c r="H200" s="3345">
        <v>190417.25</v>
      </c>
      <c r="I200" s="3345">
        <v>0</v>
      </c>
      <c r="J200" s="3345">
        <v>0</v>
      </c>
      <c r="K200" s="3345">
        <f t="shared" si="6"/>
        <v>1076866.2812509746</v>
      </c>
      <c r="L200" s="3345">
        <v>0</v>
      </c>
      <c r="M200" s="3345">
        <f t="shared" si="7"/>
        <v>1076866.2812509746</v>
      </c>
      <c r="N200" s="3345"/>
      <c r="O200" s="3346"/>
      <c r="P200" s="2206"/>
    </row>
    <row r="201" spans="1:16" s="2207" customFormat="1" ht="16.5" customHeight="1">
      <c r="A201" s="2132">
        <v>189</v>
      </c>
      <c r="B201" s="2132">
        <v>189</v>
      </c>
      <c r="C201" s="3343">
        <v>0</v>
      </c>
      <c r="D201" s="3344" t="s">
        <v>1645</v>
      </c>
      <c r="E201" s="3344" t="s">
        <v>40</v>
      </c>
      <c r="F201" s="3345">
        <v>15000</v>
      </c>
      <c r="G201" s="3345">
        <v>876129.86444078595</v>
      </c>
      <c r="H201" s="3345">
        <v>190417.25</v>
      </c>
      <c r="I201" s="3345">
        <v>0</v>
      </c>
      <c r="J201" s="3345">
        <v>0</v>
      </c>
      <c r="K201" s="3345">
        <f t="shared" si="6"/>
        <v>1081547.114440786</v>
      </c>
      <c r="L201" s="3345">
        <v>0</v>
      </c>
      <c r="M201" s="3345">
        <f t="shared" si="7"/>
        <v>1081547.114440786</v>
      </c>
      <c r="N201" s="3345"/>
      <c r="O201" s="3346"/>
      <c r="P201" s="2206"/>
    </row>
    <row r="202" spans="1:16" s="2207" customFormat="1" ht="16.5" customHeight="1">
      <c r="A202" s="2132">
        <v>190</v>
      </c>
      <c r="B202" s="2132">
        <v>190</v>
      </c>
      <c r="C202" s="3343"/>
      <c r="D202" s="3344" t="s">
        <v>1646</v>
      </c>
      <c r="E202" s="3344" t="s">
        <v>40</v>
      </c>
      <c r="F202" s="3345">
        <v>15000</v>
      </c>
      <c r="G202" s="3345">
        <v>876129.86444078595</v>
      </c>
      <c r="H202" s="3345">
        <v>190417.25</v>
      </c>
      <c r="I202" s="3345">
        <v>0</v>
      </c>
      <c r="J202" s="3345">
        <v>0</v>
      </c>
      <c r="K202" s="3345">
        <f t="shared" si="6"/>
        <v>1081547.114440786</v>
      </c>
      <c r="L202" s="3345">
        <v>0</v>
      </c>
      <c r="M202" s="3345">
        <f t="shared" si="7"/>
        <v>1081547.114440786</v>
      </c>
      <c r="N202" s="3345"/>
      <c r="O202" s="3346"/>
      <c r="P202" s="2206"/>
    </row>
    <row r="203" spans="1:16" s="2207" customFormat="1" ht="16.5" customHeight="1">
      <c r="A203" s="2132">
        <v>191</v>
      </c>
      <c r="B203" s="2132">
        <v>191</v>
      </c>
      <c r="C203" s="3343"/>
      <c r="D203" s="3344" t="s">
        <v>1647</v>
      </c>
      <c r="E203" s="3344" t="s">
        <v>40</v>
      </c>
      <c r="F203" s="3345">
        <v>15000</v>
      </c>
      <c r="G203" s="3345">
        <v>876129.86444078595</v>
      </c>
      <c r="H203" s="3345">
        <v>190417.25</v>
      </c>
      <c r="I203" s="3345">
        <v>0</v>
      </c>
      <c r="J203" s="3345">
        <v>0</v>
      </c>
      <c r="K203" s="3345">
        <f t="shared" si="6"/>
        <v>1081547.114440786</v>
      </c>
      <c r="L203" s="3345">
        <v>0</v>
      </c>
      <c r="M203" s="3345">
        <f t="shared" si="7"/>
        <v>1081547.114440786</v>
      </c>
      <c r="N203" s="3345"/>
      <c r="O203" s="3346"/>
      <c r="P203" s="2206"/>
    </row>
    <row r="204" spans="1:16" s="2207" customFormat="1" ht="16.5" customHeight="1">
      <c r="A204" s="2132">
        <v>192</v>
      </c>
      <c r="B204" s="2132">
        <v>192</v>
      </c>
      <c r="C204" s="3343"/>
      <c r="D204" s="3344" t="s">
        <v>1648</v>
      </c>
      <c r="E204" s="3344" t="s">
        <v>40</v>
      </c>
      <c r="F204" s="3345">
        <v>15000</v>
      </c>
      <c r="G204" s="3345">
        <v>876129.86444078595</v>
      </c>
      <c r="H204" s="3345">
        <v>190417.25</v>
      </c>
      <c r="I204" s="3345">
        <v>0</v>
      </c>
      <c r="J204" s="3345">
        <v>0</v>
      </c>
      <c r="K204" s="3345">
        <f t="shared" si="6"/>
        <v>1081547.114440786</v>
      </c>
      <c r="L204" s="3345">
        <v>0</v>
      </c>
      <c r="M204" s="3345">
        <f t="shared" si="7"/>
        <v>1081547.114440786</v>
      </c>
      <c r="N204" s="3345"/>
      <c r="O204" s="3346"/>
      <c r="P204" s="2206"/>
    </row>
    <row r="205" spans="1:16" s="2207" customFormat="1" ht="16.5" customHeight="1">
      <c r="A205" s="2132">
        <v>193</v>
      </c>
      <c r="B205" s="2132">
        <v>193</v>
      </c>
      <c r="C205" s="3343"/>
      <c r="D205" s="3344" t="s">
        <v>1649</v>
      </c>
      <c r="E205" s="3344" t="s">
        <v>40</v>
      </c>
      <c r="F205" s="3345">
        <v>15000</v>
      </c>
      <c r="G205" s="3345">
        <v>876129.86444078595</v>
      </c>
      <c r="H205" s="3345">
        <v>190417.25</v>
      </c>
      <c r="I205" s="3345">
        <v>0</v>
      </c>
      <c r="J205" s="3345">
        <v>0</v>
      </c>
      <c r="K205" s="3345">
        <f t="shared" si="6"/>
        <v>1081547.114440786</v>
      </c>
      <c r="L205" s="3345">
        <v>0</v>
      </c>
      <c r="M205" s="3345">
        <f t="shared" si="7"/>
        <v>1081547.114440786</v>
      </c>
      <c r="N205" s="3345"/>
      <c r="O205" s="3346"/>
      <c r="P205" s="2206"/>
    </row>
    <row r="206" spans="1:16" s="2207" customFormat="1" ht="16.5" customHeight="1">
      <c r="A206" s="2132">
        <v>194</v>
      </c>
      <c r="B206" s="2132">
        <v>194</v>
      </c>
      <c r="C206" s="3343"/>
      <c r="D206" s="3344" t="s">
        <v>1650</v>
      </c>
      <c r="E206" s="3344" t="s">
        <v>40</v>
      </c>
      <c r="F206" s="3345">
        <v>15000</v>
      </c>
      <c r="G206" s="3345">
        <v>876129.86444078595</v>
      </c>
      <c r="H206" s="3345">
        <v>190417.25</v>
      </c>
      <c r="I206" s="3345">
        <v>0</v>
      </c>
      <c r="J206" s="3345">
        <v>0</v>
      </c>
      <c r="K206" s="3345">
        <f t="shared" ref="K206:K261" si="8">F206+G206+H206</f>
        <v>1081547.114440786</v>
      </c>
      <c r="L206" s="3345">
        <v>0</v>
      </c>
      <c r="M206" s="3345">
        <f t="shared" ref="M206:M261" si="9">K206</f>
        <v>1081547.114440786</v>
      </c>
      <c r="N206" s="3345"/>
      <c r="O206" s="3346"/>
      <c r="P206" s="2206"/>
    </row>
    <row r="207" spans="1:16" s="2207" customFormat="1" ht="16.5" customHeight="1">
      <c r="A207" s="2132">
        <v>195</v>
      </c>
      <c r="B207" s="2132">
        <v>195</v>
      </c>
      <c r="C207" s="3343"/>
      <c r="D207" s="3344" t="s">
        <v>1651</v>
      </c>
      <c r="E207" s="3344" t="s">
        <v>40</v>
      </c>
      <c r="F207" s="3345">
        <v>15000</v>
      </c>
      <c r="G207" s="3345">
        <v>876129.86444078595</v>
      </c>
      <c r="H207" s="3345">
        <v>190417.25</v>
      </c>
      <c r="I207" s="3345">
        <v>0</v>
      </c>
      <c r="J207" s="3345">
        <v>0</v>
      </c>
      <c r="K207" s="3345">
        <f t="shared" si="8"/>
        <v>1081547.114440786</v>
      </c>
      <c r="L207" s="3345">
        <v>0</v>
      </c>
      <c r="M207" s="3345">
        <f t="shared" si="9"/>
        <v>1081547.114440786</v>
      </c>
      <c r="N207" s="3345"/>
      <c r="O207" s="3346"/>
      <c r="P207" s="2206"/>
    </row>
    <row r="208" spans="1:16" s="2207" customFormat="1" ht="16.5" customHeight="1">
      <c r="A208" s="2132">
        <v>196</v>
      </c>
      <c r="B208" s="2132">
        <v>196</v>
      </c>
      <c r="C208" s="3343"/>
      <c r="D208" s="3344" t="s">
        <v>1652</v>
      </c>
      <c r="E208" s="3344" t="s">
        <v>40</v>
      </c>
      <c r="F208" s="3345">
        <v>15000</v>
      </c>
      <c r="G208" s="3345">
        <v>876129.86444078595</v>
      </c>
      <c r="H208" s="3345">
        <v>190417.25</v>
      </c>
      <c r="I208" s="3345">
        <v>0</v>
      </c>
      <c r="J208" s="3345">
        <v>0</v>
      </c>
      <c r="K208" s="3345">
        <f t="shared" si="8"/>
        <v>1081547.114440786</v>
      </c>
      <c r="L208" s="3345">
        <v>0</v>
      </c>
      <c r="M208" s="3345">
        <f t="shared" si="9"/>
        <v>1081547.114440786</v>
      </c>
      <c r="N208" s="3345"/>
      <c r="O208" s="3346"/>
      <c r="P208" s="2206"/>
    </row>
    <row r="209" spans="1:16" s="2207" customFormat="1" ht="16.5" customHeight="1">
      <c r="A209" s="2132">
        <v>197</v>
      </c>
      <c r="B209" s="2132">
        <v>197</v>
      </c>
      <c r="C209" s="3343">
        <v>0</v>
      </c>
      <c r="D209" s="3344" t="s">
        <v>1653</v>
      </c>
      <c r="E209" s="3344" t="s">
        <v>40</v>
      </c>
      <c r="F209" s="3345">
        <v>22857.142857142859</v>
      </c>
      <c r="G209" s="3345">
        <v>871042.00227794738</v>
      </c>
      <c r="H209" s="3345">
        <v>227727.42857142858</v>
      </c>
      <c r="I209" s="3345">
        <v>0</v>
      </c>
      <c r="J209" s="3345">
        <v>0</v>
      </c>
      <c r="K209" s="3345">
        <f t="shared" si="8"/>
        <v>1121626.5737065189</v>
      </c>
      <c r="L209" s="3345">
        <v>0</v>
      </c>
      <c r="M209" s="3345">
        <f t="shared" si="9"/>
        <v>1121626.5737065189</v>
      </c>
      <c r="N209" s="3345"/>
      <c r="O209" s="3346"/>
      <c r="P209" s="2206"/>
    </row>
    <row r="210" spans="1:16" s="2207" customFormat="1" ht="16.5" customHeight="1">
      <c r="A210" s="2132">
        <v>198</v>
      </c>
      <c r="B210" s="2132">
        <v>198</v>
      </c>
      <c r="C210" s="3343"/>
      <c r="D210" s="3344" t="s">
        <v>1654</v>
      </c>
      <c r="E210" s="3344" t="s">
        <v>40</v>
      </c>
      <c r="F210" s="3345">
        <v>22857.142857142859</v>
      </c>
      <c r="G210" s="3345">
        <v>871042.00227794738</v>
      </c>
      <c r="H210" s="3345">
        <v>227727.42857142858</v>
      </c>
      <c r="I210" s="3345">
        <v>0</v>
      </c>
      <c r="J210" s="3345">
        <v>0</v>
      </c>
      <c r="K210" s="3345">
        <f t="shared" si="8"/>
        <v>1121626.5737065189</v>
      </c>
      <c r="L210" s="3345">
        <v>0</v>
      </c>
      <c r="M210" s="3345">
        <f t="shared" si="9"/>
        <v>1121626.5737065189</v>
      </c>
      <c r="N210" s="3345"/>
      <c r="O210" s="3346"/>
      <c r="P210" s="2206"/>
    </row>
    <row r="211" spans="1:16" s="2207" customFormat="1" ht="16.5" customHeight="1">
      <c r="A211" s="2132">
        <v>199</v>
      </c>
      <c r="B211" s="2132">
        <v>199</v>
      </c>
      <c r="C211" s="3343"/>
      <c r="D211" s="3344" t="s">
        <v>1655</v>
      </c>
      <c r="E211" s="3344" t="s">
        <v>40</v>
      </c>
      <c r="F211" s="3345">
        <v>22857.142857142859</v>
      </c>
      <c r="G211" s="3345">
        <v>871042.00227794738</v>
      </c>
      <c r="H211" s="3345">
        <v>227727.42857142858</v>
      </c>
      <c r="I211" s="3345">
        <v>0</v>
      </c>
      <c r="J211" s="3345">
        <v>0</v>
      </c>
      <c r="K211" s="3345">
        <f t="shared" si="8"/>
        <v>1121626.5737065189</v>
      </c>
      <c r="L211" s="3345">
        <v>0</v>
      </c>
      <c r="M211" s="3345">
        <f t="shared" si="9"/>
        <v>1121626.5737065189</v>
      </c>
      <c r="N211" s="3345"/>
      <c r="O211" s="3346"/>
      <c r="P211" s="2206"/>
    </row>
    <row r="212" spans="1:16" s="2207" customFormat="1" ht="16.5" customHeight="1">
      <c r="A212" s="2132">
        <v>200</v>
      </c>
      <c r="B212" s="2132">
        <v>200</v>
      </c>
      <c r="C212" s="3343"/>
      <c r="D212" s="3344" t="s">
        <v>1447</v>
      </c>
      <c r="E212" s="3344" t="s">
        <v>40</v>
      </c>
      <c r="F212" s="3345">
        <v>22857.142857142859</v>
      </c>
      <c r="G212" s="3345">
        <v>871042.00227794738</v>
      </c>
      <c r="H212" s="3345">
        <v>227727.42857142858</v>
      </c>
      <c r="I212" s="3345">
        <v>0</v>
      </c>
      <c r="J212" s="3345">
        <v>0</v>
      </c>
      <c r="K212" s="3345">
        <f t="shared" si="8"/>
        <v>1121626.5737065189</v>
      </c>
      <c r="L212" s="3345">
        <v>0</v>
      </c>
      <c r="M212" s="3345">
        <f t="shared" si="9"/>
        <v>1121626.5737065189</v>
      </c>
      <c r="N212" s="3345"/>
      <c r="O212" s="3346"/>
      <c r="P212" s="2206"/>
    </row>
    <row r="213" spans="1:16" s="2207" customFormat="1" ht="16.5" customHeight="1">
      <c r="A213" s="2132">
        <v>201</v>
      </c>
      <c r="B213" s="2132">
        <v>201</v>
      </c>
      <c r="C213" s="3343"/>
      <c r="D213" s="3344" t="s">
        <v>1448</v>
      </c>
      <c r="E213" s="3344" t="s">
        <v>40</v>
      </c>
      <c r="F213" s="3345">
        <v>22857.142857142859</v>
      </c>
      <c r="G213" s="3345">
        <v>871042.00227794738</v>
      </c>
      <c r="H213" s="3345">
        <v>227727.42857142858</v>
      </c>
      <c r="I213" s="3345">
        <v>0</v>
      </c>
      <c r="J213" s="3345">
        <v>0</v>
      </c>
      <c r="K213" s="3345">
        <f t="shared" si="8"/>
        <v>1121626.5737065189</v>
      </c>
      <c r="L213" s="3345">
        <v>0</v>
      </c>
      <c r="M213" s="3345">
        <f t="shared" si="9"/>
        <v>1121626.5737065189</v>
      </c>
      <c r="N213" s="3345"/>
      <c r="O213" s="3346"/>
      <c r="P213" s="2206"/>
    </row>
    <row r="214" spans="1:16" s="2207" customFormat="1" ht="16.5" customHeight="1">
      <c r="A214" s="2132">
        <v>202</v>
      </c>
      <c r="B214" s="2132">
        <v>202</v>
      </c>
      <c r="C214" s="3343"/>
      <c r="D214" s="3344" t="s">
        <v>1449</v>
      </c>
      <c r="E214" s="3344" t="s">
        <v>40</v>
      </c>
      <c r="F214" s="3345">
        <v>22857.142857142859</v>
      </c>
      <c r="G214" s="3345">
        <v>871042.00227794738</v>
      </c>
      <c r="H214" s="3345">
        <v>227727.42857142858</v>
      </c>
      <c r="I214" s="3345">
        <v>0</v>
      </c>
      <c r="J214" s="3345">
        <v>0</v>
      </c>
      <c r="K214" s="3345">
        <f t="shared" si="8"/>
        <v>1121626.5737065189</v>
      </c>
      <c r="L214" s="3345">
        <v>0</v>
      </c>
      <c r="M214" s="3345">
        <f t="shared" si="9"/>
        <v>1121626.5737065189</v>
      </c>
      <c r="N214" s="3345"/>
      <c r="O214" s="3346"/>
      <c r="P214" s="2206"/>
    </row>
    <row r="215" spans="1:16" s="2207" customFormat="1" ht="16.5" customHeight="1">
      <c r="A215" s="2132">
        <v>203</v>
      </c>
      <c r="B215" s="2132">
        <v>203</v>
      </c>
      <c r="C215" s="3343"/>
      <c r="D215" s="3344" t="s">
        <v>1450</v>
      </c>
      <c r="E215" s="3344" t="s">
        <v>40</v>
      </c>
      <c r="F215" s="3345">
        <v>22857.142857142859</v>
      </c>
      <c r="G215" s="3345">
        <v>871042.00227794738</v>
      </c>
      <c r="H215" s="3345">
        <v>227727.42857142858</v>
      </c>
      <c r="I215" s="3345">
        <v>0</v>
      </c>
      <c r="J215" s="3345">
        <v>0</v>
      </c>
      <c r="K215" s="3345">
        <f t="shared" si="8"/>
        <v>1121626.5737065189</v>
      </c>
      <c r="L215" s="3345">
        <v>0</v>
      </c>
      <c r="M215" s="3345">
        <f t="shared" si="9"/>
        <v>1121626.5737065189</v>
      </c>
      <c r="N215" s="3345"/>
      <c r="O215" s="3346"/>
      <c r="P215" s="2206"/>
    </row>
    <row r="216" spans="1:16" s="2207" customFormat="1" ht="16.5" customHeight="1">
      <c r="A216" s="2132">
        <v>204</v>
      </c>
      <c r="B216" s="2132">
        <v>204</v>
      </c>
      <c r="C216" s="3343">
        <v>0</v>
      </c>
      <c r="D216" s="3344" t="s">
        <v>1451</v>
      </c>
      <c r="E216" s="3344" t="s">
        <v>40</v>
      </c>
      <c r="F216" s="3345">
        <v>22857.142857142859</v>
      </c>
      <c r="G216" s="3345">
        <v>812377.69837239932</v>
      </c>
      <c r="H216" s="3345">
        <v>227727.42857142858</v>
      </c>
      <c r="I216" s="3345">
        <v>0</v>
      </c>
      <c r="J216" s="3345">
        <v>0</v>
      </c>
      <c r="K216" s="3345">
        <f t="shared" si="8"/>
        <v>1062962.2698009708</v>
      </c>
      <c r="L216" s="3345">
        <v>0</v>
      </c>
      <c r="M216" s="3345">
        <f t="shared" si="9"/>
        <v>1062962.2698009708</v>
      </c>
      <c r="N216" s="3345">
        <v>0</v>
      </c>
      <c r="O216" s="3346"/>
      <c r="P216" s="2206"/>
    </row>
    <row r="217" spans="1:16" s="2207" customFormat="1" ht="16.5" customHeight="1">
      <c r="A217" s="2132">
        <v>205</v>
      </c>
      <c r="B217" s="2132">
        <v>205</v>
      </c>
      <c r="C217" s="3343"/>
      <c r="D217" s="3344" t="s">
        <v>1452</v>
      </c>
      <c r="E217" s="3344" t="s">
        <v>40</v>
      </c>
      <c r="F217" s="3345">
        <v>22857.142857142859</v>
      </c>
      <c r="G217" s="3345">
        <v>812377.69837239932</v>
      </c>
      <c r="H217" s="3345">
        <v>227727.42857142858</v>
      </c>
      <c r="I217" s="3345">
        <v>0</v>
      </c>
      <c r="J217" s="3345">
        <v>0</v>
      </c>
      <c r="K217" s="3345">
        <f t="shared" si="8"/>
        <v>1062962.2698009708</v>
      </c>
      <c r="L217" s="3345">
        <v>0</v>
      </c>
      <c r="M217" s="3345">
        <f t="shared" si="9"/>
        <v>1062962.2698009708</v>
      </c>
      <c r="N217" s="3345">
        <v>0</v>
      </c>
      <c r="O217" s="3346"/>
      <c r="P217" s="2206"/>
    </row>
    <row r="218" spans="1:16" s="2207" customFormat="1" ht="16.5" customHeight="1">
      <c r="A218" s="2132">
        <v>206</v>
      </c>
      <c r="B218" s="2132">
        <v>206</v>
      </c>
      <c r="C218" s="3343"/>
      <c r="D218" s="3344" t="s">
        <v>1477</v>
      </c>
      <c r="E218" s="3344" t="s">
        <v>40</v>
      </c>
      <c r="F218" s="3345">
        <v>22857.142857142859</v>
      </c>
      <c r="G218" s="3345">
        <v>812377.69837239932</v>
      </c>
      <c r="H218" s="3345">
        <v>227727.42857142858</v>
      </c>
      <c r="I218" s="3345">
        <v>0</v>
      </c>
      <c r="J218" s="3345">
        <v>0</v>
      </c>
      <c r="K218" s="3345">
        <f t="shared" si="8"/>
        <v>1062962.2698009708</v>
      </c>
      <c r="L218" s="3345">
        <v>0</v>
      </c>
      <c r="M218" s="3345">
        <f t="shared" si="9"/>
        <v>1062962.2698009708</v>
      </c>
      <c r="N218" s="3345">
        <v>0</v>
      </c>
      <c r="O218" s="3346"/>
      <c r="P218" s="2206"/>
    </row>
    <row r="219" spans="1:16" s="2207" customFormat="1" ht="16.5" customHeight="1">
      <c r="A219" s="2132">
        <v>207</v>
      </c>
      <c r="B219" s="2132">
        <v>207</v>
      </c>
      <c r="C219" s="3343"/>
      <c r="D219" s="3344" t="s">
        <v>1478</v>
      </c>
      <c r="E219" s="3344" t="s">
        <v>40</v>
      </c>
      <c r="F219" s="3345">
        <v>22857.142857142859</v>
      </c>
      <c r="G219" s="3345">
        <v>812377.69837239932</v>
      </c>
      <c r="H219" s="3345">
        <v>227727.42857142858</v>
      </c>
      <c r="I219" s="3345">
        <v>0</v>
      </c>
      <c r="J219" s="3345">
        <v>0</v>
      </c>
      <c r="K219" s="3345">
        <f t="shared" si="8"/>
        <v>1062962.2698009708</v>
      </c>
      <c r="L219" s="3345">
        <v>0</v>
      </c>
      <c r="M219" s="3345">
        <f t="shared" si="9"/>
        <v>1062962.2698009708</v>
      </c>
      <c r="N219" s="3345">
        <v>0</v>
      </c>
      <c r="O219" s="3346"/>
      <c r="P219" s="2206"/>
    </row>
    <row r="220" spans="1:16" s="2207" customFormat="1" ht="16.5" customHeight="1">
      <c r="A220" s="2132">
        <v>208</v>
      </c>
      <c r="B220" s="2132">
        <v>208</v>
      </c>
      <c r="C220" s="3343"/>
      <c r="D220" s="3344" t="s">
        <v>1479</v>
      </c>
      <c r="E220" s="3344" t="s">
        <v>40</v>
      </c>
      <c r="F220" s="3345">
        <v>22857.142857142859</v>
      </c>
      <c r="G220" s="3345">
        <v>812377.69837239932</v>
      </c>
      <c r="H220" s="3345">
        <v>227727.42857142858</v>
      </c>
      <c r="I220" s="3345">
        <v>0</v>
      </c>
      <c r="J220" s="3345">
        <v>0</v>
      </c>
      <c r="K220" s="3345">
        <f t="shared" si="8"/>
        <v>1062962.2698009708</v>
      </c>
      <c r="L220" s="3345">
        <v>0</v>
      </c>
      <c r="M220" s="3345">
        <f t="shared" si="9"/>
        <v>1062962.2698009708</v>
      </c>
      <c r="N220" s="3345"/>
      <c r="O220" s="3346"/>
      <c r="P220" s="2206"/>
    </row>
    <row r="221" spans="1:16" s="2207" customFormat="1" ht="16.5" customHeight="1">
      <c r="A221" s="2132">
        <v>209</v>
      </c>
      <c r="B221" s="2132">
        <v>209</v>
      </c>
      <c r="C221" s="3343"/>
      <c r="D221" s="3344" t="s">
        <v>1480</v>
      </c>
      <c r="E221" s="3344" t="s">
        <v>40</v>
      </c>
      <c r="F221" s="3345">
        <v>22857.142857142859</v>
      </c>
      <c r="G221" s="3345">
        <v>812377.69837239932</v>
      </c>
      <c r="H221" s="3345">
        <v>227727.42857142858</v>
      </c>
      <c r="I221" s="3345">
        <v>0</v>
      </c>
      <c r="J221" s="3345">
        <v>0</v>
      </c>
      <c r="K221" s="3345">
        <f t="shared" si="8"/>
        <v>1062962.2698009708</v>
      </c>
      <c r="L221" s="3345">
        <v>0</v>
      </c>
      <c r="M221" s="3345">
        <f t="shared" si="9"/>
        <v>1062962.2698009708</v>
      </c>
      <c r="N221" s="3345"/>
      <c r="O221" s="3346"/>
      <c r="P221" s="2206"/>
    </row>
    <row r="222" spans="1:16" s="2207" customFormat="1" ht="16.5" customHeight="1">
      <c r="A222" s="2132">
        <v>210</v>
      </c>
      <c r="B222" s="2132">
        <v>210</v>
      </c>
      <c r="C222" s="3343"/>
      <c r="D222" s="3344" t="s">
        <v>1481</v>
      </c>
      <c r="E222" s="3344" t="s">
        <v>40</v>
      </c>
      <c r="F222" s="3345">
        <v>22857.142857142859</v>
      </c>
      <c r="G222" s="3345">
        <v>812377.69837239932</v>
      </c>
      <c r="H222" s="3345">
        <v>227727.42857142858</v>
      </c>
      <c r="I222" s="3345">
        <v>0</v>
      </c>
      <c r="J222" s="3345">
        <v>0</v>
      </c>
      <c r="K222" s="3345">
        <f t="shared" si="8"/>
        <v>1062962.2698009708</v>
      </c>
      <c r="L222" s="3345">
        <v>0</v>
      </c>
      <c r="M222" s="3345">
        <f t="shared" si="9"/>
        <v>1062962.2698009708</v>
      </c>
      <c r="N222" s="3345"/>
      <c r="O222" s="3346"/>
      <c r="P222" s="2206"/>
    </row>
    <row r="223" spans="1:16" s="2207" customFormat="1" ht="16.5" customHeight="1">
      <c r="A223" s="2132">
        <v>211</v>
      </c>
      <c r="B223" s="2132">
        <v>211</v>
      </c>
      <c r="C223" s="3343">
        <v>0</v>
      </c>
      <c r="D223" s="3344" t="s">
        <v>1453</v>
      </c>
      <c r="E223" s="3344" t="s">
        <v>40</v>
      </c>
      <c r="F223" s="3345">
        <v>26666.666666666668</v>
      </c>
      <c r="G223" s="3345">
        <v>857380.79996485484</v>
      </c>
      <c r="H223" s="3345">
        <v>265682</v>
      </c>
      <c r="I223" s="3345">
        <v>0</v>
      </c>
      <c r="J223" s="3345">
        <v>0</v>
      </c>
      <c r="K223" s="3345">
        <f t="shared" si="8"/>
        <v>1149729.4666315215</v>
      </c>
      <c r="L223" s="3345">
        <v>0</v>
      </c>
      <c r="M223" s="3345">
        <f t="shared" si="9"/>
        <v>1149729.4666315215</v>
      </c>
      <c r="N223" s="3345">
        <v>0</v>
      </c>
      <c r="O223" s="3346"/>
      <c r="P223" s="2206"/>
    </row>
    <row r="224" spans="1:16" s="2207" customFormat="1" ht="16.5" customHeight="1">
      <c r="A224" s="2132">
        <v>212</v>
      </c>
      <c r="B224" s="2132">
        <v>212</v>
      </c>
      <c r="C224" s="3343"/>
      <c r="D224" s="3344" t="s">
        <v>1454</v>
      </c>
      <c r="E224" s="3344" t="s">
        <v>40</v>
      </c>
      <c r="F224" s="3345">
        <v>26666.666666666668</v>
      </c>
      <c r="G224" s="3345">
        <v>857380.79996485484</v>
      </c>
      <c r="H224" s="3345">
        <v>265682</v>
      </c>
      <c r="I224" s="3345">
        <v>0</v>
      </c>
      <c r="J224" s="3345">
        <v>0</v>
      </c>
      <c r="K224" s="3345">
        <f t="shared" si="8"/>
        <v>1149729.4666315215</v>
      </c>
      <c r="L224" s="3345">
        <v>0</v>
      </c>
      <c r="M224" s="3345">
        <f t="shared" si="9"/>
        <v>1149729.4666315215</v>
      </c>
      <c r="N224" s="3345">
        <v>0</v>
      </c>
      <c r="O224" s="3346"/>
      <c r="P224" s="2206"/>
    </row>
    <row r="225" spans="1:16" s="2207" customFormat="1" ht="16.5" customHeight="1">
      <c r="A225" s="2132">
        <v>213</v>
      </c>
      <c r="B225" s="2132">
        <v>213</v>
      </c>
      <c r="C225" s="3343"/>
      <c r="D225" s="3344" t="s">
        <v>1462</v>
      </c>
      <c r="E225" s="3344" t="s">
        <v>40</v>
      </c>
      <c r="F225" s="3345">
        <v>26666.666666666668</v>
      </c>
      <c r="G225" s="3345">
        <v>857380.79996485484</v>
      </c>
      <c r="H225" s="3345">
        <v>265682</v>
      </c>
      <c r="I225" s="3345">
        <v>0</v>
      </c>
      <c r="J225" s="3345">
        <v>0</v>
      </c>
      <c r="K225" s="3345">
        <f t="shared" si="8"/>
        <v>1149729.4666315215</v>
      </c>
      <c r="L225" s="3345">
        <v>0</v>
      </c>
      <c r="M225" s="3345">
        <f t="shared" si="9"/>
        <v>1149729.4666315215</v>
      </c>
      <c r="N225" s="3345"/>
      <c r="O225" s="3346"/>
      <c r="P225" s="2206"/>
    </row>
    <row r="226" spans="1:16" s="2207" customFormat="1" ht="16.5" customHeight="1">
      <c r="A226" s="2132">
        <v>214</v>
      </c>
      <c r="B226" s="2132">
        <v>214</v>
      </c>
      <c r="C226" s="3343"/>
      <c r="D226" s="3344" t="s">
        <v>1463</v>
      </c>
      <c r="E226" s="3344" t="s">
        <v>40</v>
      </c>
      <c r="F226" s="3345">
        <v>26666.666666666668</v>
      </c>
      <c r="G226" s="3345">
        <v>857380.79996485484</v>
      </c>
      <c r="H226" s="3345">
        <v>265682</v>
      </c>
      <c r="I226" s="3345">
        <v>0</v>
      </c>
      <c r="J226" s="3345">
        <v>0</v>
      </c>
      <c r="K226" s="3345">
        <f t="shared" si="8"/>
        <v>1149729.4666315215</v>
      </c>
      <c r="L226" s="3345">
        <v>0</v>
      </c>
      <c r="M226" s="3345">
        <f t="shared" si="9"/>
        <v>1149729.4666315215</v>
      </c>
      <c r="N226" s="3345"/>
      <c r="O226" s="3346"/>
      <c r="P226" s="2206"/>
    </row>
    <row r="227" spans="1:16" s="2207" customFormat="1" ht="16.5" customHeight="1">
      <c r="A227" s="2132">
        <v>215</v>
      </c>
      <c r="B227" s="2132">
        <v>215</v>
      </c>
      <c r="C227" s="3343"/>
      <c r="D227" s="3344" t="s">
        <v>1464</v>
      </c>
      <c r="E227" s="3344" t="s">
        <v>40</v>
      </c>
      <c r="F227" s="3345">
        <v>26666.666666666668</v>
      </c>
      <c r="G227" s="3345">
        <v>857380.79996485484</v>
      </c>
      <c r="H227" s="3345">
        <v>265682</v>
      </c>
      <c r="I227" s="3345">
        <v>0</v>
      </c>
      <c r="J227" s="3345">
        <v>0</v>
      </c>
      <c r="K227" s="3345">
        <f t="shared" si="8"/>
        <v>1149729.4666315215</v>
      </c>
      <c r="L227" s="3345">
        <v>0</v>
      </c>
      <c r="M227" s="3345">
        <f t="shared" si="9"/>
        <v>1149729.4666315215</v>
      </c>
      <c r="N227" s="3345"/>
      <c r="O227" s="3346"/>
      <c r="P227" s="2206"/>
    </row>
    <row r="228" spans="1:16" s="2207" customFormat="1" ht="16.5" customHeight="1">
      <c r="A228" s="2132">
        <v>216</v>
      </c>
      <c r="B228" s="2132">
        <v>216</v>
      </c>
      <c r="C228" s="3343"/>
      <c r="D228" s="3344" t="s">
        <v>1465</v>
      </c>
      <c r="E228" s="3344" t="s">
        <v>40</v>
      </c>
      <c r="F228" s="3345">
        <v>26666.666666666668</v>
      </c>
      <c r="G228" s="3345">
        <v>857380.79996485484</v>
      </c>
      <c r="H228" s="3345">
        <v>265682</v>
      </c>
      <c r="I228" s="3345">
        <v>0</v>
      </c>
      <c r="J228" s="3345">
        <v>0</v>
      </c>
      <c r="K228" s="3345">
        <f t="shared" si="8"/>
        <v>1149729.4666315215</v>
      </c>
      <c r="L228" s="3345">
        <v>0</v>
      </c>
      <c r="M228" s="3345">
        <f t="shared" si="9"/>
        <v>1149729.4666315215</v>
      </c>
      <c r="N228" s="3345"/>
      <c r="O228" s="3346"/>
      <c r="P228" s="2206"/>
    </row>
    <row r="229" spans="1:16" s="2207" customFormat="1" ht="16.5" customHeight="1">
      <c r="A229" s="2132">
        <v>217</v>
      </c>
      <c r="B229" s="2132">
        <v>217</v>
      </c>
      <c r="C229" s="3343">
        <v>0</v>
      </c>
      <c r="D229" s="3344" t="s">
        <v>744</v>
      </c>
      <c r="E229" s="3344" t="s">
        <v>40</v>
      </c>
      <c r="F229" s="3345">
        <v>20000</v>
      </c>
      <c r="G229" s="3345">
        <v>909845.43103986233</v>
      </c>
      <c r="H229" s="3345">
        <v>248873.33333333334</v>
      </c>
      <c r="I229" s="3345">
        <v>0</v>
      </c>
      <c r="J229" s="3345">
        <v>0</v>
      </c>
      <c r="K229" s="3345">
        <f t="shared" si="8"/>
        <v>1178718.7643731956</v>
      </c>
      <c r="L229" s="3345">
        <v>0</v>
      </c>
      <c r="M229" s="3345">
        <f t="shared" si="9"/>
        <v>1178718.7643731956</v>
      </c>
      <c r="N229" s="3345"/>
      <c r="O229" s="3346"/>
      <c r="P229" s="2206"/>
    </row>
    <row r="230" spans="1:16" s="2207" customFormat="1" ht="16.5" customHeight="1">
      <c r="A230" s="2132">
        <v>218</v>
      </c>
      <c r="B230" s="2132">
        <v>218</v>
      </c>
      <c r="C230" s="3343"/>
      <c r="D230" s="3344" t="s">
        <v>1466</v>
      </c>
      <c r="E230" s="3344" t="s">
        <v>40</v>
      </c>
      <c r="F230" s="3345">
        <v>20000</v>
      </c>
      <c r="G230" s="3345">
        <v>909845.43103986233</v>
      </c>
      <c r="H230" s="3345">
        <v>248873.33333333334</v>
      </c>
      <c r="I230" s="3345">
        <v>0</v>
      </c>
      <c r="J230" s="3345">
        <v>0</v>
      </c>
      <c r="K230" s="3345">
        <f t="shared" si="8"/>
        <v>1178718.7643731956</v>
      </c>
      <c r="L230" s="3345">
        <v>0</v>
      </c>
      <c r="M230" s="3345">
        <f t="shared" si="9"/>
        <v>1178718.7643731956</v>
      </c>
      <c r="N230" s="3345"/>
      <c r="O230" s="3346"/>
      <c r="P230" s="2206"/>
    </row>
    <row r="231" spans="1:16" s="2207" customFormat="1" ht="16.5" customHeight="1">
      <c r="A231" s="2132">
        <v>219</v>
      </c>
      <c r="B231" s="2132">
        <v>219</v>
      </c>
      <c r="C231" s="3343"/>
      <c r="D231" s="3344" t="s">
        <v>1467</v>
      </c>
      <c r="E231" s="3344" t="s">
        <v>40</v>
      </c>
      <c r="F231" s="3345">
        <v>20000</v>
      </c>
      <c r="G231" s="3345">
        <v>909845.43103986233</v>
      </c>
      <c r="H231" s="3345">
        <v>248873.33333333334</v>
      </c>
      <c r="I231" s="3345">
        <v>0</v>
      </c>
      <c r="J231" s="3345">
        <v>0</v>
      </c>
      <c r="K231" s="3345">
        <f t="shared" si="8"/>
        <v>1178718.7643731956</v>
      </c>
      <c r="L231" s="3345">
        <v>0</v>
      </c>
      <c r="M231" s="3345">
        <f t="shared" si="9"/>
        <v>1178718.7643731956</v>
      </c>
      <c r="N231" s="3345"/>
      <c r="O231" s="3346"/>
      <c r="P231" s="2206"/>
    </row>
    <row r="232" spans="1:16" s="2207" customFormat="1" ht="16.5" customHeight="1">
      <c r="A232" s="2132">
        <v>220</v>
      </c>
      <c r="B232" s="2132">
        <v>220</v>
      </c>
      <c r="C232" s="3343"/>
      <c r="D232" s="3344" t="s">
        <v>1468</v>
      </c>
      <c r="E232" s="3344" t="s">
        <v>40</v>
      </c>
      <c r="F232" s="3345">
        <v>20000</v>
      </c>
      <c r="G232" s="3345">
        <v>909845.43103986233</v>
      </c>
      <c r="H232" s="3345">
        <v>248873.33333333334</v>
      </c>
      <c r="I232" s="3345">
        <v>0</v>
      </c>
      <c r="J232" s="3345">
        <v>0</v>
      </c>
      <c r="K232" s="3345">
        <f t="shared" si="8"/>
        <v>1178718.7643731956</v>
      </c>
      <c r="L232" s="3345">
        <v>0</v>
      </c>
      <c r="M232" s="3345">
        <f t="shared" si="9"/>
        <v>1178718.7643731956</v>
      </c>
      <c r="N232" s="3345"/>
      <c r="O232" s="3346"/>
      <c r="P232" s="2206"/>
    </row>
    <row r="233" spans="1:16" s="2207" customFormat="1" ht="16.5" customHeight="1">
      <c r="A233" s="2132">
        <v>221</v>
      </c>
      <c r="B233" s="2132">
        <v>221</v>
      </c>
      <c r="C233" s="3343"/>
      <c r="D233" s="3344" t="s">
        <v>1469</v>
      </c>
      <c r="E233" s="3344" t="s">
        <v>40</v>
      </c>
      <c r="F233" s="3345">
        <v>20000</v>
      </c>
      <c r="G233" s="3345">
        <v>909845.43103986233</v>
      </c>
      <c r="H233" s="3345">
        <v>248873.33333333334</v>
      </c>
      <c r="I233" s="3345">
        <v>0</v>
      </c>
      <c r="J233" s="3345">
        <v>0</v>
      </c>
      <c r="K233" s="3345">
        <f t="shared" si="8"/>
        <v>1178718.7643731956</v>
      </c>
      <c r="L233" s="3345">
        <v>0</v>
      </c>
      <c r="M233" s="3345">
        <f t="shared" si="9"/>
        <v>1178718.7643731956</v>
      </c>
      <c r="N233" s="3345"/>
      <c r="O233" s="3346"/>
      <c r="P233" s="2206"/>
    </row>
    <row r="234" spans="1:16" s="2207" customFormat="1" ht="16.5" customHeight="1">
      <c r="A234" s="2132">
        <v>222</v>
      </c>
      <c r="B234" s="2132">
        <v>222</v>
      </c>
      <c r="C234" s="3343"/>
      <c r="D234" s="3344" t="s">
        <v>1417</v>
      </c>
      <c r="E234" s="3344" t="s">
        <v>40</v>
      </c>
      <c r="F234" s="3345">
        <v>20000</v>
      </c>
      <c r="G234" s="3345">
        <v>909845.43103986233</v>
      </c>
      <c r="H234" s="3345">
        <v>248873.33333333334</v>
      </c>
      <c r="I234" s="3345">
        <v>0</v>
      </c>
      <c r="J234" s="3345">
        <v>0</v>
      </c>
      <c r="K234" s="3345">
        <f t="shared" si="8"/>
        <v>1178718.7643731956</v>
      </c>
      <c r="L234" s="3345">
        <v>0</v>
      </c>
      <c r="M234" s="3345">
        <f t="shared" si="9"/>
        <v>1178718.7643731956</v>
      </c>
      <c r="N234" s="3345"/>
      <c r="O234" s="3346"/>
      <c r="P234" s="2206"/>
    </row>
    <row r="235" spans="1:16" s="2207" customFormat="1" ht="16.5" customHeight="1">
      <c r="A235" s="2132">
        <v>223</v>
      </c>
      <c r="B235" s="2132">
        <v>223</v>
      </c>
      <c r="C235" s="3343">
        <v>0</v>
      </c>
      <c r="D235" s="3344" t="s">
        <v>1418</v>
      </c>
      <c r="E235" s="3344" t="s">
        <v>40</v>
      </c>
      <c r="F235" s="3345">
        <v>26666.666666666668</v>
      </c>
      <c r="G235" s="3345">
        <v>840107.80032788962</v>
      </c>
      <c r="H235" s="3345">
        <v>257277.66666666701</v>
      </c>
      <c r="I235" s="3345">
        <v>0</v>
      </c>
      <c r="J235" s="3345">
        <v>0</v>
      </c>
      <c r="K235" s="3345">
        <f t="shared" si="8"/>
        <v>1124052.1336612233</v>
      </c>
      <c r="L235" s="3345">
        <v>0</v>
      </c>
      <c r="M235" s="3345">
        <f t="shared" si="9"/>
        <v>1124052.1336612233</v>
      </c>
      <c r="N235" s="3345"/>
      <c r="O235" s="3346"/>
      <c r="P235" s="2206"/>
    </row>
    <row r="236" spans="1:16" s="2207" customFormat="1" ht="16.5" customHeight="1">
      <c r="A236" s="2132">
        <v>224</v>
      </c>
      <c r="B236" s="2132">
        <v>224</v>
      </c>
      <c r="C236" s="3343"/>
      <c r="D236" s="3344" t="s">
        <v>1419</v>
      </c>
      <c r="E236" s="3344" t="s">
        <v>40</v>
      </c>
      <c r="F236" s="3345">
        <v>26666.666666666668</v>
      </c>
      <c r="G236" s="3345">
        <v>840107.80032788962</v>
      </c>
      <c r="H236" s="3345">
        <v>257277.66666666666</v>
      </c>
      <c r="I236" s="3345">
        <v>0</v>
      </c>
      <c r="J236" s="3345">
        <v>0</v>
      </c>
      <c r="K236" s="3345">
        <f t="shared" si="8"/>
        <v>1124052.1336612229</v>
      </c>
      <c r="L236" s="3345">
        <v>0</v>
      </c>
      <c r="M236" s="3345">
        <f t="shared" si="9"/>
        <v>1124052.1336612229</v>
      </c>
      <c r="N236" s="3345"/>
      <c r="O236" s="3346"/>
      <c r="P236" s="2206"/>
    </row>
    <row r="237" spans="1:16" s="2207" customFormat="1" ht="16.5" customHeight="1">
      <c r="A237" s="2132">
        <v>225</v>
      </c>
      <c r="B237" s="2132">
        <v>225</v>
      </c>
      <c r="C237" s="3343"/>
      <c r="D237" s="3344" t="s">
        <v>1420</v>
      </c>
      <c r="E237" s="3344" t="s">
        <v>40</v>
      </c>
      <c r="F237" s="3345">
        <v>26666.666666666668</v>
      </c>
      <c r="G237" s="3345">
        <v>840107.80032788962</v>
      </c>
      <c r="H237" s="3345">
        <v>257277.66666666666</v>
      </c>
      <c r="I237" s="3345">
        <v>0</v>
      </c>
      <c r="J237" s="3345">
        <v>0</v>
      </c>
      <c r="K237" s="3345">
        <f t="shared" si="8"/>
        <v>1124052.1336612229</v>
      </c>
      <c r="L237" s="3345">
        <v>0</v>
      </c>
      <c r="M237" s="3345">
        <f t="shared" si="9"/>
        <v>1124052.1336612229</v>
      </c>
      <c r="N237" s="3345"/>
      <c r="O237" s="3346"/>
      <c r="P237" s="2206"/>
    </row>
    <row r="238" spans="1:16" s="2207" customFormat="1" ht="16.5" customHeight="1">
      <c r="A238" s="2132">
        <v>226</v>
      </c>
      <c r="B238" s="2132">
        <v>226</v>
      </c>
      <c r="C238" s="3343"/>
      <c r="D238" s="3344" t="s">
        <v>1421</v>
      </c>
      <c r="E238" s="3344" t="s">
        <v>40</v>
      </c>
      <c r="F238" s="3345">
        <v>26666.666666666668</v>
      </c>
      <c r="G238" s="3345">
        <v>840107.80032788962</v>
      </c>
      <c r="H238" s="3345">
        <v>257277.66666666666</v>
      </c>
      <c r="I238" s="3345">
        <v>0</v>
      </c>
      <c r="J238" s="3345">
        <v>0</v>
      </c>
      <c r="K238" s="3345">
        <f t="shared" si="8"/>
        <v>1124052.1336612229</v>
      </c>
      <c r="L238" s="3345">
        <v>0</v>
      </c>
      <c r="M238" s="3345">
        <f t="shared" si="9"/>
        <v>1124052.1336612229</v>
      </c>
      <c r="N238" s="3345"/>
      <c r="O238" s="3346"/>
      <c r="P238" s="2206"/>
    </row>
    <row r="239" spans="1:16" s="2207" customFormat="1" ht="16.5" customHeight="1">
      <c r="A239" s="2132">
        <v>227</v>
      </c>
      <c r="B239" s="2132">
        <v>227</v>
      </c>
      <c r="C239" s="3343"/>
      <c r="D239" s="3344" t="s">
        <v>1422</v>
      </c>
      <c r="E239" s="3344" t="s">
        <v>40</v>
      </c>
      <c r="F239" s="3345">
        <v>26666.666666666668</v>
      </c>
      <c r="G239" s="3345">
        <v>840107.80032788962</v>
      </c>
      <c r="H239" s="3345">
        <v>257277.66666666666</v>
      </c>
      <c r="I239" s="3345">
        <v>0</v>
      </c>
      <c r="J239" s="3345">
        <v>0</v>
      </c>
      <c r="K239" s="3345">
        <f t="shared" si="8"/>
        <v>1124052.1336612229</v>
      </c>
      <c r="L239" s="3345">
        <v>0</v>
      </c>
      <c r="M239" s="3345">
        <f t="shared" si="9"/>
        <v>1124052.1336612229</v>
      </c>
      <c r="N239" s="3345"/>
      <c r="O239" s="3346"/>
      <c r="P239" s="2206"/>
    </row>
    <row r="240" spans="1:16" s="2207" customFormat="1" ht="16.5" customHeight="1">
      <c r="A240" s="2132">
        <v>228</v>
      </c>
      <c r="B240" s="2132">
        <v>228</v>
      </c>
      <c r="C240" s="3343"/>
      <c r="D240" s="3344" t="s">
        <v>1423</v>
      </c>
      <c r="E240" s="3344" t="s">
        <v>40</v>
      </c>
      <c r="F240" s="3345">
        <v>26666.666666666668</v>
      </c>
      <c r="G240" s="3345">
        <v>840107.80032788962</v>
      </c>
      <c r="H240" s="3345">
        <v>257277.66666666666</v>
      </c>
      <c r="I240" s="3345">
        <v>0</v>
      </c>
      <c r="J240" s="3345">
        <v>0</v>
      </c>
      <c r="K240" s="3345">
        <f t="shared" si="8"/>
        <v>1124052.1336612229</v>
      </c>
      <c r="L240" s="3345">
        <v>0</v>
      </c>
      <c r="M240" s="3345">
        <f t="shared" si="9"/>
        <v>1124052.1336612229</v>
      </c>
      <c r="N240" s="3345"/>
      <c r="O240" s="3346"/>
      <c r="P240" s="2206"/>
    </row>
    <row r="241" spans="1:16" s="2207" customFormat="1" ht="16.5" customHeight="1">
      <c r="A241" s="2132">
        <v>229</v>
      </c>
      <c r="B241" s="2132">
        <v>229</v>
      </c>
      <c r="C241" s="3343">
        <v>0</v>
      </c>
      <c r="D241" s="3344" t="s">
        <v>1424</v>
      </c>
      <c r="E241" s="3344" t="s">
        <v>40</v>
      </c>
      <c r="F241" s="3345">
        <v>24000</v>
      </c>
      <c r="G241" s="3345">
        <v>891230.63934009057</v>
      </c>
      <c r="H241" s="3345">
        <v>298648</v>
      </c>
      <c r="I241" s="3345">
        <v>0</v>
      </c>
      <c r="J241" s="3345">
        <v>0</v>
      </c>
      <c r="K241" s="3345">
        <f t="shared" si="8"/>
        <v>1213878.6393400906</v>
      </c>
      <c r="L241" s="3345">
        <v>0</v>
      </c>
      <c r="M241" s="3345">
        <f t="shared" si="9"/>
        <v>1213878.6393400906</v>
      </c>
      <c r="N241" s="3345"/>
      <c r="O241" s="3346"/>
      <c r="P241" s="2206"/>
    </row>
    <row r="242" spans="1:16" s="2207" customFormat="1" ht="16.5" customHeight="1">
      <c r="A242" s="2132">
        <v>230</v>
      </c>
      <c r="B242" s="2132">
        <v>230</v>
      </c>
      <c r="C242" s="3343"/>
      <c r="D242" s="3344" t="s">
        <v>1425</v>
      </c>
      <c r="E242" s="3344" t="s">
        <v>40</v>
      </c>
      <c r="F242" s="3345">
        <v>24000</v>
      </c>
      <c r="G242" s="3345">
        <v>891230.63934009057</v>
      </c>
      <c r="H242" s="3345">
        <v>298648</v>
      </c>
      <c r="I242" s="3345">
        <v>0</v>
      </c>
      <c r="J242" s="3345">
        <v>0</v>
      </c>
      <c r="K242" s="3345">
        <f t="shared" si="8"/>
        <v>1213878.6393400906</v>
      </c>
      <c r="L242" s="3345">
        <v>0</v>
      </c>
      <c r="M242" s="3345">
        <f t="shared" si="9"/>
        <v>1213878.6393400906</v>
      </c>
      <c r="N242" s="3345"/>
      <c r="O242" s="3346"/>
      <c r="P242" s="2206"/>
    </row>
    <row r="243" spans="1:16" s="2207" customFormat="1" ht="16.5" customHeight="1">
      <c r="A243" s="2132">
        <v>231</v>
      </c>
      <c r="B243" s="2132">
        <v>231</v>
      </c>
      <c r="C243" s="3343"/>
      <c r="D243" s="3344" t="s">
        <v>1426</v>
      </c>
      <c r="E243" s="3344" t="s">
        <v>40</v>
      </c>
      <c r="F243" s="3345">
        <v>24000</v>
      </c>
      <c r="G243" s="3345">
        <v>891230.63934009057</v>
      </c>
      <c r="H243" s="3345">
        <v>298648</v>
      </c>
      <c r="I243" s="3345">
        <v>0</v>
      </c>
      <c r="J243" s="3345">
        <v>0</v>
      </c>
      <c r="K243" s="3345">
        <f t="shared" si="8"/>
        <v>1213878.6393400906</v>
      </c>
      <c r="L243" s="3345">
        <v>0</v>
      </c>
      <c r="M243" s="3345">
        <f t="shared" si="9"/>
        <v>1213878.6393400906</v>
      </c>
      <c r="N243" s="3345"/>
      <c r="O243" s="3346"/>
      <c r="P243" s="2206"/>
    </row>
    <row r="244" spans="1:16" s="2207" customFormat="1" ht="16.5" customHeight="1">
      <c r="A244" s="2132">
        <v>232</v>
      </c>
      <c r="B244" s="2132">
        <v>232</v>
      </c>
      <c r="C244" s="3343"/>
      <c r="D244" s="3344" t="s">
        <v>1427</v>
      </c>
      <c r="E244" s="3344" t="s">
        <v>40</v>
      </c>
      <c r="F244" s="3345">
        <v>24000</v>
      </c>
      <c r="G244" s="3345">
        <v>891230.63934009057</v>
      </c>
      <c r="H244" s="3345">
        <v>298648</v>
      </c>
      <c r="I244" s="3345">
        <v>0</v>
      </c>
      <c r="J244" s="3345">
        <v>0</v>
      </c>
      <c r="K244" s="3345">
        <f t="shared" si="8"/>
        <v>1213878.6393400906</v>
      </c>
      <c r="L244" s="3345">
        <v>0</v>
      </c>
      <c r="M244" s="3345">
        <f t="shared" si="9"/>
        <v>1213878.6393400906</v>
      </c>
      <c r="N244" s="3345"/>
      <c r="O244" s="3346"/>
      <c r="P244" s="2206"/>
    </row>
    <row r="245" spans="1:16" s="2207" customFormat="1" ht="16.5" customHeight="1">
      <c r="A245" s="2132">
        <v>233</v>
      </c>
      <c r="B245" s="2132">
        <v>233</v>
      </c>
      <c r="C245" s="3343"/>
      <c r="D245" s="3344" t="s">
        <v>1428</v>
      </c>
      <c r="E245" s="3344" t="s">
        <v>40</v>
      </c>
      <c r="F245" s="3345">
        <v>24000</v>
      </c>
      <c r="G245" s="3345">
        <v>891230.63934009057</v>
      </c>
      <c r="H245" s="3345">
        <v>298648</v>
      </c>
      <c r="I245" s="3345">
        <v>0</v>
      </c>
      <c r="J245" s="3345">
        <v>0</v>
      </c>
      <c r="K245" s="3345">
        <f t="shared" si="8"/>
        <v>1213878.6393400906</v>
      </c>
      <c r="L245" s="3345">
        <v>0</v>
      </c>
      <c r="M245" s="3345">
        <f t="shared" si="9"/>
        <v>1213878.6393400906</v>
      </c>
      <c r="N245" s="3345"/>
      <c r="O245" s="3346"/>
      <c r="P245" s="2206"/>
    </row>
    <row r="246" spans="1:16" s="2207" customFormat="1" ht="16.5" customHeight="1">
      <c r="A246" s="2132">
        <v>234</v>
      </c>
      <c r="B246" s="2132">
        <v>234</v>
      </c>
      <c r="C246" s="3343">
        <v>0</v>
      </c>
      <c r="D246" s="3344" t="s">
        <v>1429</v>
      </c>
      <c r="E246" s="3344" t="s">
        <v>40</v>
      </c>
      <c r="F246" s="3345">
        <v>20000</v>
      </c>
      <c r="G246" s="3345">
        <v>870719.18619589147</v>
      </c>
      <c r="H246" s="3345">
        <v>199261.5</v>
      </c>
      <c r="I246" s="3345">
        <v>0</v>
      </c>
      <c r="J246" s="3345">
        <v>0</v>
      </c>
      <c r="K246" s="3345">
        <f t="shared" si="8"/>
        <v>1089980.6861958914</v>
      </c>
      <c r="L246" s="3345">
        <v>0</v>
      </c>
      <c r="M246" s="3345">
        <f t="shared" si="9"/>
        <v>1089980.6861958914</v>
      </c>
      <c r="N246" s="3345">
        <v>0</v>
      </c>
      <c r="O246" s="3346"/>
      <c r="P246" s="2206"/>
    </row>
    <row r="247" spans="1:16" s="2207" customFormat="1" ht="16.5" customHeight="1">
      <c r="A247" s="2132">
        <v>235</v>
      </c>
      <c r="B247" s="2132">
        <v>235</v>
      </c>
      <c r="C247" s="3343"/>
      <c r="D247" s="3344" t="s">
        <v>1430</v>
      </c>
      <c r="E247" s="3344" t="s">
        <v>40</v>
      </c>
      <c r="F247" s="3345">
        <v>20000</v>
      </c>
      <c r="G247" s="3345">
        <v>870719.18619589147</v>
      </c>
      <c r="H247" s="3345">
        <v>199261.5</v>
      </c>
      <c r="I247" s="3345">
        <v>0</v>
      </c>
      <c r="J247" s="3345">
        <v>0</v>
      </c>
      <c r="K247" s="3345">
        <f t="shared" si="8"/>
        <v>1089980.6861958914</v>
      </c>
      <c r="L247" s="3345">
        <v>0</v>
      </c>
      <c r="M247" s="3345">
        <f t="shared" si="9"/>
        <v>1089980.6861958914</v>
      </c>
      <c r="N247" s="3345">
        <v>0</v>
      </c>
      <c r="O247" s="3346"/>
      <c r="P247" s="2206"/>
    </row>
    <row r="248" spans="1:16" s="2207" customFormat="1" ht="16.5" customHeight="1">
      <c r="A248" s="2132">
        <v>236</v>
      </c>
      <c r="B248" s="2132">
        <v>236</v>
      </c>
      <c r="C248" s="3343"/>
      <c r="D248" s="3344" t="s">
        <v>1440</v>
      </c>
      <c r="E248" s="3344" t="s">
        <v>40</v>
      </c>
      <c r="F248" s="3345">
        <v>20000</v>
      </c>
      <c r="G248" s="3345">
        <v>870719.18619589147</v>
      </c>
      <c r="H248" s="3345">
        <v>199261.5</v>
      </c>
      <c r="I248" s="3345">
        <v>0</v>
      </c>
      <c r="J248" s="3345">
        <v>0</v>
      </c>
      <c r="K248" s="3345">
        <f t="shared" si="8"/>
        <v>1089980.6861958914</v>
      </c>
      <c r="L248" s="3345">
        <v>0</v>
      </c>
      <c r="M248" s="3345">
        <f t="shared" si="9"/>
        <v>1089980.6861958914</v>
      </c>
      <c r="N248" s="3345"/>
      <c r="O248" s="3346"/>
      <c r="P248" s="2206"/>
    </row>
    <row r="249" spans="1:16" s="2207" customFormat="1" ht="16.5" customHeight="1">
      <c r="A249" s="2132">
        <v>237</v>
      </c>
      <c r="B249" s="2132">
        <v>237</v>
      </c>
      <c r="C249" s="3343"/>
      <c r="D249" s="3344" t="s">
        <v>1441</v>
      </c>
      <c r="E249" s="3344" t="s">
        <v>40</v>
      </c>
      <c r="F249" s="3345">
        <v>20000</v>
      </c>
      <c r="G249" s="3345">
        <v>870719.18619589147</v>
      </c>
      <c r="H249" s="3345">
        <v>199261.5</v>
      </c>
      <c r="I249" s="3345">
        <v>0</v>
      </c>
      <c r="J249" s="3345">
        <v>0</v>
      </c>
      <c r="K249" s="3345">
        <f t="shared" si="8"/>
        <v>1089980.6861958914</v>
      </c>
      <c r="L249" s="3345">
        <v>0</v>
      </c>
      <c r="M249" s="3345">
        <f t="shared" si="9"/>
        <v>1089980.6861958914</v>
      </c>
      <c r="N249" s="3345"/>
      <c r="O249" s="3346"/>
      <c r="P249" s="2206"/>
    </row>
    <row r="250" spans="1:16" s="2207" customFormat="1" ht="16.5" customHeight="1">
      <c r="A250" s="2132">
        <v>238</v>
      </c>
      <c r="B250" s="2132">
        <v>238</v>
      </c>
      <c r="C250" s="3343"/>
      <c r="D250" s="3344" t="s">
        <v>1442</v>
      </c>
      <c r="E250" s="3344" t="s">
        <v>40</v>
      </c>
      <c r="F250" s="3345">
        <v>20000</v>
      </c>
      <c r="G250" s="3345">
        <v>870719.18619589147</v>
      </c>
      <c r="H250" s="3345">
        <v>199261.5</v>
      </c>
      <c r="I250" s="3345">
        <v>0</v>
      </c>
      <c r="J250" s="3345">
        <v>0</v>
      </c>
      <c r="K250" s="3345">
        <f t="shared" si="8"/>
        <v>1089980.6861958914</v>
      </c>
      <c r="L250" s="3345">
        <v>0</v>
      </c>
      <c r="M250" s="3345">
        <f t="shared" si="9"/>
        <v>1089980.6861958914</v>
      </c>
      <c r="N250" s="3345"/>
      <c r="O250" s="3346"/>
      <c r="P250" s="2206"/>
    </row>
    <row r="251" spans="1:16" s="2207" customFormat="1" ht="16.5" customHeight="1">
      <c r="A251" s="2132">
        <v>239</v>
      </c>
      <c r="B251" s="2132">
        <v>239</v>
      </c>
      <c r="C251" s="3343"/>
      <c r="D251" s="3344" t="s">
        <v>1443</v>
      </c>
      <c r="E251" s="3344" t="s">
        <v>40</v>
      </c>
      <c r="F251" s="3345">
        <v>20000</v>
      </c>
      <c r="G251" s="3345">
        <v>870719.18619589147</v>
      </c>
      <c r="H251" s="3345">
        <v>199261.5</v>
      </c>
      <c r="I251" s="3345">
        <v>0</v>
      </c>
      <c r="J251" s="3345">
        <v>0</v>
      </c>
      <c r="K251" s="3345">
        <f t="shared" si="8"/>
        <v>1089980.6861958914</v>
      </c>
      <c r="L251" s="3345">
        <v>0</v>
      </c>
      <c r="M251" s="3345">
        <f t="shared" si="9"/>
        <v>1089980.6861958914</v>
      </c>
      <c r="N251" s="3345"/>
      <c r="O251" s="3346"/>
      <c r="P251" s="2206"/>
    </row>
    <row r="252" spans="1:16" s="2207" customFormat="1" ht="16.5" customHeight="1">
      <c r="A252" s="2132">
        <v>240</v>
      </c>
      <c r="B252" s="2132">
        <v>240</v>
      </c>
      <c r="C252" s="3343"/>
      <c r="D252" s="3344" t="s">
        <v>1444</v>
      </c>
      <c r="E252" s="3344" t="s">
        <v>40</v>
      </c>
      <c r="F252" s="3345">
        <v>20000</v>
      </c>
      <c r="G252" s="3345">
        <v>870719.18619589147</v>
      </c>
      <c r="H252" s="3345">
        <v>199261.5</v>
      </c>
      <c r="I252" s="3345">
        <v>0</v>
      </c>
      <c r="J252" s="3345">
        <v>0</v>
      </c>
      <c r="K252" s="3345">
        <f t="shared" si="8"/>
        <v>1089980.6861958914</v>
      </c>
      <c r="L252" s="3345">
        <v>0</v>
      </c>
      <c r="M252" s="3345">
        <f t="shared" si="9"/>
        <v>1089980.6861958914</v>
      </c>
      <c r="N252" s="3345"/>
      <c r="O252" s="3346"/>
      <c r="P252" s="2206"/>
    </row>
    <row r="253" spans="1:16" s="2207" customFormat="1" ht="16.5" customHeight="1">
      <c r="A253" s="2132">
        <v>241</v>
      </c>
      <c r="B253" s="2132">
        <v>241</v>
      </c>
      <c r="C253" s="3343"/>
      <c r="D253" s="3344" t="s">
        <v>1445</v>
      </c>
      <c r="E253" s="3344" t="s">
        <v>40</v>
      </c>
      <c r="F253" s="3345">
        <v>20000</v>
      </c>
      <c r="G253" s="3345">
        <v>870719.18619589147</v>
      </c>
      <c r="H253" s="3345">
        <v>199261.5</v>
      </c>
      <c r="I253" s="3345">
        <v>0</v>
      </c>
      <c r="J253" s="3345">
        <v>0</v>
      </c>
      <c r="K253" s="3345">
        <f t="shared" si="8"/>
        <v>1089980.6861958914</v>
      </c>
      <c r="L253" s="3345">
        <v>0</v>
      </c>
      <c r="M253" s="3345">
        <f t="shared" si="9"/>
        <v>1089980.6861958914</v>
      </c>
      <c r="N253" s="3345"/>
      <c r="O253" s="3346"/>
      <c r="P253" s="2206"/>
    </row>
    <row r="254" spans="1:16" s="2207" customFormat="1" ht="16.5" customHeight="1">
      <c r="A254" s="2132">
        <v>242</v>
      </c>
      <c r="B254" s="2132">
        <v>242</v>
      </c>
      <c r="C254" s="3533"/>
      <c r="D254" s="3349" t="s">
        <v>1746</v>
      </c>
      <c r="E254" s="3344" t="s">
        <v>40</v>
      </c>
      <c r="F254" s="3345">
        <v>11428.571428571429</v>
      </c>
      <c r="G254" s="3345">
        <v>1023416.0207916666</v>
      </c>
      <c r="H254" s="3345">
        <v>240272.62042857145</v>
      </c>
      <c r="I254" s="3345">
        <v>1275117.2126488094</v>
      </c>
      <c r="J254" s="3345">
        <v>0</v>
      </c>
      <c r="K254" s="3345">
        <f t="shared" si="8"/>
        <v>1275117.2126488094</v>
      </c>
      <c r="L254" s="3345">
        <v>0</v>
      </c>
      <c r="M254" s="3345">
        <f t="shared" si="9"/>
        <v>1275117.2126488094</v>
      </c>
      <c r="N254" s="2205"/>
      <c r="O254" s="3346"/>
      <c r="P254" s="2209"/>
    </row>
    <row r="255" spans="1:16" s="2207" customFormat="1" ht="16.5" customHeight="1">
      <c r="A255" s="2132">
        <v>243</v>
      </c>
      <c r="B255" s="2132">
        <v>243</v>
      </c>
      <c r="C255" s="3533"/>
      <c r="D255" s="3349" t="s">
        <v>1747</v>
      </c>
      <c r="E255" s="3344" t="s">
        <v>40</v>
      </c>
      <c r="F255" s="3345">
        <v>11428.571428571429</v>
      </c>
      <c r="G255" s="3345">
        <v>1023416.0207916666</v>
      </c>
      <c r="H255" s="3345">
        <v>240272.62042857145</v>
      </c>
      <c r="I255" s="3345">
        <v>1275117.2126488094</v>
      </c>
      <c r="J255" s="3345">
        <v>0</v>
      </c>
      <c r="K255" s="3345">
        <f t="shared" si="8"/>
        <v>1275117.2126488094</v>
      </c>
      <c r="L255" s="3345">
        <v>0</v>
      </c>
      <c r="M255" s="3345">
        <f t="shared" si="9"/>
        <v>1275117.2126488094</v>
      </c>
      <c r="N255" s="2205"/>
      <c r="O255" s="3346"/>
      <c r="P255" s="2209"/>
    </row>
    <row r="256" spans="1:16" s="2207" customFormat="1" ht="16.5" customHeight="1">
      <c r="A256" s="2132">
        <v>244</v>
      </c>
      <c r="B256" s="2132">
        <v>244</v>
      </c>
      <c r="C256" s="3533"/>
      <c r="D256" s="3349" t="s">
        <v>1748</v>
      </c>
      <c r="E256" s="3344" t="s">
        <v>40</v>
      </c>
      <c r="F256" s="3345">
        <v>11428.571428571429</v>
      </c>
      <c r="G256" s="3345">
        <v>1007001.3636485524</v>
      </c>
      <c r="H256" s="3345">
        <v>226828.47742857141</v>
      </c>
      <c r="I256" s="3345">
        <v>1245258.4125056954</v>
      </c>
      <c r="J256" s="3345">
        <v>0</v>
      </c>
      <c r="K256" s="3345">
        <f t="shared" si="8"/>
        <v>1245258.4125056954</v>
      </c>
      <c r="L256" s="3345">
        <v>0</v>
      </c>
      <c r="M256" s="3345">
        <f t="shared" si="9"/>
        <v>1245258.4125056954</v>
      </c>
      <c r="N256" s="2205"/>
      <c r="O256" s="3346"/>
      <c r="P256" s="2209"/>
    </row>
    <row r="257" spans="1:18" s="2207" customFormat="1" ht="16.5" customHeight="1">
      <c r="A257" s="2132">
        <v>245</v>
      </c>
      <c r="B257" s="2132">
        <v>245</v>
      </c>
      <c r="C257" s="3533"/>
      <c r="D257" s="3349" t="s">
        <v>1749</v>
      </c>
      <c r="E257" s="3344" t="s">
        <v>40</v>
      </c>
      <c r="F257" s="3345">
        <v>11428.571428571429</v>
      </c>
      <c r="G257" s="3345">
        <v>1007001.3636485524</v>
      </c>
      <c r="H257" s="3345">
        <v>226828.47742857141</v>
      </c>
      <c r="I257" s="3345">
        <v>1245258.4125056954</v>
      </c>
      <c r="J257" s="3345">
        <v>0</v>
      </c>
      <c r="K257" s="3345">
        <f t="shared" si="8"/>
        <v>1245258.4125056954</v>
      </c>
      <c r="L257" s="3345">
        <v>0</v>
      </c>
      <c r="M257" s="3345">
        <f t="shared" si="9"/>
        <v>1245258.4125056954</v>
      </c>
      <c r="N257" s="2205"/>
      <c r="O257" s="3346"/>
      <c r="P257" s="2209"/>
    </row>
    <row r="258" spans="1:18" s="2207" customFormat="1" ht="16.5" customHeight="1">
      <c r="A258" s="2132">
        <v>246</v>
      </c>
      <c r="B258" s="2132">
        <v>246</v>
      </c>
      <c r="C258" s="3533"/>
      <c r="D258" s="3349" t="s">
        <v>1750</v>
      </c>
      <c r="E258" s="3344" t="s">
        <v>40</v>
      </c>
      <c r="F258" s="3345">
        <v>11428.571428571429</v>
      </c>
      <c r="G258" s="3345">
        <v>1007001.3636485524</v>
      </c>
      <c r="H258" s="3345">
        <v>226828.47742857141</v>
      </c>
      <c r="I258" s="3345">
        <v>1245258.4125056954</v>
      </c>
      <c r="J258" s="3345">
        <v>0</v>
      </c>
      <c r="K258" s="3345">
        <f t="shared" si="8"/>
        <v>1245258.4125056954</v>
      </c>
      <c r="L258" s="3345">
        <v>0</v>
      </c>
      <c r="M258" s="3345">
        <f t="shared" si="9"/>
        <v>1245258.4125056954</v>
      </c>
      <c r="N258" s="2205"/>
      <c r="O258" s="3346"/>
      <c r="P258" s="2209"/>
    </row>
    <row r="259" spans="1:18" s="2207" customFormat="1" ht="16.5" customHeight="1">
      <c r="A259" s="2132">
        <v>247</v>
      </c>
      <c r="B259" s="2132">
        <v>247</v>
      </c>
      <c r="C259" s="3533"/>
      <c r="D259" s="3349" t="s">
        <v>1751</v>
      </c>
      <c r="E259" s="3344" t="s">
        <v>40</v>
      </c>
      <c r="F259" s="3345">
        <v>11428.571428571429</v>
      </c>
      <c r="G259" s="3345">
        <v>1007001.3636485524</v>
      </c>
      <c r="H259" s="3345">
        <v>226828.47742857141</v>
      </c>
      <c r="I259" s="3345">
        <v>1245258.4125056954</v>
      </c>
      <c r="J259" s="3345">
        <v>0</v>
      </c>
      <c r="K259" s="3345">
        <f t="shared" si="8"/>
        <v>1245258.4125056954</v>
      </c>
      <c r="L259" s="3345">
        <v>0</v>
      </c>
      <c r="M259" s="3345">
        <f t="shared" si="9"/>
        <v>1245258.4125056954</v>
      </c>
      <c r="N259" s="2205"/>
      <c r="O259" s="3346"/>
      <c r="P259" s="2209"/>
    </row>
    <row r="260" spans="1:18" s="2207" customFormat="1" ht="16.5" customHeight="1">
      <c r="A260" s="2132">
        <v>248</v>
      </c>
      <c r="B260" s="2132">
        <v>248</v>
      </c>
      <c r="C260" s="3533"/>
      <c r="D260" s="3349" t="s">
        <v>1752</v>
      </c>
      <c r="E260" s="3344" t="s">
        <v>40</v>
      </c>
      <c r="F260" s="3345">
        <v>11428.571428571429</v>
      </c>
      <c r="G260" s="3345">
        <v>1007001.3636485524</v>
      </c>
      <c r="H260" s="3345">
        <v>226828.47742857141</v>
      </c>
      <c r="I260" s="3345">
        <v>1245258.4125056954</v>
      </c>
      <c r="J260" s="3345">
        <v>0</v>
      </c>
      <c r="K260" s="3345">
        <f t="shared" si="8"/>
        <v>1245258.4125056954</v>
      </c>
      <c r="L260" s="3345">
        <v>0</v>
      </c>
      <c r="M260" s="3345">
        <f t="shared" si="9"/>
        <v>1245258.4125056954</v>
      </c>
      <c r="N260" s="2205"/>
      <c r="O260" s="3346"/>
      <c r="P260" s="2209"/>
    </row>
    <row r="261" spans="1:18" s="2207" customFormat="1" ht="20.25" customHeight="1">
      <c r="A261" s="2132">
        <v>249</v>
      </c>
      <c r="B261" s="2132">
        <v>249</v>
      </c>
      <c r="C261" s="3533"/>
      <c r="D261" s="3349" t="s">
        <v>1753</v>
      </c>
      <c r="E261" s="3344" t="s">
        <v>40</v>
      </c>
      <c r="F261" s="3345">
        <v>11428.571428571429</v>
      </c>
      <c r="G261" s="3345">
        <v>1007001.3636485524</v>
      </c>
      <c r="H261" s="3345">
        <v>226828.47742857141</v>
      </c>
      <c r="I261" s="3345">
        <v>1245258.4125056954</v>
      </c>
      <c r="J261" s="3345">
        <v>0</v>
      </c>
      <c r="K261" s="3345">
        <f t="shared" si="8"/>
        <v>1245258.4125056954</v>
      </c>
      <c r="L261" s="3345">
        <v>0</v>
      </c>
      <c r="M261" s="3345">
        <f t="shared" si="9"/>
        <v>1245258.4125056954</v>
      </c>
      <c r="N261" s="2205"/>
      <c r="O261" s="3346"/>
      <c r="P261" s="2209"/>
    </row>
    <row r="262" spans="1:18" s="2207" customFormat="1" ht="22.5" customHeight="1">
      <c r="A262" s="4045" t="s">
        <v>322</v>
      </c>
      <c r="B262" s="4046"/>
      <c r="C262" s="4046"/>
      <c r="D262" s="4047"/>
      <c r="E262" s="3341"/>
      <c r="F262" s="3342">
        <f>SUM(F263:F367)</f>
        <v>14807000.299999956</v>
      </c>
      <c r="G262" s="3342">
        <f>SUM(G263:G367)</f>
        <v>84199983.545282021</v>
      </c>
      <c r="H262" s="3342">
        <f>SUM(H263:H367)</f>
        <v>24139458</v>
      </c>
      <c r="I262" s="3342"/>
      <c r="J262" s="3342"/>
      <c r="K262" s="3342">
        <f>SUM(K263:K367)</f>
        <v>123146441.84528181</v>
      </c>
      <c r="L262" s="3342">
        <f>SUM(L263:L367)</f>
        <v>0</v>
      </c>
      <c r="M262" s="3342">
        <f>SUM(M263:M367)</f>
        <v>123146441.84528181</v>
      </c>
      <c r="N262" s="3342">
        <f>SUM(N263:N367)</f>
        <v>0</v>
      </c>
      <c r="O262" s="3347"/>
      <c r="P262" s="2206"/>
      <c r="Q262" s="2209"/>
    </row>
    <row r="263" spans="1:18" s="2207" customFormat="1" ht="16.5" customHeight="1">
      <c r="A263" s="2132">
        <v>250</v>
      </c>
      <c r="B263" s="2132">
        <v>1</v>
      </c>
      <c r="C263" s="3348"/>
      <c r="D263" s="3349" t="s">
        <v>747</v>
      </c>
      <c r="E263" s="3344" t="s">
        <v>40</v>
      </c>
      <c r="F263" s="3345">
        <f>126666.966666666+127000</f>
        <v>253666.96666666601</v>
      </c>
      <c r="G263" s="3345">
        <f>884022.558944174-325411</f>
        <v>558611.55894417397</v>
      </c>
      <c r="H263" s="3345">
        <f>245485.333333333+67484</f>
        <v>312969.33333333302</v>
      </c>
      <c r="I263" s="3345">
        <v>0</v>
      </c>
      <c r="J263" s="3345">
        <v>0</v>
      </c>
      <c r="K263" s="3345">
        <f t="shared" ref="K263:K294" si="10">H263+G263+F263</f>
        <v>1125247.858944173</v>
      </c>
      <c r="L263" s="3345">
        <v>0</v>
      </c>
      <c r="M263" s="3345">
        <f>K263</f>
        <v>1125247.858944173</v>
      </c>
      <c r="N263" s="3345"/>
      <c r="O263" s="3346"/>
      <c r="P263" s="2212"/>
      <c r="Q263" s="2209"/>
    </row>
    <row r="264" spans="1:18" s="2207" customFormat="1" ht="16.5" customHeight="1">
      <c r="A264" s="2132">
        <v>251</v>
      </c>
      <c r="B264" s="2132">
        <v>2</v>
      </c>
      <c r="C264" s="3348"/>
      <c r="D264" s="3349" t="s">
        <v>1656</v>
      </c>
      <c r="E264" s="3344" t="s">
        <v>40</v>
      </c>
      <c r="F264" s="3345">
        <v>126666.666666666</v>
      </c>
      <c r="G264" s="3345">
        <v>884022.55894417397</v>
      </c>
      <c r="H264" s="3345">
        <v>245485.33333333334</v>
      </c>
      <c r="I264" s="3345">
        <v>0</v>
      </c>
      <c r="J264" s="3345">
        <v>0</v>
      </c>
      <c r="K264" s="3345">
        <f t="shared" si="10"/>
        <v>1256174.5589441734</v>
      </c>
      <c r="L264" s="3345">
        <v>0</v>
      </c>
      <c r="M264" s="3345">
        <f t="shared" ref="M264:M327" si="11">K264</f>
        <v>1256174.5589441734</v>
      </c>
      <c r="N264" s="3345"/>
      <c r="O264" s="3346"/>
      <c r="P264" s="2212"/>
      <c r="Q264" s="2209"/>
    </row>
    <row r="265" spans="1:18" s="2207" customFormat="1" ht="16.5" customHeight="1">
      <c r="A265" s="2132">
        <v>252</v>
      </c>
      <c r="B265" s="2132">
        <v>3</v>
      </c>
      <c r="C265" s="3348"/>
      <c r="D265" s="3349" t="s">
        <v>968</v>
      </c>
      <c r="E265" s="3344" t="s">
        <v>40</v>
      </c>
      <c r="F265" s="3345">
        <v>422857.14285714203</v>
      </c>
      <c r="G265" s="3345">
        <v>227750.14285714299</v>
      </c>
      <c r="H265" s="3345">
        <v>517619.71428571403</v>
      </c>
      <c r="I265" s="3345">
        <v>0</v>
      </c>
      <c r="J265" s="3345">
        <v>0</v>
      </c>
      <c r="K265" s="3345">
        <f t="shared" si="10"/>
        <v>1168226.9999999991</v>
      </c>
      <c r="L265" s="3345">
        <v>0</v>
      </c>
      <c r="M265" s="3345">
        <f t="shared" si="11"/>
        <v>1168226.9999999991</v>
      </c>
      <c r="N265" s="3345"/>
      <c r="O265" s="3346"/>
      <c r="P265" s="2212"/>
      <c r="Q265" s="2209"/>
      <c r="R265" s="3312">
        <f>14807000-F262</f>
        <v>-0.29999995604157448</v>
      </c>
    </row>
    <row r="266" spans="1:18" s="2207" customFormat="1" ht="16.5" customHeight="1">
      <c r="A266" s="2132">
        <v>253</v>
      </c>
      <c r="B266" s="2132">
        <v>4</v>
      </c>
      <c r="C266" s="3348"/>
      <c r="D266" s="3349" t="s">
        <v>978</v>
      </c>
      <c r="E266" s="3344" t="s">
        <v>40</v>
      </c>
      <c r="F266" s="3345">
        <v>422857.14285714203</v>
      </c>
      <c r="G266" s="3345">
        <v>227750.14285714299</v>
      </c>
      <c r="H266" s="3345">
        <v>517619.71428571403</v>
      </c>
      <c r="I266" s="3345">
        <v>0</v>
      </c>
      <c r="J266" s="3345">
        <v>0</v>
      </c>
      <c r="K266" s="3345">
        <f t="shared" si="10"/>
        <v>1168226.9999999991</v>
      </c>
      <c r="L266" s="3345">
        <v>0</v>
      </c>
      <c r="M266" s="3345">
        <f t="shared" si="11"/>
        <v>1168226.9999999991</v>
      </c>
      <c r="N266" s="3345"/>
      <c r="O266" s="3346"/>
      <c r="P266" s="2212"/>
      <c r="Q266" s="2209"/>
      <c r="R266" s="3312">
        <f>'LƯƠNG TT'!G50-'Lương gia thuộc'!G262</f>
        <v>-22713835.641792029</v>
      </c>
    </row>
    <row r="267" spans="1:18" s="2207" customFormat="1" ht="16.5" customHeight="1">
      <c r="A267" s="2132">
        <v>254</v>
      </c>
      <c r="B267" s="2132">
        <v>5</v>
      </c>
      <c r="C267" s="3348"/>
      <c r="D267" s="3349" t="s">
        <v>753</v>
      </c>
      <c r="E267" s="3344" t="s">
        <v>40</v>
      </c>
      <c r="F267" s="3345">
        <v>422857.14285714203</v>
      </c>
      <c r="G267" s="3345">
        <v>227750.14285714299</v>
      </c>
      <c r="H267" s="3345">
        <v>517619.71428571403</v>
      </c>
      <c r="I267" s="3345">
        <v>0</v>
      </c>
      <c r="J267" s="3345">
        <v>0</v>
      </c>
      <c r="K267" s="3345">
        <f t="shared" si="10"/>
        <v>1168226.9999999991</v>
      </c>
      <c r="L267" s="3345">
        <v>0</v>
      </c>
      <c r="M267" s="3345">
        <f t="shared" si="11"/>
        <v>1168226.9999999991</v>
      </c>
      <c r="N267" s="3345"/>
      <c r="O267" s="3346"/>
      <c r="P267" s="2212"/>
      <c r="Q267" s="2209"/>
      <c r="R267" s="3312">
        <f>'LƯƠNG TT'!H50-'Lương gia thuộc'!H262</f>
        <v>8591103.5999999978</v>
      </c>
    </row>
    <row r="268" spans="1:18" s="2207" customFormat="1" ht="16.5" customHeight="1">
      <c r="A268" s="2132">
        <v>255</v>
      </c>
      <c r="B268" s="2132">
        <v>6</v>
      </c>
      <c r="C268" s="3348"/>
      <c r="D268" s="3349" t="s">
        <v>977</v>
      </c>
      <c r="E268" s="3344" t="s">
        <v>40</v>
      </c>
      <c r="F268" s="3345">
        <v>422857.14285714203</v>
      </c>
      <c r="G268" s="3345">
        <v>227750.14285714299</v>
      </c>
      <c r="H268" s="3345">
        <v>517619.71428571403</v>
      </c>
      <c r="I268" s="3345">
        <v>0</v>
      </c>
      <c r="J268" s="3345">
        <v>0</v>
      </c>
      <c r="K268" s="3345">
        <f t="shared" si="10"/>
        <v>1168226.9999999991</v>
      </c>
      <c r="L268" s="3345">
        <v>0</v>
      </c>
      <c r="M268" s="3345">
        <f t="shared" si="11"/>
        <v>1168226.9999999991</v>
      </c>
      <c r="N268" s="3345"/>
      <c r="O268" s="3346"/>
      <c r="P268" s="2212"/>
      <c r="Q268" s="2209"/>
    </row>
    <row r="269" spans="1:18" s="2207" customFormat="1" ht="16.5" customHeight="1">
      <c r="A269" s="2132">
        <v>256</v>
      </c>
      <c r="B269" s="2132">
        <v>7</v>
      </c>
      <c r="C269" s="3348"/>
      <c r="D269" s="3349" t="s">
        <v>926</v>
      </c>
      <c r="E269" s="3344" t="s">
        <v>40</v>
      </c>
      <c r="F269" s="3345">
        <v>722857.14285714203</v>
      </c>
      <c r="G269" s="3345">
        <v>227750.14285714299</v>
      </c>
      <c r="H269" s="3345">
        <v>217619.71428571429</v>
      </c>
      <c r="I269" s="3345">
        <v>0</v>
      </c>
      <c r="J269" s="3345">
        <v>0</v>
      </c>
      <c r="K269" s="3345">
        <f t="shared" si="10"/>
        <v>1168226.9999999993</v>
      </c>
      <c r="L269" s="3345">
        <v>0</v>
      </c>
      <c r="M269" s="3345">
        <f t="shared" si="11"/>
        <v>1168226.9999999993</v>
      </c>
      <c r="N269" s="3345"/>
      <c r="O269" s="3346"/>
      <c r="P269" s="2212"/>
      <c r="Q269" s="2209"/>
    </row>
    <row r="270" spans="1:18" s="2207" customFormat="1" ht="16.5" customHeight="1">
      <c r="A270" s="2132">
        <v>257</v>
      </c>
      <c r="B270" s="2132">
        <v>8</v>
      </c>
      <c r="C270" s="3348"/>
      <c r="D270" s="3349" t="s">
        <v>992</v>
      </c>
      <c r="E270" s="3344" t="s">
        <v>40</v>
      </c>
      <c r="F270" s="3345">
        <v>722857.14285714203</v>
      </c>
      <c r="G270" s="3345">
        <v>227750.14285714299</v>
      </c>
      <c r="H270" s="3345">
        <v>217619.71428571429</v>
      </c>
      <c r="I270" s="3345">
        <v>0</v>
      </c>
      <c r="J270" s="3345">
        <v>0</v>
      </c>
      <c r="K270" s="3345">
        <f t="shared" si="10"/>
        <v>1168226.9999999993</v>
      </c>
      <c r="L270" s="3345">
        <v>0</v>
      </c>
      <c r="M270" s="3345">
        <f t="shared" si="11"/>
        <v>1168226.9999999993</v>
      </c>
      <c r="N270" s="3345"/>
      <c r="O270" s="3346"/>
      <c r="P270" s="2212"/>
      <c r="Q270" s="2209"/>
    </row>
    <row r="271" spans="1:18" s="2207" customFormat="1" ht="16.5" customHeight="1">
      <c r="A271" s="2132">
        <v>258</v>
      </c>
      <c r="B271" s="2132">
        <v>9</v>
      </c>
      <c r="C271" s="3348"/>
      <c r="D271" s="3349" t="s">
        <v>1482</v>
      </c>
      <c r="E271" s="3344" t="s">
        <v>40</v>
      </c>
      <c r="F271" s="3345">
        <v>722857.14285714203</v>
      </c>
      <c r="G271" s="3345">
        <v>227750.14285714299</v>
      </c>
      <c r="H271" s="3345">
        <v>217619.71428571429</v>
      </c>
      <c r="I271" s="3345">
        <v>0</v>
      </c>
      <c r="J271" s="3345">
        <v>0</v>
      </c>
      <c r="K271" s="3345">
        <f t="shared" si="10"/>
        <v>1168226.9999999993</v>
      </c>
      <c r="L271" s="3345">
        <v>0</v>
      </c>
      <c r="M271" s="3345">
        <f t="shared" si="11"/>
        <v>1168226.9999999993</v>
      </c>
      <c r="N271" s="3345"/>
      <c r="O271" s="3346"/>
      <c r="P271" s="2212"/>
      <c r="Q271" s="2209"/>
    </row>
    <row r="272" spans="1:18" s="2207" customFormat="1" ht="16.5" customHeight="1">
      <c r="A272" s="2132">
        <v>259</v>
      </c>
      <c r="B272" s="2132">
        <v>10</v>
      </c>
      <c r="C272" s="3348"/>
      <c r="D272" s="3349" t="s">
        <v>1483</v>
      </c>
      <c r="E272" s="3344" t="s">
        <v>40</v>
      </c>
      <c r="F272" s="3345">
        <v>626666.66666666605</v>
      </c>
      <c r="G272" s="3345">
        <v>284022.55894417397</v>
      </c>
      <c r="H272" s="3345">
        <v>245485.33333333334</v>
      </c>
      <c r="I272" s="3345">
        <v>0</v>
      </c>
      <c r="J272" s="3345">
        <v>0</v>
      </c>
      <c r="K272" s="3345">
        <f t="shared" si="10"/>
        <v>1156174.5589441734</v>
      </c>
      <c r="L272" s="3345">
        <v>0</v>
      </c>
      <c r="M272" s="3345">
        <f t="shared" si="11"/>
        <v>1156174.5589441734</v>
      </c>
      <c r="N272" s="3345"/>
      <c r="O272" s="3346"/>
      <c r="P272" s="2212"/>
      <c r="Q272" s="2209"/>
    </row>
    <row r="273" spans="1:17" s="2207" customFormat="1" ht="16.5" customHeight="1">
      <c r="A273" s="2132">
        <v>260</v>
      </c>
      <c r="B273" s="2132">
        <v>11</v>
      </c>
      <c r="C273" s="3348"/>
      <c r="D273" s="3349" t="s">
        <v>103</v>
      </c>
      <c r="E273" s="3344" t="s">
        <v>40</v>
      </c>
      <c r="F273" s="3345">
        <v>626666.66666666605</v>
      </c>
      <c r="G273" s="3345">
        <v>284022.55894417397</v>
      </c>
      <c r="H273" s="3345">
        <v>245485.33333333334</v>
      </c>
      <c r="I273" s="3345">
        <v>0</v>
      </c>
      <c r="J273" s="3345">
        <v>0</v>
      </c>
      <c r="K273" s="3345">
        <f t="shared" si="10"/>
        <v>1156174.5589441734</v>
      </c>
      <c r="L273" s="3345">
        <v>0</v>
      </c>
      <c r="M273" s="3345">
        <f t="shared" si="11"/>
        <v>1156174.5589441734</v>
      </c>
      <c r="N273" s="3345"/>
      <c r="O273" s="3346"/>
      <c r="P273" s="2212"/>
      <c r="Q273" s="2209"/>
    </row>
    <row r="274" spans="1:17" s="2207" customFormat="1" ht="16.5" customHeight="1">
      <c r="A274" s="2132">
        <v>261</v>
      </c>
      <c r="B274" s="2132">
        <v>12</v>
      </c>
      <c r="C274" s="3348"/>
      <c r="D274" s="3349" t="s">
        <v>1484</v>
      </c>
      <c r="E274" s="3344" t="s">
        <v>40</v>
      </c>
      <c r="F274" s="3345">
        <v>626666.66666666605</v>
      </c>
      <c r="G274" s="3345">
        <v>284022.55894417397</v>
      </c>
      <c r="H274" s="3345">
        <v>245485.33333333334</v>
      </c>
      <c r="I274" s="3345">
        <v>0</v>
      </c>
      <c r="J274" s="3345">
        <v>0</v>
      </c>
      <c r="K274" s="3345">
        <f t="shared" si="10"/>
        <v>1156174.5589441734</v>
      </c>
      <c r="L274" s="3345">
        <v>0</v>
      </c>
      <c r="M274" s="3345">
        <f t="shared" si="11"/>
        <v>1156174.5589441734</v>
      </c>
      <c r="N274" s="3345"/>
      <c r="O274" s="3346"/>
      <c r="P274" s="2212"/>
      <c r="Q274" s="2209"/>
    </row>
    <row r="275" spans="1:17" s="2207" customFormat="1" ht="16.5" customHeight="1">
      <c r="A275" s="2132">
        <v>262</v>
      </c>
      <c r="B275" s="2132">
        <v>13</v>
      </c>
      <c r="C275" s="3348"/>
      <c r="D275" s="3349" t="s">
        <v>1485</v>
      </c>
      <c r="E275" s="3344" t="s">
        <v>40</v>
      </c>
      <c r="F275" s="3345">
        <v>626666.66666666605</v>
      </c>
      <c r="G275" s="3345">
        <v>284022.55894417397</v>
      </c>
      <c r="H275" s="3345">
        <v>245485.33333333334</v>
      </c>
      <c r="I275" s="3345">
        <v>0</v>
      </c>
      <c r="J275" s="3345">
        <v>0</v>
      </c>
      <c r="K275" s="3345">
        <f t="shared" si="10"/>
        <v>1156174.5589441734</v>
      </c>
      <c r="L275" s="3345">
        <v>0</v>
      </c>
      <c r="M275" s="3345">
        <f t="shared" si="11"/>
        <v>1156174.5589441734</v>
      </c>
      <c r="N275" s="3345"/>
      <c r="O275" s="3346"/>
      <c r="P275" s="2212"/>
      <c r="Q275" s="2209"/>
    </row>
    <row r="276" spans="1:17" s="2207" customFormat="1" ht="16.5" customHeight="1">
      <c r="A276" s="2132">
        <v>263</v>
      </c>
      <c r="B276" s="2132">
        <v>14</v>
      </c>
      <c r="C276" s="3348"/>
      <c r="D276" s="3349" t="s">
        <v>1486</v>
      </c>
      <c r="E276" s="3344" t="s">
        <v>40</v>
      </c>
      <c r="F276" s="3345">
        <v>322857.14285714203</v>
      </c>
      <c r="G276" s="3345">
        <v>667311.31003484002</v>
      </c>
      <c r="H276" s="3345">
        <v>210416</v>
      </c>
      <c r="I276" s="3345">
        <v>0</v>
      </c>
      <c r="J276" s="3345">
        <v>0</v>
      </c>
      <c r="K276" s="3345">
        <f t="shared" si="10"/>
        <v>1200584.4528919822</v>
      </c>
      <c r="L276" s="3345">
        <v>0</v>
      </c>
      <c r="M276" s="3345">
        <f t="shared" si="11"/>
        <v>1200584.4528919822</v>
      </c>
      <c r="N276" s="3345"/>
      <c r="O276" s="3346"/>
      <c r="P276" s="2212"/>
      <c r="Q276" s="2209"/>
    </row>
    <row r="277" spans="1:17" s="2207" customFormat="1" ht="16.5" customHeight="1">
      <c r="A277" s="2132">
        <v>264</v>
      </c>
      <c r="B277" s="2132">
        <v>15</v>
      </c>
      <c r="C277" s="3348"/>
      <c r="D277" s="3349" t="s">
        <v>1487</v>
      </c>
      <c r="E277" s="3344" t="s">
        <v>40</v>
      </c>
      <c r="F277" s="3345">
        <v>322857.14285714203</v>
      </c>
      <c r="G277" s="3345">
        <v>667311.31003484002</v>
      </c>
      <c r="H277" s="3345">
        <v>210416</v>
      </c>
      <c r="I277" s="3345">
        <v>0</v>
      </c>
      <c r="J277" s="3345">
        <v>0</v>
      </c>
      <c r="K277" s="3345">
        <f t="shared" si="10"/>
        <v>1200584.4528919822</v>
      </c>
      <c r="L277" s="3345">
        <v>0</v>
      </c>
      <c r="M277" s="3345">
        <f t="shared" si="11"/>
        <v>1200584.4528919822</v>
      </c>
      <c r="N277" s="3345"/>
      <c r="O277" s="3346"/>
      <c r="P277" s="2212"/>
      <c r="Q277" s="2209"/>
    </row>
    <row r="278" spans="1:17" s="2207" customFormat="1" ht="16.5" customHeight="1">
      <c r="A278" s="2132">
        <v>265</v>
      </c>
      <c r="B278" s="2132">
        <v>16</v>
      </c>
      <c r="C278" s="3348"/>
      <c r="D278" s="3349" t="s">
        <v>1488</v>
      </c>
      <c r="E278" s="3344" t="s">
        <v>40</v>
      </c>
      <c r="F278" s="3345">
        <v>322857.14285714203</v>
      </c>
      <c r="G278" s="3345">
        <v>667311.31003484002</v>
      </c>
      <c r="H278" s="3345">
        <v>210416</v>
      </c>
      <c r="I278" s="3345">
        <v>0</v>
      </c>
      <c r="J278" s="3345">
        <v>0</v>
      </c>
      <c r="K278" s="3345">
        <f t="shared" si="10"/>
        <v>1200584.4528919822</v>
      </c>
      <c r="L278" s="3345">
        <v>0</v>
      </c>
      <c r="M278" s="3345">
        <f t="shared" si="11"/>
        <v>1200584.4528919822</v>
      </c>
      <c r="N278" s="3345"/>
      <c r="O278" s="3346"/>
      <c r="P278" s="2212"/>
      <c r="Q278" s="2209"/>
    </row>
    <row r="279" spans="1:17" s="2207" customFormat="1" ht="16.5" customHeight="1">
      <c r="A279" s="2132">
        <v>266</v>
      </c>
      <c r="B279" s="2132">
        <v>17</v>
      </c>
      <c r="C279" s="3348"/>
      <c r="D279" s="3349" t="s">
        <v>1489</v>
      </c>
      <c r="E279" s="3344" t="s">
        <v>40</v>
      </c>
      <c r="F279" s="3345">
        <v>322857.14285714203</v>
      </c>
      <c r="G279" s="3345">
        <v>667311.31003484002</v>
      </c>
      <c r="H279" s="3345">
        <v>210416</v>
      </c>
      <c r="I279" s="3345">
        <v>0</v>
      </c>
      <c r="J279" s="3345">
        <v>0</v>
      </c>
      <c r="K279" s="3345">
        <f t="shared" si="10"/>
        <v>1200584.4528919822</v>
      </c>
      <c r="L279" s="3345">
        <v>0</v>
      </c>
      <c r="M279" s="3345">
        <f t="shared" si="11"/>
        <v>1200584.4528919822</v>
      </c>
      <c r="N279" s="3345"/>
      <c r="O279" s="3346"/>
      <c r="P279" s="2212"/>
      <c r="Q279" s="2209"/>
    </row>
    <row r="280" spans="1:17" s="2207" customFormat="1" ht="16.5" customHeight="1">
      <c r="A280" s="2132">
        <v>267</v>
      </c>
      <c r="B280" s="2132">
        <v>18</v>
      </c>
      <c r="C280" s="3348"/>
      <c r="D280" s="3349" t="s">
        <v>1490</v>
      </c>
      <c r="E280" s="3344" t="s">
        <v>40</v>
      </c>
      <c r="F280" s="3345">
        <v>322857.14285714203</v>
      </c>
      <c r="G280" s="3345">
        <v>667311.31003484002</v>
      </c>
      <c r="H280" s="3345">
        <v>210416</v>
      </c>
      <c r="I280" s="3345">
        <v>0</v>
      </c>
      <c r="J280" s="3345">
        <v>0</v>
      </c>
      <c r="K280" s="3345">
        <f t="shared" si="10"/>
        <v>1200584.4528919822</v>
      </c>
      <c r="L280" s="3345">
        <v>0</v>
      </c>
      <c r="M280" s="3345">
        <f t="shared" si="11"/>
        <v>1200584.4528919822</v>
      </c>
      <c r="N280" s="3345"/>
      <c r="O280" s="3346"/>
      <c r="P280" s="2212"/>
      <c r="Q280" s="2209"/>
    </row>
    <row r="281" spans="1:17" s="2207" customFormat="1" ht="16.5" customHeight="1">
      <c r="A281" s="2132">
        <v>268</v>
      </c>
      <c r="B281" s="2132">
        <v>19</v>
      </c>
      <c r="C281" s="3348"/>
      <c r="D281" s="3349" t="s">
        <v>1491</v>
      </c>
      <c r="E281" s="3344" t="s">
        <v>40</v>
      </c>
      <c r="F281" s="3345">
        <v>322857.14285714203</v>
      </c>
      <c r="G281" s="3345">
        <v>667311.31003484002</v>
      </c>
      <c r="H281" s="3345">
        <v>210416</v>
      </c>
      <c r="I281" s="3345">
        <v>0</v>
      </c>
      <c r="J281" s="3345">
        <v>0</v>
      </c>
      <c r="K281" s="3345">
        <f t="shared" si="10"/>
        <v>1200584.4528919822</v>
      </c>
      <c r="L281" s="3345">
        <v>0</v>
      </c>
      <c r="M281" s="3345">
        <f t="shared" si="11"/>
        <v>1200584.4528919822</v>
      </c>
      <c r="N281" s="3345"/>
      <c r="O281" s="3346"/>
      <c r="P281" s="2212"/>
      <c r="Q281" s="2209"/>
    </row>
    <row r="282" spans="1:17" s="2207" customFormat="1" ht="16.5" customHeight="1">
      <c r="A282" s="2132">
        <v>269</v>
      </c>
      <c r="B282" s="2132">
        <v>20</v>
      </c>
      <c r="C282" s="3348"/>
      <c r="D282" s="3349" t="s">
        <v>1492</v>
      </c>
      <c r="E282" s="3344" t="s">
        <v>40</v>
      </c>
      <c r="F282" s="3345">
        <v>322857.14285714203</v>
      </c>
      <c r="G282" s="3345">
        <v>667311.31003484002</v>
      </c>
      <c r="H282" s="3345">
        <v>210416</v>
      </c>
      <c r="I282" s="3345">
        <v>0</v>
      </c>
      <c r="J282" s="3345">
        <v>0</v>
      </c>
      <c r="K282" s="3345">
        <f t="shared" si="10"/>
        <v>1200584.4528919822</v>
      </c>
      <c r="L282" s="3345">
        <v>0</v>
      </c>
      <c r="M282" s="3345">
        <f t="shared" si="11"/>
        <v>1200584.4528919822</v>
      </c>
      <c r="N282" s="3345"/>
      <c r="O282" s="3346"/>
      <c r="P282" s="2212"/>
      <c r="Q282" s="2209"/>
    </row>
    <row r="283" spans="1:17" s="2207" customFormat="1" ht="16.5" customHeight="1">
      <c r="A283" s="2132">
        <v>270</v>
      </c>
      <c r="B283" s="2132">
        <v>21</v>
      </c>
      <c r="C283" s="3348"/>
      <c r="D283" s="3349" t="s">
        <v>1493</v>
      </c>
      <c r="E283" s="3344" t="s">
        <v>40</v>
      </c>
      <c r="F283" s="3345">
        <v>172857.142857142</v>
      </c>
      <c r="G283" s="3345">
        <v>877511.97231105133</v>
      </c>
      <c r="H283" s="3345">
        <v>227727.42857142858</v>
      </c>
      <c r="I283" s="3345">
        <v>0</v>
      </c>
      <c r="J283" s="3345">
        <v>0</v>
      </c>
      <c r="K283" s="3345">
        <f t="shared" si="10"/>
        <v>1278096.543739622</v>
      </c>
      <c r="L283" s="3345">
        <v>0</v>
      </c>
      <c r="M283" s="3345">
        <f t="shared" si="11"/>
        <v>1278096.543739622</v>
      </c>
      <c r="N283" s="3345"/>
      <c r="O283" s="3346"/>
      <c r="P283" s="2212"/>
      <c r="Q283" s="2209"/>
    </row>
    <row r="284" spans="1:17" s="2207" customFormat="1" ht="16.5" customHeight="1">
      <c r="A284" s="2132">
        <v>271</v>
      </c>
      <c r="B284" s="2132">
        <v>22</v>
      </c>
      <c r="C284" s="3348"/>
      <c r="D284" s="3349" t="s">
        <v>1494</v>
      </c>
      <c r="E284" s="3344" t="s">
        <v>40</v>
      </c>
      <c r="F284" s="3345">
        <v>172857.142857142</v>
      </c>
      <c r="G284" s="3345">
        <v>877511.97231105133</v>
      </c>
      <c r="H284" s="3345">
        <v>227727.42857142858</v>
      </c>
      <c r="I284" s="3345">
        <v>0</v>
      </c>
      <c r="J284" s="3345">
        <v>0</v>
      </c>
      <c r="K284" s="3345">
        <f t="shared" si="10"/>
        <v>1278096.543739622</v>
      </c>
      <c r="L284" s="3345">
        <v>0</v>
      </c>
      <c r="M284" s="3345">
        <f t="shared" si="11"/>
        <v>1278096.543739622</v>
      </c>
      <c r="N284" s="3345"/>
      <c r="O284" s="3346"/>
      <c r="P284" s="2212"/>
      <c r="Q284" s="2209"/>
    </row>
    <row r="285" spans="1:17" s="2207" customFormat="1" ht="16.5" customHeight="1">
      <c r="A285" s="2132">
        <v>272</v>
      </c>
      <c r="B285" s="2132">
        <v>23</v>
      </c>
      <c r="C285" s="3348"/>
      <c r="D285" s="3349" t="s">
        <v>1495</v>
      </c>
      <c r="E285" s="3344" t="s">
        <v>40</v>
      </c>
      <c r="F285" s="3345">
        <v>172857.142857142</v>
      </c>
      <c r="G285" s="3345">
        <v>877511.97231105133</v>
      </c>
      <c r="H285" s="3345">
        <v>227727.42857142858</v>
      </c>
      <c r="I285" s="3345">
        <v>0</v>
      </c>
      <c r="J285" s="3345">
        <v>0</v>
      </c>
      <c r="K285" s="3345">
        <f t="shared" si="10"/>
        <v>1278096.543739622</v>
      </c>
      <c r="L285" s="3345">
        <v>0</v>
      </c>
      <c r="M285" s="3345">
        <f t="shared" si="11"/>
        <v>1278096.543739622</v>
      </c>
      <c r="N285" s="3345"/>
      <c r="O285" s="3346"/>
      <c r="P285" s="2212"/>
      <c r="Q285" s="2209"/>
    </row>
    <row r="286" spans="1:17" s="2207" customFormat="1" ht="16.5" customHeight="1">
      <c r="A286" s="2132">
        <v>273</v>
      </c>
      <c r="B286" s="2132">
        <v>24</v>
      </c>
      <c r="C286" s="3348"/>
      <c r="D286" s="3349" t="s">
        <v>1496</v>
      </c>
      <c r="E286" s="3344" t="s">
        <v>40</v>
      </c>
      <c r="F286" s="3345">
        <v>172857.142857142</v>
      </c>
      <c r="G286" s="3345">
        <v>877511.97231105133</v>
      </c>
      <c r="H286" s="3345">
        <v>227727.42857142858</v>
      </c>
      <c r="I286" s="3345">
        <v>0</v>
      </c>
      <c r="J286" s="3345">
        <v>0</v>
      </c>
      <c r="K286" s="3345">
        <f t="shared" si="10"/>
        <v>1278096.543739622</v>
      </c>
      <c r="L286" s="3345">
        <v>0</v>
      </c>
      <c r="M286" s="3345">
        <f t="shared" si="11"/>
        <v>1278096.543739622</v>
      </c>
      <c r="N286" s="3345"/>
      <c r="O286" s="3346"/>
      <c r="P286" s="2212"/>
      <c r="Q286" s="2209"/>
    </row>
    <row r="287" spans="1:17" s="2207" customFormat="1" ht="16.5" customHeight="1">
      <c r="A287" s="2132">
        <v>274</v>
      </c>
      <c r="B287" s="2132">
        <v>25</v>
      </c>
      <c r="C287" s="3348"/>
      <c r="D287" s="3349" t="s">
        <v>1497</v>
      </c>
      <c r="E287" s="3344" t="s">
        <v>40</v>
      </c>
      <c r="F287" s="3345">
        <v>172857.142857142</v>
      </c>
      <c r="G287" s="3345">
        <v>877511.97231105133</v>
      </c>
      <c r="H287" s="3345">
        <v>227727.42857142858</v>
      </c>
      <c r="I287" s="3345">
        <v>0</v>
      </c>
      <c r="J287" s="3345">
        <v>0</v>
      </c>
      <c r="K287" s="3345">
        <f t="shared" si="10"/>
        <v>1278096.543739622</v>
      </c>
      <c r="L287" s="3345">
        <v>0</v>
      </c>
      <c r="M287" s="3345">
        <f t="shared" si="11"/>
        <v>1278096.543739622</v>
      </c>
      <c r="N287" s="3345"/>
      <c r="O287" s="3346"/>
      <c r="P287" s="2212"/>
      <c r="Q287" s="2209"/>
    </row>
    <row r="288" spans="1:17" s="2207" customFormat="1" ht="16.5" customHeight="1">
      <c r="A288" s="2132">
        <v>275</v>
      </c>
      <c r="B288" s="2132">
        <v>26</v>
      </c>
      <c r="C288" s="3348"/>
      <c r="D288" s="3349" t="s">
        <v>1498</v>
      </c>
      <c r="E288" s="3344" t="s">
        <v>40</v>
      </c>
      <c r="F288" s="3345">
        <v>172857.142857142</v>
      </c>
      <c r="G288" s="3345">
        <v>877511.97231105133</v>
      </c>
      <c r="H288" s="3345">
        <v>227727.42857142858</v>
      </c>
      <c r="I288" s="3345">
        <v>0</v>
      </c>
      <c r="J288" s="3345">
        <v>0</v>
      </c>
      <c r="K288" s="3345">
        <f t="shared" si="10"/>
        <v>1278096.543739622</v>
      </c>
      <c r="L288" s="3345">
        <v>0</v>
      </c>
      <c r="M288" s="3345">
        <f t="shared" si="11"/>
        <v>1278096.543739622</v>
      </c>
      <c r="N288" s="3345"/>
      <c r="O288" s="3346"/>
      <c r="P288" s="2212"/>
      <c r="Q288" s="2209"/>
    </row>
    <row r="289" spans="1:17" s="2207" customFormat="1" ht="16.5" customHeight="1">
      <c r="A289" s="2132">
        <v>276</v>
      </c>
      <c r="B289" s="2132">
        <v>27</v>
      </c>
      <c r="C289" s="3348"/>
      <c r="D289" s="3349" t="s">
        <v>1499</v>
      </c>
      <c r="E289" s="3344" t="s">
        <v>40</v>
      </c>
      <c r="F289" s="3345">
        <v>172857.142857142</v>
      </c>
      <c r="G289" s="3345">
        <v>877511.97231105133</v>
      </c>
      <c r="H289" s="3345">
        <v>227727.42857142858</v>
      </c>
      <c r="I289" s="3345">
        <v>0</v>
      </c>
      <c r="J289" s="3345">
        <v>0</v>
      </c>
      <c r="K289" s="3345">
        <f t="shared" si="10"/>
        <v>1278096.543739622</v>
      </c>
      <c r="L289" s="3345">
        <v>0</v>
      </c>
      <c r="M289" s="3345">
        <f t="shared" si="11"/>
        <v>1278096.543739622</v>
      </c>
      <c r="N289" s="3345"/>
      <c r="O289" s="3346"/>
      <c r="P289" s="2212"/>
      <c r="Q289" s="2209"/>
    </row>
    <row r="290" spans="1:17" s="2207" customFormat="1" ht="16.5" customHeight="1">
      <c r="A290" s="2132">
        <v>277</v>
      </c>
      <c r="B290" s="2132">
        <v>28</v>
      </c>
      <c r="C290" s="3348"/>
      <c r="D290" s="3349" t="s">
        <v>1500</v>
      </c>
      <c r="E290" s="3344" t="s">
        <v>40</v>
      </c>
      <c r="F290" s="3345">
        <v>172857.142857142</v>
      </c>
      <c r="G290" s="3345">
        <v>833143.27200882696</v>
      </c>
      <c r="H290" s="3345">
        <v>227727.42857142858</v>
      </c>
      <c r="I290" s="3345">
        <v>0</v>
      </c>
      <c r="J290" s="3345">
        <v>0</v>
      </c>
      <c r="K290" s="3345">
        <f t="shared" si="10"/>
        <v>1233727.8434373976</v>
      </c>
      <c r="L290" s="3345">
        <v>0</v>
      </c>
      <c r="M290" s="3345">
        <f t="shared" si="11"/>
        <v>1233727.8434373976</v>
      </c>
      <c r="N290" s="3345"/>
      <c r="O290" s="3346"/>
      <c r="P290" s="2212"/>
      <c r="Q290" s="2209"/>
    </row>
    <row r="291" spans="1:17" s="2207" customFormat="1" ht="16.5" customHeight="1">
      <c r="A291" s="2132">
        <v>278</v>
      </c>
      <c r="B291" s="2132">
        <v>29</v>
      </c>
      <c r="C291" s="3348"/>
      <c r="D291" s="3349" t="s">
        <v>1501</v>
      </c>
      <c r="E291" s="3344" t="s">
        <v>40</v>
      </c>
      <c r="F291" s="3345">
        <v>172857.142857142</v>
      </c>
      <c r="G291" s="3345">
        <v>833143.27200882696</v>
      </c>
      <c r="H291" s="3345">
        <v>227727.42857142858</v>
      </c>
      <c r="I291" s="3345">
        <v>0</v>
      </c>
      <c r="J291" s="3345">
        <v>0</v>
      </c>
      <c r="K291" s="3345">
        <f t="shared" si="10"/>
        <v>1233727.8434373976</v>
      </c>
      <c r="L291" s="3345">
        <v>0</v>
      </c>
      <c r="M291" s="3345">
        <f t="shared" si="11"/>
        <v>1233727.8434373976</v>
      </c>
      <c r="N291" s="3345"/>
      <c r="O291" s="3346"/>
      <c r="P291" s="2212"/>
      <c r="Q291" s="2209"/>
    </row>
    <row r="292" spans="1:17" s="2207" customFormat="1" ht="16.5" customHeight="1">
      <c r="A292" s="2132">
        <v>279</v>
      </c>
      <c r="B292" s="2132">
        <v>30</v>
      </c>
      <c r="C292" s="3348"/>
      <c r="D292" s="3349" t="s">
        <v>1502</v>
      </c>
      <c r="E292" s="3344" t="s">
        <v>40</v>
      </c>
      <c r="F292" s="3345">
        <v>172857.142857142</v>
      </c>
      <c r="G292" s="3345">
        <v>833143.27200882696</v>
      </c>
      <c r="H292" s="3345">
        <v>227727.42857142858</v>
      </c>
      <c r="I292" s="3345">
        <v>0</v>
      </c>
      <c r="J292" s="3345">
        <v>0</v>
      </c>
      <c r="K292" s="3345">
        <f t="shared" si="10"/>
        <v>1233727.8434373976</v>
      </c>
      <c r="L292" s="3345">
        <v>0</v>
      </c>
      <c r="M292" s="3345">
        <f t="shared" si="11"/>
        <v>1233727.8434373976</v>
      </c>
      <c r="N292" s="3345"/>
      <c r="O292" s="3346"/>
      <c r="P292" s="2212"/>
      <c r="Q292" s="2209"/>
    </row>
    <row r="293" spans="1:17" s="2207" customFormat="1" ht="16.5" customHeight="1">
      <c r="A293" s="2132">
        <v>280</v>
      </c>
      <c r="B293" s="2132">
        <v>31</v>
      </c>
      <c r="C293" s="3348"/>
      <c r="D293" s="3349" t="s">
        <v>1503</v>
      </c>
      <c r="E293" s="3344" t="s">
        <v>40</v>
      </c>
      <c r="F293" s="3345">
        <v>172857.142857142</v>
      </c>
      <c r="G293" s="3345">
        <v>833143.27200882696</v>
      </c>
      <c r="H293" s="3345">
        <v>227727.42857142858</v>
      </c>
      <c r="I293" s="3345">
        <v>0</v>
      </c>
      <c r="J293" s="3345">
        <v>0</v>
      </c>
      <c r="K293" s="3345">
        <f t="shared" si="10"/>
        <v>1233727.8434373976</v>
      </c>
      <c r="L293" s="3345">
        <v>0</v>
      </c>
      <c r="M293" s="3345">
        <f t="shared" si="11"/>
        <v>1233727.8434373976</v>
      </c>
      <c r="N293" s="3345"/>
      <c r="O293" s="3346"/>
      <c r="P293" s="2212"/>
      <c r="Q293" s="2209"/>
    </row>
    <row r="294" spans="1:17" s="2207" customFormat="1" ht="16.5" customHeight="1">
      <c r="A294" s="2132">
        <v>281</v>
      </c>
      <c r="B294" s="2132">
        <v>32</v>
      </c>
      <c r="C294" s="3348"/>
      <c r="D294" s="3349" t="s">
        <v>1504</v>
      </c>
      <c r="E294" s="3344" t="s">
        <v>40</v>
      </c>
      <c r="F294" s="3345">
        <v>172857.142857142</v>
      </c>
      <c r="G294" s="3345">
        <v>833143.27200882696</v>
      </c>
      <c r="H294" s="3345">
        <v>227727.42857142858</v>
      </c>
      <c r="I294" s="3345">
        <v>0</v>
      </c>
      <c r="J294" s="3345">
        <v>0</v>
      </c>
      <c r="K294" s="3345">
        <f t="shared" si="10"/>
        <v>1233727.8434373976</v>
      </c>
      <c r="L294" s="3345">
        <v>0</v>
      </c>
      <c r="M294" s="3345">
        <f t="shared" si="11"/>
        <v>1233727.8434373976</v>
      </c>
      <c r="N294" s="3345"/>
      <c r="O294" s="3346"/>
      <c r="P294" s="2212"/>
      <c r="Q294" s="2209"/>
    </row>
    <row r="295" spans="1:17" s="2207" customFormat="1" ht="16.5" customHeight="1">
      <c r="A295" s="2132">
        <v>282</v>
      </c>
      <c r="B295" s="2132">
        <v>33</v>
      </c>
      <c r="C295" s="3348"/>
      <c r="D295" s="3349" t="s">
        <v>1505</v>
      </c>
      <c r="E295" s="3344" t="s">
        <v>40</v>
      </c>
      <c r="F295" s="3345">
        <v>172857.142857142</v>
      </c>
      <c r="G295" s="3345">
        <v>833143.27200882696</v>
      </c>
      <c r="H295" s="3345">
        <v>227727.42857142858</v>
      </c>
      <c r="I295" s="3345">
        <v>0</v>
      </c>
      <c r="J295" s="3345">
        <v>0</v>
      </c>
      <c r="K295" s="3345">
        <f t="shared" ref="K295:K326" si="12">H295+G295+F295</f>
        <v>1233727.8434373976</v>
      </c>
      <c r="L295" s="3345">
        <v>0</v>
      </c>
      <c r="M295" s="3345">
        <f t="shared" si="11"/>
        <v>1233727.8434373976</v>
      </c>
      <c r="N295" s="3345"/>
      <c r="O295" s="3346"/>
      <c r="P295" s="2212"/>
      <c r="Q295" s="2209"/>
    </row>
    <row r="296" spans="1:17" s="2207" customFormat="1" ht="16.5" customHeight="1">
      <c r="A296" s="2132">
        <v>283</v>
      </c>
      <c r="B296" s="2132">
        <v>34</v>
      </c>
      <c r="C296" s="3348"/>
      <c r="D296" s="3349" t="s">
        <v>1506</v>
      </c>
      <c r="E296" s="3344" t="s">
        <v>40</v>
      </c>
      <c r="F296" s="3345">
        <v>172857.142857142</v>
      </c>
      <c r="G296" s="3345">
        <v>833143.27200882696</v>
      </c>
      <c r="H296" s="3345">
        <v>227727.42857142858</v>
      </c>
      <c r="I296" s="3345">
        <v>0</v>
      </c>
      <c r="J296" s="3345">
        <v>0</v>
      </c>
      <c r="K296" s="3345">
        <f t="shared" si="12"/>
        <v>1233727.8434373976</v>
      </c>
      <c r="L296" s="3345">
        <v>0</v>
      </c>
      <c r="M296" s="3345">
        <f t="shared" si="11"/>
        <v>1233727.8434373976</v>
      </c>
      <c r="N296" s="3345"/>
      <c r="O296" s="3346"/>
      <c r="P296" s="2212"/>
      <c r="Q296" s="2209"/>
    </row>
    <row r="297" spans="1:17" s="2207" customFormat="1" ht="16.5" customHeight="1">
      <c r="A297" s="2132">
        <v>284</v>
      </c>
      <c r="B297" s="2132">
        <v>35</v>
      </c>
      <c r="C297" s="3348"/>
      <c r="D297" s="3349" t="s">
        <v>1507</v>
      </c>
      <c r="E297" s="3344" t="s">
        <v>40</v>
      </c>
      <c r="F297" s="3345">
        <v>172857.142857142</v>
      </c>
      <c r="G297" s="3345">
        <v>814957.6650819754</v>
      </c>
      <c r="H297" s="3345">
        <v>227727.42857142858</v>
      </c>
      <c r="I297" s="3345">
        <v>0</v>
      </c>
      <c r="J297" s="3345">
        <v>0</v>
      </c>
      <c r="K297" s="3345">
        <f t="shared" si="12"/>
        <v>1215542.2365105459</v>
      </c>
      <c r="L297" s="3345">
        <v>0</v>
      </c>
      <c r="M297" s="3345">
        <f t="shared" si="11"/>
        <v>1215542.2365105459</v>
      </c>
      <c r="N297" s="3345"/>
      <c r="O297" s="3346"/>
      <c r="P297" s="2212"/>
      <c r="Q297" s="2209"/>
    </row>
    <row r="298" spans="1:17" s="2207" customFormat="1" ht="16.5" customHeight="1">
      <c r="A298" s="2132">
        <v>285</v>
      </c>
      <c r="B298" s="2132">
        <v>36</v>
      </c>
      <c r="C298" s="3348"/>
      <c r="D298" s="3349" t="s">
        <v>1508</v>
      </c>
      <c r="E298" s="3344" t="s">
        <v>40</v>
      </c>
      <c r="F298" s="3345">
        <v>172857.142857142</v>
      </c>
      <c r="G298" s="3345">
        <v>814957.6650819754</v>
      </c>
      <c r="H298" s="3345">
        <v>227727.42857142858</v>
      </c>
      <c r="I298" s="3345">
        <v>0</v>
      </c>
      <c r="J298" s="3345">
        <v>0</v>
      </c>
      <c r="K298" s="3345">
        <f t="shared" si="12"/>
        <v>1215542.2365105459</v>
      </c>
      <c r="L298" s="3345">
        <v>0</v>
      </c>
      <c r="M298" s="3345">
        <f t="shared" si="11"/>
        <v>1215542.2365105459</v>
      </c>
      <c r="N298" s="3345"/>
      <c r="O298" s="3346"/>
      <c r="P298" s="2212"/>
      <c r="Q298" s="2209"/>
    </row>
    <row r="299" spans="1:17" s="2207" customFormat="1" ht="16.5" customHeight="1">
      <c r="A299" s="2132">
        <v>286</v>
      </c>
      <c r="B299" s="2132">
        <v>37</v>
      </c>
      <c r="C299" s="3348"/>
      <c r="D299" s="3349" t="s">
        <v>1509</v>
      </c>
      <c r="E299" s="3344" t="s">
        <v>40</v>
      </c>
      <c r="F299" s="3345">
        <v>172857.142857142</v>
      </c>
      <c r="G299" s="3345">
        <v>814957.6650819754</v>
      </c>
      <c r="H299" s="3345">
        <v>227727.42857142858</v>
      </c>
      <c r="I299" s="3345">
        <v>0</v>
      </c>
      <c r="J299" s="3345">
        <v>0</v>
      </c>
      <c r="K299" s="3345">
        <f t="shared" si="12"/>
        <v>1215542.2365105459</v>
      </c>
      <c r="L299" s="3345">
        <v>0</v>
      </c>
      <c r="M299" s="3345">
        <f t="shared" si="11"/>
        <v>1215542.2365105459</v>
      </c>
      <c r="N299" s="3345"/>
      <c r="O299" s="3346"/>
      <c r="P299" s="2212"/>
      <c r="Q299" s="2209"/>
    </row>
    <row r="300" spans="1:17" s="2207" customFormat="1" ht="16.5" customHeight="1">
      <c r="A300" s="2132">
        <v>287</v>
      </c>
      <c r="B300" s="2132">
        <v>38</v>
      </c>
      <c r="C300" s="3348"/>
      <c r="D300" s="3349" t="s">
        <v>1510</v>
      </c>
      <c r="E300" s="3344" t="s">
        <v>40</v>
      </c>
      <c r="F300" s="3345">
        <v>172857.142857142</v>
      </c>
      <c r="G300" s="3345">
        <v>814957.6650819754</v>
      </c>
      <c r="H300" s="3345">
        <v>227727.42857142858</v>
      </c>
      <c r="I300" s="3345">
        <v>0</v>
      </c>
      <c r="J300" s="3345">
        <v>0</v>
      </c>
      <c r="K300" s="3345">
        <f t="shared" si="12"/>
        <v>1215542.2365105459</v>
      </c>
      <c r="L300" s="3345">
        <v>0</v>
      </c>
      <c r="M300" s="3345">
        <f t="shared" si="11"/>
        <v>1215542.2365105459</v>
      </c>
      <c r="N300" s="3345"/>
      <c r="O300" s="3346"/>
      <c r="P300" s="2212"/>
      <c r="Q300" s="2209"/>
    </row>
    <row r="301" spans="1:17" s="2207" customFormat="1" ht="16.5" customHeight="1">
      <c r="A301" s="2132">
        <v>288</v>
      </c>
      <c r="B301" s="2132">
        <v>39</v>
      </c>
      <c r="C301" s="3348"/>
      <c r="D301" s="3349" t="s">
        <v>1511</v>
      </c>
      <c r="E301" s="3344" t="s">
        <v>40</v>
      </c>
      <c r="F301" s="3345">
        <v>172857.142857142</v>
      </c>
      <c r="G301" s="3345">
        <v>814957.6650819754</v>
      </c>
      <c r="H301" s="3345">
        <v>227727.42857142858</v>
      </c>
      <c r="I301" s="3345">
        <v>0</v>
      </c>
      <c r="J301" s="3345">
        <v>0</v>
      </c>
      <c r="K301" s="3345">
        <f t="shared" si="12"/>
        <v>1215542.2365105459</v>
      </c>
      <c r="L301" s="3345">
        <v>0</v>
      </c>
      <c r="M301" s="3345">
        <f t="shared" si="11"/>
        <v>1215542.2365105459</v>
      </c>
      <c r="N301" s="3345"/>
      <c r="O301" s="3346"/>
      <c r="P301" s="2212"/>
      <c r="Q301" s="2209"/>
    </row>
    <row r="302" spans="1:17" s="2207" customFormat="1" ht="16.5" customHeight="1">
      <c r="A302" s="2132">
        <v>289</v>
      </c>
      <c r="B302" s="2132">
        <v>40</v>
      </c>
      <c r="C302" s="3348"/>
      <c r="D302" s="3349" t="s">
        <v>1512</v>
      </c>
      <c r="E302" s="3344" t="s">
        <v>40</v>
      </c>
      <c r="F302" s="3345">
        <v>172857.142857142</v>
      </c>
      <c r="G302" s="3345">
        <v>814957.6650819754</v>
      </c>
      <c r="H302" s="3345">
        <v>227727.42857142858</v>
      </c>
      <c r="I302" s="3345">
        <v>0</v>
      </c>
      <c r="J302" s="3345">
        <v>0</v>
      </c>
      <c r="K302" s="3345">
        <f t="shared" si="12"/>
        <v>1215542.2365105459</v>
      </c>
      <c r="L302" s="3345">
        <v>0</v>
      </c>
      <c r="M302" s="3345">
        <f t="shared" si="11"/>
        <v>1215542.2365105459</v>
      </c>
      <c r="N302" s="3345"/>
      <c r="O302" s="3346"/>
      <c r="P302" s="2212"/>
      <c r="Q302" s="2209"/>
    </row>
    <row r="303" spans="1:17" s="2207" customFormat="1" ht="16.5" customHeight="1">
      <c r="A303" s="2132">
        <v>290</v>
      </c>
      <c r="B303" s="2132">
        <v>41</v>
      </c>
      <c r="C303" s="3348"/>
      <c r="D303" s="3349" t="s">
        <v>1513</v>
      </c>
      <c r="E303" s="3344" t="s">
        <v>40</v>
      </c>
      <c r="F303" s="3345">
        <v>172857.142857142</v>
      </c>
      <c r="G303" s="3345">
        <v>814957.6650819754</v>
      </c>
      <c r="H303" s="3345">
        <v>227727.42857142858</v>
      </c>
      <c r="I303" s="3345">
        <v>0</v>
      </c>
      <c r="J303" s="3345">
        <v>0</v>
      </c>
      <c r="K303" s="3345">
        <f t="shared" si="12"/>
        <v>1215542.2365105459</v>
      </c>
      <c r="L303" s="3345">
        <v>0</v>
      </c>
      <c r="M303" s="3345">
        <f t="shared" si="11"/>
        <v>1215542.2365105459</v>
      </c>
      <c r="N303" s="3345"/>
      <c r="O303" s="3346"/>
      <c r="P303" s="2212"/>
      <c r="Q303" s="2209"/>
    </row>
    <row r="304" spans="1:17" s="2207" customFormat="1" ht="16.5" customHeight="1">
      <c r="A304" s="2132">
        <v>291</v>
      </c>
      <c r="B304" s="2132">
        <v>42</v>
      </c>
      <c r="C304" s="3348"/>
      <c r="D304" s="3349" t="s">
        <v>1514</v>
      </c>
      <c r="E304" s="3344" t="s">
        <v>40</v>
      </c>
      <c r="F304" s="3345">
        <v>172857.142857142</v>
      </c>
      <c r="G304" s="3345">
        <v>854815.49874648161</v>
      </c>
      <c r="H304" s="3345">
        <v>227727.42857142858</v>
      </c>
      <c r="I304" s="3345">
        <v>0</v>
      </c>
      <c r="J304" s="3345">
        <v>0</v>
      </c>
      <c r="K304" s="3345">
        <f t="shared" si="12"/>
        <v>1255400.0701750522</v>
      </c>
      <c r="L304" s="3345">
        <v>0</v>
      </c>
      <c r="M304" s="3345">
        <f t="shared" si="11"/>
        <v>1255400.0701750522</v>
      </c>
      <c r="N304" s="3345"/>
      <c r="O304" s="3346"/>
      <c r="P304" s="2212"/>
      <c r="Q304" s="2209"/>
    </row>
    <row r="305" spans="1:17" s="2207" customFormat="1" ht="16.5" customHeight="1">
      <c r="A305" s="2132">
        <v>292</v>
      </c>
      <c r="B305" s="2132">
        <v>43</v>
      </c>
      <c r="C305" s="3348"/>
      <c r="D305" s="3349" t="s">
        <v>1461</v>
      </c>
      <c r="E305" s="3344" t="s">
        <v>40</v>
      </c>
      <c r="F305" s="3345">
        <v>172857.142857142</v>
      </c>
      <c r="G305" s="3345">
        <v>854815.49874648161</v>
      </c>
      <c r="H305" s="3345">
        <v>227727.42857142858</v>
      </c>
      <c r="I305" s="3345">
        <v>0</v>
      </c>
      <c r="J305" s="3345">
        <v>0</v>
      </c>
      <c r="K305" s="3345">
        <f t="shared" si="12"/>
        <v>1255400.0701750522</v>
      </c>
      <c r="L305" s="3345">
        <v>0</v>
      </c>
      <c r="M305" s="3345">
        <f t="shared" si="11"/>
        <v>1255400.0701750522</v>
      </c>
      <c r="N305" s="3345"/>
      <c r="O305" s="3346"/>
      <c r="P305" s="2212"/>
      <c r="Q305" s="2209"/>
    </row>
    <row r="306" spans="1:17" s="2207" customFormat="1" ht="16.5" customHeight="1">
      <c r="A306" s="2132">
        <v>293</v>
      </c>
      <c r="B306" s="2132">
        <v>44</v>
      </c>
      <c r="C306" s="3348"/>
      <c r="D306" s="3349" t="s">
        <v>1515</v>
      </c>
      <c r="E306" s="3344" t="s">
        <v>40</v>
      </c>
      <c r="F306" s="3345">
        <v>172857.142857142</v>
      </c>
      <c r="G306" s="3345">
        <v>854815.49874648161</v>
      </c>
      <c r="H306" s="3345">
        <v>227727.42857142858</v>
      </c>
      <c r="I306" s="3345">
        <v>0</v>
      </c>
      <c r="J306" s="3345">
        <v>0</v>
      </c>
      <c r="K306" s="3345">
        <f t="shared" si="12"/>
        <v>1255400.0701750522</v>
      </c>
      <c r="L306" s="3345">
        <v>0</v>
      </c>
      <c r="M306" s="3345">
        <f t="shared" si="11"/>
        <v>1255400.0701750522</v>
      </c>
      <c r="N306" s="3345"/>
      <c r="O306" s="3346"/>
      <c r="P306" s="2212"/>
      <c r="Q306" s="2209"/>
    </row>
    <row r="307" spans="1:17" s="2207" customFormat="1" ht="16.5" customHeight="1">
      <c r="A307" s="2132">
        <v>294</v>
      </c>
      <c r="B307" s="2132">
        <v>45</v>
      </c>
      <c r="C307" s="3348"/>
      <c r="D307" s="3349" t="s">
        <v>1516</v>
      </c>
      <c r="E307" s="3344" t="s">
        <v>40</v>
      </c>
      <c r="F307" s="3345">
        <v>172857.142857142</v>
      </c>
      <c r="G307" s="3345">
        <v>854815.49874648161</v>
      </c>
      <c r="H307" s="3345">
        <v>227727.42857142858</v>
      </c>
      <c r="I307" s="3345">
        <v>0</v>
      </c>
      <c r="J307" s="3345">
        <v>0</v>
      </c>
      <c r="K307" s="3345">
        <f t="shared" si="12"/>
        <v>1255400.0701750522</v>
      </c>
      <c r="L307" s="3345">
        <v>0</v>
      </c>
      <c r="M307" s="3345">
        <f t="shared" si="11"/>
        <v>1255400.0701750522</v>
      </c>
      <c r="N307" s="3345"/>
      <c r="O307" s="3346"/>
      <c r="P307" s="2212"/>
      <c r="Q307" s="2209"/>
    </row>
    <row r="308" spans="1:17" s="2207" customFormat="1" ht="16.5" customHeight="1">
      <c r="A308" s="2132">
        <v>295</v>
      </c>
      <c r="B308" s="2132">
        <v>46</v>
      </c>
      <c r="C308" s="3348"/>
      <c r="D308" s="3349" t="s">
        <v>1517</v>
      </c>
      <c r="E308" s="3344" t="s">
        <v>40</v>
      </c>
      <c r="F308" s="3345">
        <v>172857.142857142</v>
      </c>
      <c r="G308" s="3345">
        <v>854815.49874648161</v>
      </c>
      <c r="H308" s="3345">
        <v>227727.42857142858</v>
      </c>
      <c r="I308" s="3345">
        <v>0</v>
      </c>
      <c r="J308" s="3345">
        <v>0</v>
      </c>
      <c r="K308" s="3345">
        <f t="shared" si="12"/>
        <v>1255400.0701750522</v>
      </c>
      <c r="L308" s="3345">
        <v>0</v>
      </c>
      <c r="M308" s="3345">
        <f t="shared" si="11"/>
        <v>1255400.0701750522</v>
      </c>
      <c r="N308" s="3345"/>
      <c r="O308" s="3346"/>
      <c r="P308" s="2212"/>
      <c r="Q308" s="2209"/>
    </row>
    <row r="309" spans="1:17" s="2207" customFormat="1" ht="16.5" customHeight="1">
      <c r="A309" s="2132">
        <v>296</v>
      </c>
      <c r="B309" s="2132">
        <v>47</v>
      </c>
      <c r="C309" s="3348"/>
      <c r="D309" s="3349" t="s">
        <v>1518</v>
      </c>
      <c r="E309" s="3344" t="s">
        <v>40</v>
      </c>
      <c r="F309" s="3345">
        <v>172857.142857142</v>
      </c>
      <c r="G309" s="3345">
        <v>854815.49874648161</v>
      </c>
      <c r="H309" s="3345">
        <v>227727.42857142858</v>
      </c>
      <c r="I309" s="3345">
        <v>0</v>
      </c>
      <c r="J309" s="3345">
        <v>0</v>
      </c>
      <c r="K309" s="3345">
        <f t="shared" si="12"/>
        <v>1255400.0701750522</v>
      </c>
      <c r="L309" s="3345">
        <v>0</v>
      </c>
      <c r="M309" s="3345">
        <f t="shared" si="11"/>
        <v>1255400.0701750522</v>
      </c>
      <c r="N309" s="3345"/>
      <c r="O309" s="3346"/>
      <c r="P309" s="2212"/>
      <c r="Q309" s="2209"/>
    </row>
    <row r="310" spans="1:17" s="2207" customFormat="1" ht="16.5" customHeight="1">
      <c r="A310" s="2132">
        <v>297</v>
      </c>
      <c r="B310" s="2132">
        <v>48</v>
      </c>
      <c r="C310" s="3348"/>
      <c r="D310" s="3349" t="s">
        <v>1519</v>
      </c>
      <c r="E310" s="3344" t="s">
        <v>40</v>
      </c>
      <c r="F310" s="3345">
        <v>172857.142857142</v>
      </c>
      <c r="G310" s="3345">
        <v>854815.49874648161</v>
      </c>
      <c r="H310" s="3345">
        <v>227727.42857142858</v>
      </c>
      <c r="I310" s="3345">
        <v>0</v>
      </c>
      <c r="J310" s="3345">
        <v>0</v>
      </c>
      <c r="K310" s="3345">
        <f t="shared" si="12"/>
        <v>1255400.0701750522</v>
      </c>
      <c r="L310" s="3345">
        <v>0</v>
      </c>
      <c r="M310" s="3345">
        <f t="shared" si="11"/>
        <v>1255400.0701750522</v>
      </c>
      <c r="N310" s="3345"/>
      <c r="O310" s="3346"/>
      <c r="P310" s="2212"/>
      <c r="Q310" s="2209"/>
    </row>
    <row r="311" spans="1:17" s="2207" customFormat="1" ht="16.5" customHeight="1">
      <c r="A311" s="2132">
        <v>298</v>
      </c>
      <c r="B311" s="2132">
        <v>49</v>
      </c>
      <c r="C311" s="3348"/>
      <c r="D311" s="3349" t="s">
        <v>564</v>
      </c>
      <c r="E311" s="3344" t="s">
        <v>40</v>
      </c>
      <c r="F311" s="3345">
        <v>11428.571428571429</v>
      </c>
      <c r="G311" s="3345">
        <v>969397.3641835273</v>
      </c>
      <c r="H311" s="3345">
        <v>206116.28571428571</v>
      </c>
      <c r="I311" s="3345">
        <v>0</v>
      </c>
      <c r="J311" s="3345">
        <v>0</v>
      </c>
      <c r="K311" s="3345">
        <f t="shared" si="12"/>
        <v>1186942.2213263845</v>
      </c>
      <c r="L311" s="3345">
        <v>0</v>
      </c>
      <c r="M311" s="3345">
        <f t="shared" si="11"/>
        <v>1186942.2213263845</v>
      </c>
      <c r="N311" s="3345"/>
      <c r="O311" s="3346"/>
      <c r="P311" s="2212"/>
      <c r="Q311" s="2209"/>
    </row>
    <row r="312" spans="1:17" s="2207" customFormat="1" ht="16.5" customHeight="1">
      <c r="A312" s="2132">
        <v>299</v>
      </c>
      <c r="B312" s="2132">
        <v>50</v>
      </c>
      <c r="C312" s="3348"/>
      <c r="D312" s="3349" t="s">
        <v>1520</v>
      </c>
      <c r="E312" s="3344" t="s">
        <v>40</v>
      </c>
      <c r="F312" s="3345">
        <v>11428.571428571429</v>
      </c>
      <c r="G312" s="3345">
        <v>969397.3641835273</v>
      </c>
      <c r="H312" s="3345">
        <v>206116.28571428571</v>
      </c>
      <c r="I312" s="3345">
        <v>0</v>
      </c>
      <c r="J312" s="3345">
        <v>0</v>
      </c>
      <c r="K312" s="3345">
        <f t="shared" si="12"/>
        <v>1186942.2213263845</v>
      </c>
      <c r="L312" s="3345">
        <v>0</v>
      </c>
      <c r="M312" s="3345">
        <f t="shared" si="11"/>
        <v>1186942.2213263845</v>
      </c>
      <c r="N312" s="3345"/>
      <c r="O312" s="3346"/>
      <c r="P312" s="2212"/>
      <c r="Q312" s="2209"/>
    </row>
    <row r="313" spans="1:17" s="2207" customFormat="1" ht="16.5" customHeight="1">
      <c r="A313" s="2132">
        <v>300</v>
      </c>
      <c r="B313" s="2132">
        <v>51</v>
      </c>
      <c r="C313" s="3348"/>
      <c r="D313" s="3349" t="s">
        <v>1521</v>
      </c>
      <c r="E313" s="3344" t="s">
        <v>40</v>
      </c>
      <c r="F313" s="3345">
        <v>11428.571428571429</v>
      </c>
      <c r="G313" s="3345">
        <v>969397.3641835273</v>
      </c>
      <c r="H313" s="3345">
        <v>206116.28571428571</v>
      </c>
      <c r="I313" s="3345">
        <v>0</v>
      </c>
      <c r="J313" s="3345">
        <v>0</v>
      </c>
      <c r="K313" s="3345">
        <f t="shared" si="12"/>
        <v>1186942.2213263845</v>
      </c>
      <c r="L313" s="3345">
        <v>0</v>
      </c>
      <c r="M313" s="3345">
        <f t="shared" si="11"/>
        <v>1186942.2213263845</v>
      </c>
      <c r="N313" s="3345"/>
      <c r="O313" s="3346"/>
      <c r="P313" s="2212"/>
      <c r="Q313" s="2209"/>
    </row>
    <row r="314" spans="1:17" s="2207" customFormat="1" ht="16.5" customHeight="1">
      <c r="A314" s="2132">
        <v>301</v>
      </c>
      <c r="B314" s="2132">
        <v>52</v>
      </c>
      <c r="C314" s="3348"/>
      <c r="D314" s="3349" t="s">
        <v>1522</v>
      </c>
      <c r="E314" s="3344" t="s">
        <v>40</v>
      </c>
      <c r="F314" s="3345">
        <v>11428.571428571429</v>
      </c>
      <c r="G314" s="3345">
        <v>969397.3641835273</v>
      </c>
      <c r="H314" s="3345">
        <v>206116.28571428571</v>
      </c>
      <c r="I314" s="3345">
        <v>0</v>
      </c>
      <c r="J314" s="3345">
        <v>0</v>
      </c>
      <c r="K314" s="3345">
        <f t="shared" si="12"/>
        <v>1186942.2213263845</v>
      </c>
      <c r="L314" s="3345">
        <v>0</v>
      </c>
      <c r="M314" s="3345">
        <f t="shared" si="11"/>
        <v>1186942.2213263845</v>
      </c>
      <c r="N314" s="3345"/>
      <c r="O314" s="3346"/>
      <c r="P314" s="2212"/>
      <c r="Q314" s="2209"/>
    </row>
    <row r="315" spans="1:17" s="2207" customFormat="1" ht="16.5" customHeight="1">
      <c r="A315" s="2132">
        <v>302</v>
      </c>
      <c r="B315" s="2132">
        <v>53</v>
      </c>
      <c r="C315" s="3348"/>
      <c r="D315" s="3349" t="s">
        <v>1523</v>
      </c>
      <c r="E315" s="3344" t="s">
        <v>40</v>
      </c>
      <c r="F315" s="3345">
        <v>11428.571428571429</v>
      </c>
      <c r="G315" s="3345">
        <v>969397.3641835273</v>
      </c>
      <c r="H315" s="3345">
        <v>206116.28571428571</v>
      </c>
      <c r="I315" s="3345">
        <v>0</v>
      </c>
      <c r="J315" s="3345">
        <v>0</v>
      </c>
      <c r="K315" s="3345">
        <f t="shared" si="12"/>
        <v>1186942.2213263845</v>
      </c>
      <c r="L315" s="3345">
        <v>0</v>
      </c>
      <c r="M315" s="3345">
        <f t="shared" si="11"/>
        <v>1186942.2213263845</v>
      </c>
      <c r="N315" s="3345"/>
      <c r="O315" s="3346"/>
      <c r="P315" s="2212"/>
      <c r="Q315" s="2209"/>
    </row>
    <row r="316" spans="1:17" s="2207" customFormat="1" ht="16.5" customHeight="1">
      <c r="A316" s="2132">
        <v>303</v>
      </c>
      <c r="B316" s="2132">
        <v>54</v>
      </c>
      <c r="C316" s="3348"/>
      <c r="D316" s="3349" t="s">
        <v>1403</v>
      </c>
      <c r="E316" s="3344" t="s">
        <v>40</v>
      </c>
      <c r="F316" s="3345">
        <v>11428.571428571429</v>
      </c>
      <c r="G316" s="3345">
        <v>969397.3641835273</v>
      </c>
      <c r="H316" s="3345">
        <v>206116.28571428571</v>
      </c>
      <c r="I316" s="3345">
        <v>0</v>
      </c>
      <c r="J316" s="3345">
        <v>0</v>
      </c>
      <c r="K316" s="3345">
        <f t="shared" si="12"/>
        <v>1186942.2213263845</v>
      </c>
      <c r="L316" s="3345">
        <v>0</v>
      </c>
      <c r="M316" s="3345">
        <f t="shared" si="11"/>
        <v>1186942.2213263845</v>
      </c>
      <c r="N316" s="3345"/>
      <c r="O316" s="3346"/>
      <c r="P316" s="2212"/>
      <c r="Q316" s="2209"/>
    </row>
    <row r="317" spans="1:17" s="2207" customFormat="1" ht="16.5" customHeight="1">
      <c r="A317" s="2132">
        <v>304</v>
      </c>
      <c r="B317" s="2132">
        <v>55</v>
      </c>
      <c r="C317" s="3348"/>
      <c r="D317" s="3349" t="s">
        <v>1524</v>
      </c>
      <c r="E317" s="3344" t="s">
        <v>40</v>
      </c>
      <c r="F317" s="3345">
        <v>11428.571428571429</v>
      </c>
      <c r="G317" s="3345">
        <v>969397.3641835273</v>
      </c>
      <c r="H317" s="3345">
        <v>206116.28571428571</v>
      </c>
      <c r="I317" s="3345">
        <v>0</v>
      </c>
      <c r="J317" s="3345">
        <v>0</v>
      </c>
      <c r="K317" s="3345">
        <f t="shared" si="12"/>
        <v>1186942.2213263845</v>
      </c>
      <c r="L317" s="3345">
        <v>0</v>
      </c>
      <c r="M317" s="3345">
        <f t="shared" si="11"/>
        <v>1186942.2213263845</v>
      </c>
      <c r="N317" s="3345"/>
      <c r="O317" s="3346"/>
      <c r="P317" s="2212"/>
      <c r="Q317" s="2209"/>
    </row>
    <row r="318" spans="1:17" s="2207" customFormat="1" ht="16.5" customHeight="1">
      <c r="A318" s="2132">
        <v>305</v>
      </c>
      <c r="B318" s="2132">
        <v>56</v>
      </c>
      <c r="C318" s="3348"/>
      <c r="D318" s="3349" t="s">
        <v>1525</v>
      </c>
      <c r="E318" s="3344" t="s">
        <v>40</v>
      </c>
      <c r="F318" s="3345">
        <v>11428.571428571429</v>
      </c>
      <c r="G318" s="3345">
        <v>984447.52164023207</v>
      </c>
      <c r="H318" s="3345">
        <v>206116.28571428571</v>
      </c>
      <c r="I318" s="3345">
        <v>0</v>
      </c>
      <c r="J318" s="3345">
        <v>0</v>
      </c>
      <c r="K318" s="3345">
        <f t="shared" si="12"/>
        <v>1201992.3787830891</v>
      </c>
      <c r="L318" s="3345">
        <v>0</v>
      </c>
      <c r="M318" s="3345">
        <f t="shared" si="11"/>
        <v>1201992.3787830891</v>
      </c>
      <c r="N318" s="3345"/>
      <c r="O318" s="3346"/>
      <c r="P318" s="2212"/>
      <c r="Q318" s="2209"/>
    </row>
    <row r="319" spans="1:17" s="2207" customFormat="1" ht="16.5" customHeight="1">
      <c r="A319" s="2132">
        <v>306</v>
      </c>
      <c r="B319" s="2132">
        <v>57</v>
      </c>
      <c r="C319" s="3348"/>
      <c r="D319" s="3349" t="s">
        <v>1526</v>
      </c>
      <c r="E319" s="3344" t="s">
        <v>40</v>
      </c>
      <c r="F319" s="3345">
        <v>11428.571428571429</v>
      </c>
      <c r="G319" s="3345">
        <v>984447.52164023207</v>
      </c>
      <c r="H319" s="3345">
        <v>206116.28571428571</v>
      </c>
      <c r="I319" s="3345">
        <v>0</v>
      </c>
      <c r="J319" s="3345">
        <v>0</v>
      </c>
      <c r="K319" s="3345">
        <f t="shared" si="12"/>
        <v>1201992.3787830891</v>
      </c>
      <c r="L319" s="3345">
        <v>0</v>
      </c>
      <c r="M319" s="3345">
        <f t="shared" si="11"/>
        <v>1201992.3787830891</v>
      </c>
      <c r="N319" s="3345"/>
      <c r="O319" s="3346"/>
      <c r="P319" s="2212"/>
      <c r="Q319" s="2209"/>
    </row>
    <row r="320" spans="1:17" s="2207" customFormat="1" ht="16.5" customHeight="1">
      <c r="A320" s="2132">
        <v>307</v>
      </c>
      <c r="B320" s="2132">
        <v>58</v>
      </c>
      <c r="C320" s="3348"/>
      <c r="D320" s="3349" t="s">
        <v>1527</v>
      </c>
      <c r="E320" s="3344" t="s">
        <v>40</v>
      </c>
      <c r="F320" s="3345">
        <v>11428.571428571429</v>
      </c>
      <c r="G320" s="3345">
        <v>984447.52164023207</v>
      </c>
      <c r="H320" s="3345">
        <v>206116.28571428571</v>
      </c>
      <c r="I320" s="3345">
        <v>0</v>
      </c>
      <c r="J320" s="3345">
        <v>0</v>
      </c>
      <c r="K320" s="3345">
        <f t="shared" si="12"/>
        <v>1201992.3787830891</v>
      </c>
      <c r="L320" s="3345">
        <v>0</v>
      </c>
      <c r="M320" s="3345">
        <f t="shared" si="11"/>
        <v>1201992.3787830891</v>
      </c>
      <c r="N320" s="3345"/>
      <c r="O320" s="3346"/>
      <c r="P320" s="2212"/>
      <c r="Q320" s="2209"/>
    </row>
    <row r="321" spans="1:17" s="2207" customFormat="1" ht="16.5" customHeight="1">
      <c r="A321" s="2132">
        <v>308</v>
      </c>
      <c r="B321" s="2132">
        <v>59</v>
      </c>
      <c r="C321" s="3348"/>
      <c r="D321" s="3349" t="s">
        <v>1528</v>
      </c>
      <c r="E321" s="3344" t="s">
        <v>40</v>
      </c>
      <c r="F321" s="3345">
        <v>11428.571428571429</v>
      </c>
      <c r="G321" s="3345">
        <v>984447.52164023207</v>
      </c>
      <c r="H321" s="3345">
        <v>206116.28571428571</v>
      </c>
      <c r="I321" s="3345">
        <v>0</v>
      </c>
      <c r="J321" s="3345">
        <v>0</v>
      </c>
      <c r="K321" s="3345">
        <f t="shared" si="12"/>
        <v>1201992.3787830891</v>
      </c>
      <c r="L321" s="3345">
        <v>0</v>
      </c>
      <c r="M321" s="3345">
        <f t="shared" si="11"/>
        <v>1201992.3787830891</v>
      </c>
      <c r="N321" s="3345"/>
      <c r="O321" s="3346"/>
      <c r="P321" s="2212"/>
      <c r="Q321" s="2209"/>
    </row>
    <row r="322" spans="1:17" s="2207" customFormat="1" ht="16.5" customHeight="1">
      <c r="A322" s="2132">
        <v>309</v>
      </c>
      <c r="B322" s="2132">
        <v>60</v>
      </c>
      <c r="C322" s="3348"/>
      <c r="D322" s="3349" t="s">
        <v>1529</v>
      </c>
      <c r="E322" s="3344" t="s">
        <v>40</v>
      </c>
      <c r="F322" s="3345">
        <v>11428.571428571429</v>
      </c>
      <c r="G322" s="3345">
        <v>984447.52164023207</v>
      </c>
      <c r="H322" s="3345">
        <v>206116.28571428571</v>
      </c>
      <c r="I322" s="3345">
        <v>0</v>
      </c>
      <c r="J322" s="3345">
        <v>0</v>
      </c>
      <c r="K322" s="3345">
        <f t="shared" si="12"/>
        <v>1201992.3787830891</v>
      </c>
      <c r="L322" s="3345">
        <v>0</v>
      </c>
      <c r="M322" s="3345">
        <f t="shared" si="11"/>
        <v>1201992.3787830891</v>
      </c>
      <c r="N322" s="3345"/>
      <c r="O322" s="3346"/>
      <c r="P322" s="2212"/>
      <c r="Q322" s="2209"/>
    </row>
    <row r="323" spans="1:17" s="2207" customFormat="1" ht="16.5" customHeight="1">
      <c r="A323" s="2132">
        <v>310</v>
      </c>
      <c r="B323" s="2132">
        <v>61</v>
      </c>
      <c r="C323" s="3348"/>
      <c r="D323" s="3349" t="s">
        <v>1530</v>
      </c>
      <c r="E323" s="3344" t="s">
        <v>40</v>
      </c>
      <c r="F323" s="3345">
        <v>11428.571428571429</v>
      </c>
      <c r="G323" s="3345">
        <v>984447.52164023207</v>
      </c>
      <c r="H323" s="3345">
        <v>206116.28571428571</v>
      </c>
      <c r="I323" s="3345">
        <v>0</v>
      </c>
      <c r="J323" s="3345">
        <v>0</v>
      </c>
      <c r="K323" s="3345">
        <f t="shared" si="12"/>
        <v>1201992.3787830891</v>
      </c>
      <c r="L323" s="3345">
        <v>0</v>
      </c>
      <c r="M323" s="3345">
        <f t="shared" si="11"/>
        <v>1201992.3787830891</v>
      </c>
      <c r="N323" s="3345"/>
      <c r="O323" s="3346"/>
      <c r="P323" s="2212"/>
      <c r="Q323" s="2209"/>
    </row>
    <row r="324" spans="1:17" s="2207" customFormat="1" ht="16.5" customHeight="1">
      <c r="A324" s="2132">
        <v>311</v>
      </c>
      <c r="B324" s="2132">
        <v>62</v>
      </c>
      <c r="C324" s="3348"/>
      <c r="D324" s="3349" t="s">
        <v>1531</v>
      </c>
      <c r="E324" s="3344" t="s">
        <v>40</v>
      </c>
      <c r="F324" s="3345">
        <v>11428.571428571429</v>
      </c>
      <c r="G324" s="3345">
        <v>984447.52164023207</v>
      </c>
      <c r="H324" s="3345">
        <v>206116.28571428571</v>
      </c>
      <c r="I324" s="3345">
        <v>0</v>
      </c>
      <c r="J324" s="3345">
        <v>0</v>
      </c>
      <c r="K324" s="3345">
        <f t="shared" si="12"/>
        <v>1201992.3787830891</v>
      </c>
      <c r="L324" s="3345">
        <v>0</v>
      </c>
      <c r="M324" s="3345">
        <f t="shared" si="11"/>
        <v>1201992.3787830891</v>
      </c>
      <c r="N324" s="3345"/>
      <c r="O324" s="3346"/>
      <c r="P324" s="2212"/>
      <c r="Q324" s="2209"/>
    </row>
    <row r="325" spans="1:17" s="2207" customFormat="1" ht="16.5" customHeight="1">
      <c r="A325" s="2132">
        <v>312</v>
      </c>
      <c r="B325" s="2132">
        <v>63</v>
      </c>
      <c r="C325" s="3348"/>
      <c r="D325" s="3349" t="s">
        <v>1532</v>
      </c>
      <c r="E325" s="3344" t="s">
        <v>40</v>
      </c>
      <c r="F325" s="3345">
        <v>22857.142857142859</v>
      </c>
      <c r="G325" s="3345">
        <v>834159.15763715445</v>
      </c>
      <c r="H325" s="3345">
        <v>220523.71428571429</v>
      </c>
      <c r="I325" s="3345">
        <v>0</v>
      </c>
      <c r="J325" s="3345">
        <v>0</v>
      </c>
      <c r="K325" s="3345">
        <f t="shared" si="12"/>
        <v>1077540.0147800117</v>
      </c>
      <c r="L325" s="3345">
        <v>0</v>
      </c>
      <c r="M325" s="3345">
        <f t="shared" si="11"/>
        <v>1077540.0147800117</v>
      </c>
      <c r="N325" s="3345"/>
      <c r="O325" s="3346"/>
      <c r="P325" s="2212"/>
      <c r="Q325" s="2209"/>
    </row>
    <row r="326" spans="1:17" s="2207" customFormat="1" ht="16.5" customHeight="1">
      <c r="A326" s="2132">
        <v>313</v>
      </c>
      <c r="B326" s="2132">
        <v>64</v>
      </c>
      <c r="C326" s="3348"/>
      <c r="D326" s="3349" t="s">
        <v>1533</v>
      </c>
      <c r="E326" s="3344" t="s">
        <v>40</v>
      </c>
      <c r="F326" s="3345">
        <v>22857.142857142859</v>
      </c>
      <c r="G326" s="3345">
        <v>834159.15763715445</v>
      </c>
      <c r="H326" s="3345">
        <v>220523.71428571429</v>
      </c>
      <c r="I326" s="3345">
        <v>0</v>
      </c>
      <c r="J326" s="3345">
        <v>0</v>
      </c>
      <c r="K326" s="3345">
        <f t="shared" si="12"/>
        <v>1077540.0147800117</v>
      </c>
      <c r="L326" s="3345">
        <v>0</v>
      </c>
      <c r="M326" s="3345">
        <f t="shared" si="11"/>
        <v>1077540.0147800117</v>
      </c>
      <c r="N326" s="3345"/>
      <c r="O326" s="3346"/>
      <c r="P326" s="2212"/>
      <c r="Q326" s="2209"/>
    </row>
    <row r="327" spans="1:17" s="2207" customFormat="1" ht="16.5" customHeight="1">
      <c r="A327" s="2132">
        <v>314</v>
      </c>
      <c r="B327" s="2132">
        <v>65</v>
      </c>
      <c r="C327" s="3348"/>
      <c r="D327" s="3349" t="s">
        <v>1534</v>
      </c>
      <c r="E327" s="3344" t="s">
        <v>40</v>
      </c>
      <c r="F327" s="3345">
        <v>22857.142857142859</v>
      </c>
      <c r="G327" s="3345">
        <v>834159.15763715445</v>
      </c>
      <c r="H327" s="3345">
        <v>220523.71428571429</v>
      </c>
      <c r="I327" s="3345">
        <v>0</v>
      </c>
      <c r="J327" s="3345">
        <v>0</v>
      </c>
      <c r="K327" s="3345">
        <f t="shared" ref="K327:K358" si="13">H327+G327+F327</f>
        <v>1077540.0147800117</v>
      </c>
      <c r="L327" s="3345">
        <v>0</v>
      </c>
      <c r="M327" s="3345">
        <f t="shared" si="11"/>
        <v>1077540.0147800117</v>
      </c>
      <c r="N327" s="3345"/>
      <c r="O327" s="3346"/>
      <c r="P327" s="2212"/>
      <c r="Q327" s="2209"/>
    </row>
    <row r="328" spans="1:17" s="2207" customFormat="1" ht="16.5" customHeight="1">
      <c r="A328" s="2132">
        <v>315</v>
      </c>
      <c r="B328" s="2132">
        <v>66</v>
      </c>
      <c r="C328" s="3348"/>
      <c r="D328" s="3349" t="s">
        <v>1535</v>
      </c>
      <c r="E328" s="3344" t="s">
        <v>40</v>
      </c>
      <c r="F328" s="3345">
        <v>22857.142857142859</v>
      </c>
      <c r="G328" s="3345">
        <v>834159.15763715445</v>
      </c>
      <c r="H328" s="3345">
        <v>220523.71428571429</v>
      </c>
      <c r="I328" s="3345">
        <v>0</v>
      </c>
      <c r="J328" s="3345">
        <v>0</v>
      </c>
      <c r="K328" s="3345">
        <f t="shared" si="13"/>
        <v>1077540.0147800117</v>
      </c>
      <c r="L328" s="3345">
        <v>0</v>
      </c>
      <c r="M328" s="3345">
        <f t="shared" ref="M328:M374" si="14">K328</f>
        <v>1077540.0147800117</v>
      </c>
      <c r="N328" s="3345"/>
      <c r="O328" s="3346"/>
      <c r="P328" s="2212"/>
      <c r="Q328" s="2209"/>
    </row>
    <row r="329" spans="1:17" s="2207" customFormat="1" ht="16.5" customHeight="1">
      <c r="A329" s="2132">
        <v>316</v>
      </c>
      <c r="B329" s="2132">
        <v>67</v>
      </c>
      <c r="C329" s="3348"/>
      <c r="D329" s="3349" t="s">
        <v>1536</v>
      </c>
      <c r="E329" s="3344" t="s">
        <v>40</v>
      </c>
      <c r="F329" s="3345">
        <v>22857.142857142859</v>
      </c>
      <c r="G329" s="3345">
        <v>834159.15763715445</v>
      </c>
      <c r="H329" s="3345">
        <v>220523.71428571429</v>
      </c>
      <c r="I329" s="3345">
        <v>0</v>
      </c>
      <c r="J329" s="3345">
        <v>0</v>
      </c>
      <c r="K329" s="3345">
        <f t="shared" si="13"/>
        <v>1077540.0147800117</v>
      </c>
      <c r="L329" s="3345">
        <v>0</v>
      </c>
      <c r="M329" s="3345">
        <f t="shared" si="14"/>
        <v>1077540.0147800117</v>
      </c>
      <c r="N329" s="3345"/>
      <c r="O329" s="3346"/>
      <c r="P329" s="2212"/>
      <c r="Q329" s="2209"/>
    </row>
    <row r="330" spans="1:17" s="2207" customFormat="1" ht="16.5" customHeight="1">
      <c r="A330" s="2132">
        <v>317</v>
      </c>
      <c r="B330" s="2132">
        <v>68</v>
      </c>
      <c r="C330" s="3348"/>
      <c r="D330" s="3349" t="s">
        <v>1537</v>
      </c>
      <c r="E330" s="3344" t="s">
        <v>40</v>
      </c>
      <c r="F330" s="3345">
        <v>22857.142857142859</v>
      </c>
      <c r="G330" s="3345">
        <v>834159.15763715445</v>
      </c>
      <c r="H330" s="3345">
        <v>220523.71428571429</v>
      </c>
      <c r="I330" s="3345">
        <v>0</v>
      </c>
      <c r="J330" s="3345">
        <v>0</v>
      </c>
      <c r="K330" s="3345">
        <f t="shared" si="13"/>
        <v>1077540.0147800117</v>
      </c>
      <c r="L330" s="3345">
        <v>0</v>
      </c>
      <c r="M330" s="3345">
        <f t="shared" si="14"/>
        <v>1077540.0147800117</v>
      </c>
      <c r="N330" s="3345"/>
      <c r="O330" s="3346"/>
      <c r="P330" s="2212"/>
      <c r="Q330" s="2209"/>
    </row>
    <row r="331" spans="1:17" s="2207" customFormat="1" ht="16.5" customHeight="1">
      <c r="A331" s="2132">
        <v>318</v>
      </c>
      <c r="B331" s="2132">
        <v>69</v>
      </c>
      <c r="C331" s="3348"/>
      <c r="D331" s="3349" t="s">
        <v>1538</v>
      </c>
      <c r="E331" s="3344" t="s">
        <v>40</v>
      </c>
      <c r="F331" s="3345">
        <v>22857.142857142859</v>
      </c>
      <c r="G331" s="3345">
        <v>834159.15763715445</v>
      </c>
      <c r="H331" s="3345">
        <v>220523.71428571429</v>
      </c>
      <c r="I331" s="3345">
        <v>0</v>
      </c>
      <c r="J331" s="3345">
        <v>0</v>
      </c>
      <c r="K331" s="3345">
        <f t="shared" si="13"/>
        <v>1077540.0147800117</v>
      </c>
      <c r="L331" s="3345">
        <v>0</v>
      </c>
      <c r="M331" s="3345">
        <f t="shared" si="14"/>
        <v>1077540.0147800117</v>
      </c>
      <c r="N331" s="3345"/>
      <c r="O331" s="3346"/>
      <c r="P331" s="2212"/>
      <c r="Q331" s="2209"/>
    </row>
    <row r="332" spans="1:17" s="2207" customFormat="1" ht="16.5" customHeight="1">
      <c r="A332" s="2132">
        <v>319</v>
      </c>
      <c r="B332" s="2132">
        <v>70</v>
      </c>
      <c r="C332" s="3348"/>
      <c r="D332" s="3349" t="s">
        <v>1539</v>
      </c>
      <c r="E332" s="3344" t="s">
        <v>40</v>
      </c>
      <c r="F332" s="3345">
        <v>20000</v>
      </c>
      <c r="G332" s="3345">
        <v>866004.35018070065</v>
      </c>
      <c r="H332" s="3345">
        <v>199261.5</v>
      </c>
      <c r="I332" s="3345">
        <v>0</v>
      </c>
      <c r="J332" s="3345">
        <v>0</v>
      </c>
      <c r="K332" s="3345">
        <f t="shared" si="13"/>
        <v>1085265.8501807007</v>
      </c>
      <c r="L332" s="3345">
        <v>0</v>
      </c>
      <c r="M332" s="3345">
        <f t="shared" si="14"/>
        <v>1085265.8501807007</v>
      </c>
      <c r="N332" s="3345"/>
      <c r="O332" s="3346"/>
      <c r="P332" s="2212"/>
      <c r="Q332" s="2209"/>
    </row>
    <row r="333" spans="1:17" s="2207" customFormat="1" ht="16.5" customHeight="1">
      <c r="A333" s="2132">
        <v>320</v>
      </c>
      <c r="B333" s="2132">
        <v>71</v>
      </c>
      <c r="C333" s="3348"/>
      <c r="D333" s="3349" t="s">
        <v>1540</v>
      </c>
      <c r="E333" s="3344" t="s">
        <v>40</v>
      </c>
      <c r="F333" s="3345">
        <v>20000</v>
      </c>
      <c r="G333" s="3345">
        <v>866004.35018070065</v>
      </c>
      <c r="H333" s="3345">
        <v>199261.5</v>
      </c>
      <c r="I333" s="3345">
        <v>0</v>
      </c>
      <c r="J333" s="3345">
        <v>0</v>
      </c>
      <c r="K333" s="3345">
        <f t="shared" si="13"/>
        <v>1085265.8501807007</v>
      </c>
      <c r="L333" s="3345">
        <v>0</v>
      </c>
      <c r="M333" s="3345">
        <f t="shared" si="14"/>
        <v>1085265.8501807007</v>
      </c>
      <c r="N333" s="3345"/>
      <c r="O333" s="3346"/>
      <c r="P333" s="2212"/>
      <c r="Q333" s="2209"/>
    </row>
    <row r="334" spans="1:17" s="2207" customFormat="1" ht="16.5" customHeight="1">
      <c r="A334" s="2132">
        <v>321</v>
      </c>
      <c r="B334" s="2132">
        <v>72</v>
      </c>
      <c r="C334" s="3348"/>
      <c r="D334" s="3349" t="s">
        <v>1541</v>
      </c>
      <c r="E334" s="3344" t="s">
        <v>40</v>
      </c>
      <c r="F334" s="3345">
        <v>20000</v>
      </c>
      <c r="G334" s="3345">
        <v>866004.35018070065</v>
      </c>
      <c r="H334" s="3345">
        <v>199261.5</v>
      </c>
      <c r="I334" s="3345">
        <v>0</v>
      </c>
      <c r="J334" s="3345">
        <v>0</v>
      </c>
      <c r="K334" s="3345">
        <f t="shared" si="13"/>
        <v>1085265.8501807007</v>
      </c>
      <c r="L334" s="3345">
        <v>0</v>
      </c>
      <c r="M334" s="3345">
        <f t="shared" si="14"/>
        <v>1085265.8501807007</v>
      </c>
      <c r="N334" s="3345"/>
      <c r="O334" s="3346"/>
      <c r="P334" s="2212"/>
      <c r="Q334" s="2209"/>
    </row>
    <row r="335" spans="1:17" s="2207" customFormat="1" ht="16.5" customHeight="1">
      <c r="A335" s="2132">
        <v>322</v>
      </c>
      <c r="B335" s="2132">
        <v>73</v>
      </c>
      <c r="C335" s="3348"/>
      <c r="D335" s="3349" t="s">
        <v>1413</v>
      </c>
      <c r="E335" s="3344" t="s">
        <v>40</v>
      </c>
      <c r="F335" s="3345">
        <v>20000</v>
      </c>
      <c r="G335" s="3345">
        <v>866004.35018070065</v>
      </c>
      <c r="H335" s="3345">
        <v>199261.5</v>
      </c>
      <c r="I335" s="3345">
        <v>0</v>
      </c>
      <c r="J335" s="3345">
        <v>0</v>
      </c>
      <c r="K335" s="3345">
        <f t="shared" si="13"/>
        <v>1085265.8501807007</v>
      </c>
      <c r="L335" s="3345">
        <v>0</v>
      </c>
      <c r="M335" s="3345">
        <f t="shared" si="14"/>
        <v>1085265.8501807007</v>
      </c>
      <c r="N335" s="3345"/>
      <c r="O335" s="3346"/>
      <c r="P335" s="2212"/>
      <c r="Q335" s="2209"/>
    </row>
    <row r="336" spans="1:17" s="2207" customFormat="1" ht="16.5" customHeight="1">
      <c r="A336" s="2132">
        <v>323</v>
      </c>
      <c r="B336" s="2132">
        <v>74</v>
      </c>
      <c r="C336" s="3348"/>
      <c r="D336" s="3349" t="s">
        <v>1542</v>
      </c>
      <c r="E336" s="3344" t="s">
        <v>40</v>
      </c>
      <c r="F336" s="3345">
        <v>20000</v>
      </c>
      <c r="G336" s="3345">
        <v>866004.35018070065</v>
      </c>
      <c r="H336" s="3345">
        <v>199261.5</v>
      </c>
      <c r="I336" s="3345">
        <v>0</v>
      </c>
      <c r="J336" s="3345">
        <v>0</v>
      </c>
      <c r="K336" s="3345">
        <f t="shared" si="13"/>
        <v>1085265.8501807007</v>
      </c>
      <c r="L336" s="3345">
        <v>0</v>
      </c>
      <c r="M336" s="3345">
        <f t="shared" si="14"/>
        <v>1085265.8501807007</v>
      </c>
      <c r="N336" s="3345"/>
      <c r="O336" s="3346"/>
      <c r="P336" s="2212"/>
      <c r="Q336" s="2209"/>
    </row>
    <row r="337" spans="1:17" s="2207" customFormat="1" ht="16.5" customHeight="1">
      <c r="A337" s="2132">
        <v>324</v>
      </c>
      <c r="B337" s="2132">
        <v>75</v>
      </c>
      <c r="C337" s="3348"/>
      <c r="D337" s="3349" t="s">
        <v>1543</v>
      </c>
      <c r="E337" s="3344" t="s">
        <v>40</v>
      </c>
      <c r="F337" s="3345">
        <v>20000</v>
      </c>
      <c r="G337" s="3345">
        <v>866004.35018070065</v>
      </c>
      <c r="H337" s="3345">
        <v>199261.5</v>
      </c>
      <c r="I337" s="3345">
        <v>0</v>
      </c>
      <c r="J337" s="3345">
        <v>0</v>
      </c>
      <c r="K337" s="3345">
        <f t="shared" si="13"/>
        <v>1085265.8501807007</v>
      </c>
      <c r="L337" s="3345">
        <v>0</v>
      </c>
      <c r="M337" s="3345">
        <f t="shared" si="14"/>
        <v>1085265.8501807007</v>
      </c>
      <c r="N337" s="3345"/>
      <c r="O337" s="3346"/>
      <c r="P337" s="2212"/>
      <c r="Q337" s="2209"/>
    </row>
    <row r="338" spans="1:17" s="2207" customFormat="1" ht="16.5" customHeight="1">
      <c r="A338" s="2132">
        <v>325</v>
      </c>
      <c r="B338" s="2132">
        <v>76</v>
      </c>
      <c r="C338" s="3348"/>
      <c r="D338" s="3349" t="s">
        <v>1544</v>
      </c>
      <c r="E338" s="3344" t="s">
        <v>40</v>
      </c>
      <c r="F338" s="3345">
        <v>20000</v>
      </c>
      <c r="G338" s="3345">
        <v>866004.35018070065</v>
      </c>
      <c r="H338" s="3345">
        <v>199261.5</v>
      </c>
      <c r="I338" s="3345">
        <v>0</v>
      </c>
      <c r="J338" s="3345">
        <v>0</v>
      </c>
      <c r="K338" s="3345">
        <f t="shared" si="13"/>
        <v>1085265.8501807007</v>
      </c>
      <c r="L338" s="3345">
        <v>0</v>
      </c>
      <c r="M338" s="3345">
        <f t="shared" si="14"/>
        <v>1085265.8501807007</v>
      </c>
      <c r="N338" s="3345"/>
      <c r="O338" s="3346"/>
      <c r="P338" s="2212"/>
      <c r="Q338" s="2209"/>
    </row>
    <row r="339" spans="1:17" s="2207" customFormat="1" ht="16.5" customHeight="1">
      <c r="A339" s="2132">
        <v>326</v>
      </c>
      <c r="B339" s="2132">
        <v>77</v>
      </c>
      <c r="C339" s="3348"/>
      <c r="D339" s="3349" t="s">
        <v>1545</v>
      </c>
      <c r="E339" s="3344" t="s">
        <v>40</v>
      </c>
      <c r="F339" s="3345">
        <v>20000</v>
      </c>
      <c r="G339" s="3345">
        <v>866004.35018070065</v>
      </c>
      <c r="H339" s="3345">
        <v>199261.5</v>
      </c>
      <c r="I339" s="3345">
        <v>0</v>
      </c>
      <c r="J339" s="3345">
        <v>0</v>
      </c>
      <c r="K339" s="3345">
        <f t="shared" si="13"/>
        <v>1085265.8501807007</v>
      </c>
      <c r="L339" s="3345">
        <v>0</v>
      </c>
      <c r="M339" s="3345">
        <f t="shared" si="14"/>
        <v>1085265.8501807007</v>
      </c>
      <c r="N339" s="3345"/>
      <c r="O339" s="3346"/>
      <c r="P339" s="2212"/>
      <c r="Q339" s="2209"/>
    </row>
    <row r="340" spans="1:17" s="2207" customFormat="1" ht="16.5" customHeight="1">
      <c r="A340" s="2132">
        <v>327</v>
      </c>
      <c r="B340" s="2132">
        <v>78</v>
      </c>
      <c r="C340" s="3348"/>
      <c r="D340" s="3349" t="s">
        <v>1546</v>
      </c>
      <c r="E340" s="3344" t="s">
        <v>40</v>
      </c>
      <c r="F340" s="3345">
        <v>13333.333333333334</v>
      </c>
      <c r="G340" s="3345">
        <v>955256.48707316525</v>
      </c>
      <c r="H340" s="3345">
        <v>240469</v>
      </c>
      <c r="I340" s="3345">
        <v>0</v>
      </c>
      <c r="J340" s="3345">
        <v>0</v>
      </c>
      <c r="K340" s="3345">
        <f t="shared" si="13"/>
        <v>1209058.8204064986</v>
      </c>
      <c r="L340" s="3345">
        <v>0</v>
      </c>
      <c r="M340" s="3345">
        <f t="shared" si="14"/>
        <v>1209058.8204064986</v>
      </c>
      <c r="N340" s="3345"/>
      <c r="O340" s="3346"/>
      <c r="P340" s="2212"/>
      <c r="Q340" s="2209"/>
    </row>
    <row r="341" spans="1:17" s="2207" customFormat="1" ht="16.5" customHeight="1">
      <c r="A341" s="2132">
        <v>328</v>
      </c>
      <c r="B341" s="2132">
        <v>79</v>
      </c>
      <c r="C341" s="3348"/>
      <c r="D341" s="3349" t="s">
        <v>1547</v>
      </c>
      <c r="E341" s="3344" t="s">
        <v>40</v>
      </c>
      <c r="F341" s="3345">
        <v>13333.333333333334</v>
      </c>
      <c r="G341" s="3345">
        <v>955256.48707316525</v>
      </c>
      <c r="H341" s="3345">
        <v>240469</v>
      </c>
      <c r="I341" s="3345">
        <v>0</v>
      </c>
      <c r="J341" s="3345">
        <v>0</v>
      </c>
      <c r="K341" s="3345">
        <f t="shared" si="13"/>
        <v>1209058.8204064986</v>
      </c>
      <c r="L341" s="3345">
        <v>0</v>
      </c>
      <c r="M341" s="3345">
        <f t="shared" si="14"/>
        <v>1209058.8204064986</v>
      </c>
      <c r="N341" s="3345"/>
      <c r="O341" s="3346"/>
      <c r="P341" s="2212"/>
      <c r="Q341" s="2209"/>
    </row>
    <row r="342" spans="1:17" s="2207" customFormat="1" ht="16.5" customHeight="1">
      <c r="A342" s="2132">
        <v>329</v>
      </c>
      <c r="B342" s="2132">
        <v>80</v>
      </c>
      <c r="C342" s="3348"/>
      <c r="D342" s="3349" t="s">
        <v>1504</v>
      </c>
      <c r="E342" s="3344" t="s">
        <v>40</v>
      </c>
      <c r="F342" s="3345">
        <v>13333.333333333334</v>
      </c>
      <c r="G342" s="3345">
        <v>955256.48707316525</v>
      </c>
      <c r="H342" s="3345">
        <v>240469</v>
      </c>
      <c r="I342" s="3345">
        <v>0</v>
      </c>
      <c r="J342" s="3345">
        <v>0</v>
      </c>
      <c r="K342" s="3345">
        <f t="shared" si="13"/>
        <v>1209058.8204064986</v>
      </c>
      <c r="L342" s="3345">
        <v>0</v>
      </c>
      <c r="M342" s="3345">
        <f t="shared" si="14"/>
        <v>1209058.8204064986</v>
      </c>
      <c r="N342" s="3345"/>
      <c r="O342" s="3346"/>
      <c r="P342" s="2212"/>
      <c r="Q342" s="2209"/>
    </row>
    <row r="343" spans="1:17" s="2207" customFormat="1" ht="16.5" customHeight="1">
      <c r="A343" s="2132">
        <v>330</v>
      </c>
      <c r="B343" s="2132">
        <v>81</v>
      </c>
      <c r="C343" s="3348"/>
      <c r="D343" s="3349" t="s">
        <v>1657</v>
      </c>
      <c r="E343" s="3344" t="s">
        <v>40</v>
      </c>
      <c r="F343" s="3345">
        <v>13333.333333333334</v>
      </c>
      <c r="G343" s="3345">
        <v>955256.48707316525</v>
      </c>
      <c r="H343" s="3345">
        <v>240469</v>
      </c>
      <c r="I343" s="3345">
        <v>0</v>
      </c>
      <c r="J343" s="3345">
        <v>0</v>
      </c>
      <c r="K343" s="3345">
        <f t="shared" si="13"/>
        <v>1209058.8204064986</v>
      </c>
      <c r="L343" s="3345">
        <v>0</v>
      </c>
      <c r="M343" s="3345">
        <f t="shared" si="14"/>
        <v>1209058.8204064986</v>
      </c>
      <c r="N343" s="3345"/>
      <c r="O343" s="3346"/>
      <c r="P343" s="2212"/>
      <c r="Q343" s="2209"/>
    </row>
    <row r="344" spans="1:17" s="2207" customFormat="1" ht="16.5" customHeight="1">
      <c r="A344" s="2132">
        <v>331</v>
      </c>
      <c r="B344" s="2132">
        <v>82</v>
      </c>
      <c r="C344" s="3348"/>
      <c r="D344" s="3349" t="s">
        <v>1658</v>
      </c>
      <c r="E344" s="3344" t="s">
        <v>40</v>
      </c>
      <c r="F344" s="3345">
        <v>13333.333333333334</v>
      </c>
      <c r="G344" s="3345">
        <v>955256.48707316525</v>
      </c>
      <c r="H344" s="3345">
        <v>240469</v>
      </c>
      <c r="I344" s="3345">
        <v>0</v>
      </c>
      <c r="J344" s="3345">
        <v>0</v>
      </c>
      <c r="K344" s="3345">
        <f t="shared" si="13"/>
        <v>1209058.8204064986</v>
      </c>
      <c r="L344" s="3345">
        <v>0</v>
      </c>
      <c r="M344" s="3345">
        <f t="shared" si="14"/>
        <v>1209058.8204064986</v>
      </c>
      <c r="N344" s="3345"/>
      <c r="O344" s="3346"/>
      <c r="P344" s="2212"/>
      <c r="Q344" s="2209"/>
    </row>
    <row r="345" spans="1:17" s="2207" customFormat="1" ht="16.5" customHeight="1">
      <c r="A345" s="2132">
        <v>332</v>
      </c>
      <c r="B345" s="2132">
        <v>83</v>
      </c>
      <c r="C345" s="3348"/>
      <c r="D345" s="3349" t="s">
        <v>1659</v>
      </c>
      <c r="E345" s="3344" t="s">
        <v>40</v>
      </c>
      <c r="F345" s="3345">
        <v>13333.333333333334</v>
      </c>
      <c r="G345" s="3345">
        <v>955256.48707316525</v>
      </c>
      <c r="H345" s="3345">
        <v>240469</v>
      </c>
      <c r="I345" s="3345">
        <v>0</v>
      </c>
      <c r="J345" s="3345">
        <v>0</v>
      </c>
      <c r="K345" s="3345">
        <f t="shared" si="13"/>
        <v>1209058.8204064986</v>
      </c>
      <c r="L345" s="3345">
        <v>0</v>
      </c>
      <c r="M345" s="3345">
        <f t="shared" si="14"/>
        <v>1209058.8204064986</v>
      </c>
      <c r="N345" s="3345"/>
      <c r="O345" s="3346"/>
      <c r="P345" s="2212"/>
      <c r="Q345" s="2209"/>
    </row>
    <row r="346" spans="1:17" s="2207" customFormat="1" ht="16.5" customHeight="1">
      <c r="A346" s="2132">
        <v>333</v>
      </c>
      <c r="B346" s="2132">
        <v>84</v>
      </c>
      <c r="C346" s="3348"/>
      <c r="D346" s="3349" t="s">
        <v>1660</v>
      </c>
      <c r="E346" s="3344" t="s">
        <v>40</v>
      </c>
      <c r="F346" s="3345">
        <v>11428.571428571429</v>
      </c>
      <c r="G346" s="3345">
        <v>876746.9226403354</v>
      </c>
      <c r="H346" s="3345">
        <v>206116.28571428571</v>
      </c>
      <c r="I346" s="3345">
        <v>0</v>
      </c>
      <c r="J346" s="3345">
        <v>0</v>
      </c>
      <c r="K346" s="3345">
        <f t="shared" si="13"/>
        <v>1094291.7797831926</v>
      </c>
      <c r="L346" s="3345">
        <v>0</v>
      </c>
      <c r="M346" s="3345">
        <f t="shared" si="14"/>
        <v>1094291.7797831926</v>
      </c>
      <c r="N346" s="3345"/>
      <c r="O346" s="3346"/>
      <c r="P346" s="2212"/>
      <c r="Q346" s="2209"/>
    </row>
    <row r="347" spans="1:17" s="2207" customFormat="1" ht="16.5" customHeight="1">
      <c r="A347" s="2132">
        <v>334</v>
      </c>
      <c r="B347" s="2132">
        <v>85</v>
      </c>
      <c r="C347" s="3348"/>
      <c r="D347" s="3349" t="s">
        <v>1661</v>
      </c>
      <c r="E347" s="3344" t="s">
        <v>40</v>
      </c>
      <c r="F347" s="3345">
        <v>11428.571428571429</v>
      </c>
      <c r="G347" s="3345">
        <v>876746.9226403354</v>
      </c>
      <c r="H347" s="3345">
        <v>206116.28571428571</v>
      </c>
      <c r="I347" s="3345">
        <v>0</v>
      </c>
      <c r="J347" s="3345">
        <v>0</v>
      </c>
      <c r="K347" s="3345">
        <f t="shared" si="13"/>
        <v>1094291.7797831926</v>
      </c>
      <c r="L347" s="3345">
        <v>0</v>
      </c>
      <c r="M347" s="3345">
        <f t="shared" si="14"/>
        <v>1094291.7797831926</v>
      </c>
      <c r="N347" s="3345"/>
      <c r="O347" s="3346"/>
      <c r="P347" s="2212"/>
      <c r="Q347" s="2209"/>
    </row>
    <row r="348" spans="1:17" s="2207" customFormat="1" ht="16.5" customHeight="1">
      <c r="A348" s="2132">
        <v>335</v>
      </c>
      <c r="B348" s="2132">
        <v>86</v>
      </c>
      <c r="C348" s="3348"/>
      <c r="D348" s="3349" t="s">
        <v>1458</v>
      </c>
      <c r="E348" s="3344" t="s">
        <v>40</v>
      </c>
      <c r="F348" s="3345">
        <v>11428.571428571429</v>
      </c>
      <c r="G348" s="3345">
        <v>876746.9226403354</v>
      </c>
      <c r="H348" s="3345">
        <v>206116.28571428571</v>
      </c>
      <c r="I348" s="3345">
        <v>0</v>
      </c>
      <c r="J348" s="3345">
        <v>0</v>
      </c>
      <c r="K348" s="3345">
        <f t="shared" si="13"/>
        <v>1094291.7797831926</v>
      </c>
      <c r="L348" s="3345">
        <v>0</v>
      </c>
      <c r="M348" s="3345">
        <f t="shared" si="14"/>
        <v>1094291.7797831926</v>
      </c>
      <c r="N348" s="3345"/>
      <c r="O348" s="3346"/>
      <c r="P348" s="2212"/>
      <c r="Q348" s="2209"/>
    </row>
    <row r="349" spans="1:17" s="2207" customFormat="1" ht="16.5" customHeight="1">
      <c r="A349" s="2132">
        <v>336</v>
      </c>
      <c r="B349" s="2132">
        <v>87</v>
      </c>
      <c r="C349" s="3348"/>
      <c r="D349" s="3349" t="s">
        <v>1505</v>
      </c>
      <c r="E349" s="3344" t="s">
        <v>40</v>
      </c>
      <c r="F349" s="3345">
        <v>11428.571428571429</v>
      </c>
      <c r="G349" s="3345">
        <v>876746.9226403354</v>
      </c>
      <c r="H349" s="3345">
        <v>206116.28571428571</v>
      </c>
      <c r="I349" s="3345">
        <v>0</v>
      </c>
      <c r="J349" s="3345">
        <v>0</v>
      </c>
      <c r="K349" s="3345">
        <f t="shared" si="13"/>
        <v>1094291.7797831926</v>
      </c>
      <c r="L349" s="3345">
        <v>0</v>
      </c>
      <c r="M349" s="3345">
        <f t="shared" si="14"/>
        <v>1094291.7797831926</v>
      </c>
      <c r="N349" s="3345"/>
      <c r="O349" s="3346"/>
      <c r="P349" s="2212"/>
      <c r="Q349" s="2209"/>
    </row>
    <row r="350" spans="1:17" s="2207" customFormat="1" ht="16.5" customHeight="1">
      <c r="A350" s="2132">
        <v>337</v>
      </c>
      <c r="B350" s="2132">
        <v>88</v>
      </c>
      <c r="C350" s="3348"/>
      <c r="D350" s="3349" t="s">
        <v>1506</v>
      </c>
      <c r="E350" s="3344" t="s">
        <v>40</v>
      </c>
      <c r="F350" s="3345">
        <v>11428.571428571429</v>
      </c>
      <c r="G350" s="3345">
        <v>876746.9226403354</v>
      </c>
      <c r="H350" s="3345">
        <v>206116.28571428571</v>
      </c>
      <c r="I350" s="3345">
        <v>0</v>
      </c>
      <c r="J350" s="3345">
        <v>0</v>
      </c>
      <c r="K350" s="3345">
        <f t="shared" si="13"/>
        <v>1094291.7797831926</v>
      </c>
      <c r="L350" s="3345">
        <v>0</v>
      </c>
      <c r="M350" s="3345">
        <f t="shared" si="14"/>
        <v>1094291.7797831926</v>
      </c>
      <c r="N350" s="3345"/>
      <c r="O350" s="3346"/>
      <c r="P350" s="2212"/>
      <c r="Q350" s="2209"/>
    </row>
    <row r="351" spans="1:17" s="2207" customFormat="1" ht="16.5" customHeight="1">
      <c r="A351" s="2132">
        <v>338</v>
      </c>
      <c r="B351" s="2132">
        <v>89</v>
      </c>
      <c r="C351" s="3348"/>
      <c r="D351" s="3349" t="s">
        <v>1512</v>
      </c>
      <c r="E351" s="3344" t="s">
        <v>40</v>
      </c>
      <c r="F351" s="3345">
        <v>11428.571428571429</v>
      </c>
      <c r="G351" s="3345">
        <v>876746.9226403354</v>
      </c>
      <c r="H351" s="3345">
        <v>206116.28571428571</v>
      </c>
      <c r="I351" s="3345">
        <v>0</v>
      </c>
      <c r="J351" s="3345">
        <v>0</v>
      </c>
      <c r="K351" s="3345">
        <f t="shared" si="13"/>
        <v>1094291.7797831926</v>
      </c>
      <c r="L351" s="3345">
        <v>0</v>
      </c>
      <c r="M351" s="3345">
        <f t="shared" si="14"/>
        <v>1094291.7797831926</v>
      </c>
      <c r="N351" s="3345"/>
      <c r="O351" s="3346"/>
      <c r="P351" s="2212"/>
      <c r="Q351" s="2209"/>
    </row>
    <row r="352" spans="1:17" s="2207" customFormat="1" ht="16.5" customHeight="1">
      <c r="A352" s="2132">
        <v>339</v>
      </c>
      <c r="B352" s="2132">
        <v>90</v>
      </c>
      <c r="C352" s="3348"/>
      <c r="D352" s="3349" t="s">
        <v>1662</v>
      </c>
      <c r="E352" s="3344" t="s">
        <v>40</v>
      </c>
      <c r="F352" s="3345">
        <v>11428.571428571429</v>
      </c>
      <c r="G352" s="3345">
        <v>876746.9226403354</v>
      </c>
      <c r="H352" s="3345">
        <v>206116.28571428571</v>
      </c>
      <c r="I352" s="3345">
        <v>0</v>
      </c>
      <c r="J352" s="3345">
        <v>0</v>
      </c>
      <c r="K352" s="3345">
        <f t="shared" si="13"/>
        <v>1094291.7797831926</v>
      </c>
      <c r="L352" s="3345">
        <v>0</v>
      </c>
      <c r="M352" s="3345">
        <f t="shared" si="14"/>
        <v>1094291.7797831926</v>
      </c>
      <c r="N352" s="3345"/>
      <c r="O352" s="3346"/>
      <c r="P352" s="2212"/>
      <c r="Q352" s="2209"/>
    </row>
    <row r="353" spans="1:17" s="2207" customFormat="1" ht="16.5" customHeight="1">
      <c r="A353" s="2132">
        <v>340</v>
      </c>
      <c r="B353" s="2132">
        <v>91</v>
      </c>
      <c r="C353" s="3348"/>
      <c r="D353" s="3349" t="s">
        <v>1463</v>
      </c>
      <c r="E353" s="3344" t="s">
        <v>40</v>
      </c>
      <c r="F353" s="3345">
        <v>22857.142857142859</v>
      </c>
      <c r="G353" s="3345">
        <v>889639.89086157922</v>
      </c>
      <c r="H353" s="3345">
        <v>217619.71428571429</v>
      </c>
      <c r="I353" s="3345">
        <v>0</v>
      </c>
      <c r="J353" s="3345">
        <v>0</v>
      </c>
      <c r="K353" s="3345">
        <f t="shared" si="13"/>
        <v>1130116.7480044365</v>
      </c>
      <c r="L353" s="3345">
        <v>0</v>
      </c>
      <c r="M353" s="3345">
        <f t="shared" si="14"/>
        <v>1130116.7480044365</v>
      </c>
      <c r="N353" s="3345"/>
      <c r="O353" s="3346"/>
      <c r="P353" s="2212"/>
      <c r="Q353" s="2209"/>
    </row>
    <row r="354" spans="1:17" s="2207" customFormat="1" ht="16.5" customHeight="1">
      <c r="A354" s="2132">
        <v>341</v>
      </c>
      <c r="B354" s="2132">
        <v>92</v>
      </c>
      <c r="C354" s="3348"/>
      <c r="D354" s="3349" t="s">
        <v>1464</v>
      </c>
      <c r="E354" s="3344" t="s">
        <v>40</v>
      </c>
      <c r="F354" s="3345">
        <v>22857.142857142859</v>
      </c>
      <c r="G354" s="3345">
        <v>889639.89086157922</v>
      </c>
      <c r="H354" s="3345">
        <v>217619.71428571429</v>
      </c>
      <c r="I354" s="3345">
        <v>0</v>
      </c>
      <c r="J354" s="3345">
        <v>0</v>
      </c>
      <c r="K354" s="3345">
        <f t="shared" si="13"/>
        <v>1130116.7480044365</v>
      </c>
      <c r="L354" s="3345">
        <v>0</v>
      </c>
      <c r="M354" s="3345">
        <f t="shared" si="14"/>
        <v>1130116.7480044365</v>
      </c>
      <c r="N354" s="3345"/>
      <c r="O354" s="3346"/>
      <c r="P354" s="2212"/>
      <c r="Q354" s="2209"/>
    </row>
    <row r="355" spans="1:17" s="2207" customFormat="1" ht="16.5" customHeight="1">
      <c r="A355" s="2132">
        <v>342</v>
      </c>
      <c r="B355" s="2132">
        <v>93</v>
      </c>
      <c r="C355" s="3348"/>
      <c r="D355" s="3349" t="s">
        <v>1465</v>
      </c>
      <c r="E355" s="3344" t="s">
        <v>40</v>
      </c>
      <c r="F355" s="3345">
        <v>22857.142857142859</v>
      </c>
      <c r="G355" s="3345">
        <v>889639.89086157922</v>
      </c>
      <c r="H355" s="3345">
        <v>217619.71428571429</v>
      </c>
      <c r="I355" s="3345">
        <v>0</v>
      </c>
      <c r="J355" s="3345">
        <v>0</v>
      </c>
      <c r="K355" s="3345">
        <f t="shared" si="13"/>
        <v>1130116.7480044365</v>
      </c>
      <c r="L355" s="3345">
        <v>0</v>
      </c>
      <c r="M355" s="3345">
        <f t="shared" si="14"/>
        <v>1130116.7480044365</v>
      </c>
      <c r="N355" s="3345"/>
      <c r="O355" s="3346"/>
      <c r="P355" s="2212"/>
      <c r="Q355" s="2209"/>
    </row>
    <row r="356" spans="1:17" s="2207" customFormat="1" ht="16.5" customHeight="1">
      <c r="A356" s="2132">
        <v>343</v>
      </c>
      <c r="B356" s="2132">
        <v>94</v>
      </c>
      <c r="C356" s="3348"/>
      <c r="D356" s="3349" t="s">
        <v>744</v>
      </c>
      <c r="E356" s="3344" t="s">
        <v>40</v>
      </c>
      <c r="F356" s="3345">
        <v>22857.142857142859</v>
      </c>
      <c r="G356" s="3345">
        <v>889639.89086157922</v>
      </c>
      <c r="H356" s="3345">
        <v>217619.71428571429</v>
      </c>
      <c r="I356" s="3345">
        <v>0</v>
      </c>
      <c r="J356" s="3345">
        <v>0</v>
      </c>
      <c r="K356" s="3345">
        <f t="shared" si="13"/>
        <v>1130116.7480044365</v>
      </c>
      <c r="L356" s="3345">
        <v>0</v>
      </c>
      <c r="M356" s="3345">
        <f t="shared" si="14"/>
        <v>1130116.7480044365</v>
      </c>
      <c r="N356" s="3345"/>
      <c r="O356" s="3346"/>
      <c r="P356" s="2212"/>
      <c r="Q356" s="2209"/>
    </row>
    <row r="357" spans="1:17" s="2207" customFormat="1" ht="16.5" customHeight="1">
      <c r="A357" s="2132">
        <v>344</v>
      </c>
      <c r="B357" s="2132">
        <v>95</v>
      </c>
      <c r="C357" s="3348"/>
      <c r="D357" s="3349" t="s">
        <v>1466</v>
      </c>
      <c r="E357" s="3344" t="s">
        <v>40</v>
      </c>
      <c r="F357" s="3345">
        <v>22857.142857142859</v>
      </c>
      <c r="G357" s="3345">
        <v>889639.89086157922</v>
      </c>
      <c r="H357" s="3345">
        <v>217619.71428571429</v>
      </c>
      <c r="I357" s="3345">
        <v>0</v>
      </c>
      <c r="J357" s="3345">
        <v>0</v>
      </c>
      <c r="K357" s="3345">
        <f t="shared" si="13"/>
        <v>1130116.7480044365</v>
      </c>
      <c r="L357" s="3345">
        <v>0</v>
      </c>
      <c r="M357" s="3345">
        <f t="shared" si="14"/>
        <v>1130116.7480044365</v>
      </c>
      <c r="N357" s="3345"/>
      <c r="O357" s="3346"/>
      <c r="P357" s="2212"/>
      <c r="Q357" s="2209"/>
    </row>
    <row r="358" spans="1:17" s="2207" customFormat="1" ht="16.5" customHeight="1">
      <c r="A358" s="2132">
        <v>345</v>
      </c>
      <c r="B358" s="2132">
        <v>96</v>
      </c>
      <c r="C358" s="3348"/>
      <c r="D358" s="3349" t="s">
        <v>1467</v>
      </c>
      <c r="E358" s="3344" t="s">
        <v>40</v>
      </c>
      <c r="F358" s="3345">
        <v>22857.142857142859</v>
      </c>
      <c r="G358" s="3345">
        <v>889639.89086157922</v>
      </c>
      <c r="H358" s="3345">
        <v>217619.71428571429</v>
      </c>
      <c r="I358" s="3345">
        <v>0</v>
      </c>
      <c r="J358" s="3345">
        <v>0</v>
      </c>
      <c r="K358" s="3345">
        <f t="shared" si="13"/>
        <v>1130116.7480044365</v>
      </c>
      <c r="L358" s="3345">
        <v>0</v>
      </c>
      <c r="M358" s="3345">
        <f t="shared" si="14"/>
        <v>1130116.7480044365</v>
      </c>
      <c r="N358" s="3345"/>
      <c r="O358" s="3346"/>
      <c r="P358" s="2212"/>
      <c r="Q358" s="2209"/>
    </row>
    <row r="359" spans="1:17" s="2207" customFormat="1" ht="16.5" customHeight="1">
      <c r="A359" s="2132">
        <v>346</v>
      </c>
      <c r="B359" s="2132">
        <v>97</v>
      </c>
      <c r="C359" s="3348"/>
      <c r="D359" s="3349" t="s">
        <v>1468</v>
      </c>
      <c r="E359" s="3344" t="s">
        <v>40</v>
      </c>
      <c r="F359" s="3345">
        <v>22857.142857142859</v>
      </c>
      <c r="G359" s="3345">
        <v>889639.89086157922</v>
      </c>
      <c r="H359" s="3345">
        <v>217619.71428571429</v>
      </c>
      <c r="I359" s="3345">
        <v>0</v>
      </c>
      <c r="J359" s="3345">
        <v>0</v>
      </c>
      <c r="K359" s="3345">
        <f t="shared" ref="K359:K374" si="15">H359+G359+F359</f>
        <v>1130116.7480044365</v>
      </c>
      <c r="L359" s="3345">
        <v>0</v>
      </c>
      <c r="M359" s="3345">
        <f t="shared" si="14"/>
        <v>1130116.7480044365</v>
      </c>
      <c r="N359" s="3345"/>
      <c r="O359" s="3346"/>
      <c r="P359" s="2212"/>
      <c r="Q359" s="2209"/>
    </row>
    <row r="360" spans="1:17" s="2207" customFormat="1" ht="16.5" customHeight="1">
      <c r="A360" s="2132">
        <v>347</v>
      </c>
      <c r="B360" s="2132">
        <v>98</v>
      </c>
      <c r="C360" s="3348"/>
      <c r="D360" s="3349" t="s">
        <v>1469</v>
      </c>
      <c r="E360" s="3344" t="s">
        <v>40</v>
      </c>
      <c r="F360" s="3345">
        <v>20000</v>
      </c>
      <c r="G360" s="3345">
        <v>894065.05521377968</v>
      </c>
      <c r="H360" s="3345">
        <v>199261.5</v>
      </c>
      <c r="I360" s="3345">
        <v>0</v>
      </c>
      <c r="J360" s="3345">
        <v>0</v>
      </c>
      <c r="K360" s="3345">
        <f t="shared" si="15"/>
        <v>1113326.5552137797</v>
      </c>
      <c r="L360" s="3345">
        <v>0</v>
      </c>
      <c r="M360" s="3345">
        <f t="shared" si="14"/>
        <v>1113326.5552137797</v>
      </c>
      <c r="N360" s="3345"/>
      <c r="O360" s="3346"/>
      <c r="P360" s="2212"/>
      <c r="Q360" s="2209"/>
    </row>
    <row r="361" spans="1:17" s="2207" customFormat="1" ht="16.5" customHeight="1">
      <c r="A361" s="2132">
        <v>348</v>
      </c>
      <c r="B361" s="2132">
        <v>99</v>
      </c>
      <c r="C361" s="3348"/>
      <c r="D361" s="3349" t="s">
        <v>1470</v>
      </c>
      <c r="E361" s="3344" t="s">
        <v>40</v>
      </c>
      <c r="F361" s="3345">
        <v>20000</v>
      </c>
      <c r="G361" s="3345">
        <v>894065.05521377968</v>
      </c>
      <c r="H361" s="3345">
        <v>199261.5</v>
      </c>
      <c r="I361" s="3345">
        <v>0</v>
      </c>
      <c r="J361" s="3345">
        <v>0</v>
      </c>
      <c r="K361" s="3345">
        <f t="shared" si="15"/>
        <v>1113326.5552137797</v>
      </c>
      <c r="L361" s="3345">
        <v>0</v>
      </c>
      <c r="M361" s="3345">
        <f t="shared" si="14"/>
        <v>1113326.5552137797</v>
      </c>
      <c r="N361" s="3345"/>
      <c r="O361" s="3346"/>
      <c r="P361" s="2212"/>
      <c r="Q361" s="2209"/>
    </row>
    <row r="362" spans="1:17" s="2207" customFormat="1" ht="16.5" customHeight="1">
      <c r="A362" s="2132">
        <v>349</v>
      </c>
      <c r="B362" s="2132">
        <v>100</v>
      </c>
      <c r="C362" s="3348"/>
      <c r="D362" s="3349" t="s">
        <v>1471</v>
      </c>
      <c r="E362" s="3344" t="s">
        <v>40</v>
      </c>
      <c r="F362" s="3345">
        <v>20000</v>
      </c>
      <c r="G362" s="3345">
        <v>894065.05521377968</v>
      </c>
      <c r="H362" s="3345">
        <v>199261.5</v>
      </c>
      <c r="I362" s="3345">
        <v>0</v>
      </c>
      <c r="J362" s="3345">
        <v>0</v>
      </c>
      <c r="K362" s="3345">
        <f t="shared" si="15"/>
        <v>1113326.5552137797</v>
      </c>
      <c r="L362" s="3345">
        <v>0</v>
      </c>
      <c r="M362" s="3345">
        <f t="shared" si="14"/>
        <v>1113326.5552137797</v>
      </c>
      <c r="N362" s="3345"/>
      <c r="O362" s="3346"/>
      <c r="P362" s="2212"/>
      <c r="Q362" s="2209"/>
    </row>
    <row r="363" spans="1:17" s="2207" customFormat="1" ht="16.5" customHeight="1">
      <c r="A363" s="2132">
        <v>350</v>
      </c>
      <c r="B363" s="2132">
        <v>101</v>
      </c>
      <c r="C363" s="3348"/>
      <c r="D363" s="3349" t="s">
        <v>1472</v>
      </c>
      <c r="E363" s="3344" t="s">
        <v>40</v>
      </c>
      <c r="F363" s="3345">
        <v>20000</v>
      </c>
      <c r="G363" s="3345">
        <v>894065.05521377968</v>
      </c>
      <c r="H363" s="3345">
        <v>199261.5</v>
      </c>
      <c r="I363" s="3345">
        <v>0</v>
      </c>
      <c r="J363" s="3345">
        <v>0</v>
      </c>
      <c r="K363" s="3345">
        <f t="shared" si="15"/>
        <v>1113326.5552137797</v>
      </c>
      <c r="L363" s="3345">
        <v>0</v>
      </c>
      <c r="M363" s="3345">
        <f t="shared" si="14"/>
        <v>1113326.5552137797</v>
      </c>
      <c r="N363" s="3345"/>
      <c r="O363" s="3346"/>
      <c r="P363" s="2212"/>
      <c r="Q363" s="2209"/>
    </row>
    <row r="364" spans="1:17" s="2207" customFormat="1" ht="16.5" customHeight="1">
      <c r="A364" s="2132">
        <v>351</v>
      </c>
      <c r="B364" s="2132">
        <v>102</v>
      </c>
      <c r="C364" s="3348"/>
      <c r="D364" s="3349" t="s">
        <v>1473</v>
      </c>
      <c r="E364" s="3344" t="s">
        <v>40</v>
      </c>
      <c r="F364" s="3345">
        <v>20000</v>
      </c>
      <c r="G364" s="3345">
        <v>894065.05521377968</v>
      </c>
      <c r="H364" s="3345">
        <v>199261.5</v>
      </c>
      <c r="I364" s="3345">
        <v>0</v>
      </c>
      <c r="J364" s="3345">
        <v>0</v>
      </c>
      <c r="K364" s="3345">
        <f t="shared" si="15"/>
        <v>1113326.5552137797</v>
      </c>
      <c r="L364" s="3345">
        <v>0</v>
      </c>
      <c r="M364" s="3345">
        <f t="shared" si="14"/>
        <v>1113326.5552137797</v>
      </c>
      <c r="N364" s="3345"/>
      <c r="O364" s="3346"/>
      <c r="P364" s="2212"/>
      <c r="Q364" s="2209"/>
    </row>
    <row r="365" spans="1:17" s="2207" customFormat="1" ht="16.5" customHeight="1">
      <c r="A365" s="2132">
        <v>352</v>
      </c>
      <c r="B365" s="2132">
        <v>103</v>
      </c>
      <c r="C365" s="3348"/>
      <c r="D365" s="3349" t="s">
        <v>1663</v>
      </c>
      <c r="E365" s="3344" t="s">
        <v>40</v>
      </c>
      <c r="F365" s="3345">
        <v>20000</v>
      </c>
      <c r="G365" s="3345">
        <v>894065.05521377968</v>
      </c>
      <c r="H365" s="3345">
        <v>199261.5</v>
      </c>
      <c r="I365" s="3345">
        <v>0</v>
      </c>
      <c r="J365" s="3345">
        <v>0</v>
      </c>
      <c r="K365" s="3345">
        <f t="shared" si="15"/>
        <v>1113326.5552137797</v>
      </c>
      <c r="L365" s="3345">
        <v>0</v>
      </c>
      <c r="M365" s="3345">
        <f t="shared" si="14"/>
        <v>1113326.5552137797</v>
      </c>
      <c r="N365" s="3345"/>
      <c r="O365" s="3346"/>
      <c r="P365" s="2212"/>
      <c r="Q365" s="2209"/>
    </row>
    <row r="366" spans="1:17" s="2207" customFormat="1" ht="16.5" customHeight="1">
      <c r="A366" s="2132">
        <v>353</v>
      </c>
      <c r="B366" s="2132">
        <v>104</v>
      </c>
      <c r="C366" s="3348"/>
      <c r="D366" s="3349" t="s">
        <v>1664</v>
      </c>
      <c r="E366" s="3344" t="s">
        <v>40</v>
      </c>
      <c r="F366" s="3345">
        <v>20000</v>
      </c>
      <c r="G366" s="3345">
        <v>894065.05521377968</v>
      </c>
      <c r="H366" s="3345">
        <v>199261.5</v>
      </c>
      <c r="I366" s="3345">
        <v>0</v>
      </c>
      <c r="J366" s="3345">
        <v>0</v>
      </c>
      <c r="K366" s="3345">
        <f t="shared" si="15"/>
        <v>1113326.5552137797</v>
      </c>
      <c r="L366" s="3345">
        <v>0</v>
      </c>
      <c r="M366" s="3345">
        <f t="shared" si="14"/>
        <v>1113326.5552137797</v>
      </c>
      <c r="N366" s="3345"/>
      <c r="O366" s="3346"/>
      <c r="P366" s="2212"/>
      <c r="Q366" s="2209"/>
    </row>
    <row r="367" spans="1:17" s="2207" customFormat="1" ht="16.5" customHeight="1">
      <c r="A367" s="2132">
        <v>354</v>
      </c>
      <c r="B367" s="2132">
        <v>105</v>
      </c>
      <c r="C367" s="3348"/>
      <c r="D367" s="3349" t="s">
        <v>1665</v>
      </c>
      <c r="E367" s="3344" t="s">
        <v>40</v>
      </c>
      <c r="F367" s="3345">
        <v>20000</v>
      </c>
      <c r="G367" s="3345">
        <v>894065.05521377968</v>
      </c>
      <c r="H367" s="3345">
        <v>199261.5</v>
      </c>
      <c r="I367" s="3345">
        <v>0</v>
      </c>
      <c r="J367" s="3345">
        <v>0</v>
      </c>
      <c r="K367" s="3345">
        <f t="shared" si="15"/>
        <v>1113326.5552137797</v>
      </c>
      <c r="L367" s="3345">
        <v>0</v>
      </c>
      <c r="M367" s="3345">
        <f t="shared" si="14"/>
        <v>1113326.5552137797</v>
      </c>
      <c r="N367" s="3345"/>
      <c r="O367" s="3346"/>
      <c r="P367" s="2212"/>
      <c r="Q367" s="2209"/>
    </row>
    <row r="368" spans="1:17" s="2207" customFormat="1" ht="16.5" customHeight="1">
      <c r="A368" s="2132">
        <v>355</v>
      </c>
      <c r="B368" s="2132">
        <v>106</v>
      </c>
      <c r="C368" s="3348"/>
      <c r="D368" s="3349" t="s">
        <v>1193</v>
      </c>
      <c r="E368" s="3344" t="s">
        <v>40</v>
      </c>
      <c r="F368" s="3345">
        <v>22857.142857142859</v>
      </c>
      <c r="G368" s="3345">
        <v>927750.23402139021</v>
      </c>
      <c r="H368" s="3345">
        <v>217619.71428571429</v>
      </c>
      <c r="I368" s="3345">
        <v>0</v>
      </c>
      <c r="J368" s="3345">
        <v>0</v>
      </c>
      <c r="K368" s="3345">
        <f t="shared" si="15"/>
        <v>1168227.0911642474</v>
      </c>
      <c r="L368" s="3345">
        <v>0</v>
      </c>
      <c r="M368" s="3345">
        <f t="shared" si="14"/>
        <v>1168227.0911642474</v>
      </c>
      <c r="N368" s="3345"/>
      <c r="O368" s="3346"/>
      <c r="P368" s="2212"/>
      <c r="Q368" s="2209"/>
    </row>
    <row r="369" spans="1:18" s="2207" customFormat="1" ht="16.5" customHeight="1">
      <c r="A369" s="2132">
        <v>356</v>
      </c>
      <c r="B369" s="2132">
        <v>107</v>
      </c>
      <c r="C369" s="3348"/>
      <c r="D369" s="3349" t="s">
        <v>1666</v>
      </c>
      <c r="E369" s="3344" t="s">
        <v>40</v>
      </c>
      <c r="F369" s="3345">
        <v>22857.142857142859</v>
      </c>
      <c r="G369" s="3345">
        <v>927750.23402139021</v>
      </c>
      <c r="H369" s="3345">
        <v>217619.71428571429</v>
      </c>
      <c r="I369" s="3345">
        <v>0</v>
      </c>
      <c r="J369" s="3345">
        <v>0</v>
      </c>
      <c r="K369" s="3345">
        <f t="shared" si="15"/>
        <v>1168227.0911642474</v>
      </c>
      <c r="L369" s="3345">
        <v>0</v>
      </c>
      <c r="M369" s="3345">
        <f t="shared" si="14"/>
        <v>1168227.0911642474</v>
      </c>
      <c r="N369" s="3345"/>
      <c r="O369" s="3346"/>
      <c r="P369" s="2212"/>
      <c r="Q369" s="2209"/>
    </row>
    <row r="370" spans="1:18" s="2207" customFormat="1" ht="16.5" customHeight="1">
      <c r="A370" s="2132">
        <v>357</v>
      </c>
      <c r="B370" s="2132">
        <v>108</v>
      </c>
      <c r="C370" s="3348"/>
      <c r="D370" s="3349" t="s">
        <v>1667</v>
      </c>
      <c r="E370" s="3344" t="s">
        <v>40</v>
      </c>
      <c r="F370" s="3345">
        <v>22857.142857142859</v>
      </c>
      <c r="G370" s="3345">
        <v>927750.23402139021</v>
      </c>
      <c r="H370" s="3345">
        <v>217619.71428571429</v>
      </c>
      <c r="I370" s="3345">
        <v>0</v>
      </c>
      <c r="J370" s="3345">
        <v>0</v>
      </c>
      <c r="K370" s="3345">
        <f t="shared" si="15"/>
        <v>1168227.0911642474</v>
      </c>
      <c r="L370" s="3345">
        <v>0</v>
      </c>
      <c r="M370" s="3345">
        <f t="shared" si="14"/>
        <v>1168227.0911642474</v>
      </c>
      <c r="N370" s="3345"/>
      <c r="O370" s="3346"/>
      <c r="P370" s="2212"/>
      <c r="Q370" s="2209"/>
    </row>
    <row r="371" spans="1:18" s="2207" customFormat="1" ht="16.5" customHeight="1">
      <c r="A371" s="2132">
        <v>358</v>
      </c>
      <c r="B371" s="2132">
        <v>109</v>
      </c>
      <c r="C371" s="3348"/>
      <c r="D371" s="3349" t="s">
        <v>1668</v>
      </c>
      <c r="E371" s="3344" t="s">
        <v>40</v>
      </c>
      <c r="F371" s="3345">
        <v>22857.142857142859</v>
      </c>
      <c r="G371" s="3345">
        <v>927750.23402139021</v>
      </c>
      <c r="H371" s="3345">
        <v>217619.71428571429</v>
      </c>
      <c r="I371" s="3345">
        <v>0</v>
      </c>
      <c r="J371" s="3345">
        <v>0</v>
      </c>
      <c r="K371" s="3345">
        <f t="shared" si="15"/>
        <v>1168227.0911642474</v>
      </c>
      <c r="L371" s="3345">
        <v>0</v>
      </c>
      <c r="M371" s="3345">
        <f t="shared" si="14"/>
        <v>1168227.0911642474</v>
      </c>
      <c r="N371" s="3345"/>
      <c r="O371" s="3346"/>
      <c r="P371" s="2212"/>
      <c r="Q371" s="2209"/>
    </row>
    <row r="372" spans="1:18" s="2207" customFormat="1" ht="16.5" customHeight="1">
      <c r="A372" s="2132">
        <v>359</v>
      </c>
      <c r="B372" s="2132">
        <v>110</v>
      </c>
      <c r="C372" s="3348"/>
      <c r="D372" s="3349" t="s">
        <v>1669</v>
      </c>
      <c r="E372" s="3344" t="s">
        <v>40</v>
      </c>
      <c r="F372" s="3345">
        <v>22857.142857142859</v>
      </c>
      <c r="G372" s="3345">
        <v>927750.23402139021</v>
      </c>
      <c r="H372" s="3345">
        <v>217619.71428571429</v>
      </c>
      <c r="I372" s="3345">
        <v>0</v>
      </c>
      <c r="J372" s="3345">
        <v>0</v>
      </c>
      <c r="K372" s="3345">
        <f t="shared" si="15"/>
        <v>1168227.0911642474</v>
      </c>
      <c r="L372" s="3345">
        <v>0</v>
      </c>
      <c r="M372" s="3345">
        <f t="shared" si="14"/>
        <v>1168227.0911642474</v>
      </c>
      <c r="N372" s="3345"/>
      <c r="O372" s="3346"/>
      <c r="P372" s="2212"/>
      <c r="Q372" s="2209"/>
    </row>
    <row r="373" spans="1:18" s="2207" customFormat="1" ht="16.5" customHeight="1">
      <c r="A373" s="2132">
        <v>360</v>
      </c>
      <c r="B373" s="2132">
        <v>111</v>
      </c>
      <c r="C373" s="3348"/>
      <c r="D373" s="3349" t="s">
        <v>1670</v>
      </c>
      <c r="E373" s="3344" t="s">
        <v>40</v>
      </c>
      <c r="F373" s="3345">
        <v>22857.142857142859</v>
      </c>
      <c r="G373" s="3345">
        <v>927750.23402139021</v>
      </c>
      <c r="H373" s="3345">
        <v>217619.71428571429</v>
      </c>
      <c r="I373" s="3345">
        <v>0</v>
      </c>
      <c r="J373" s="3345">
        <v>0</v>
      </c>
      <c r="K373" s="3345">
        <f t="shared" si="15"/>
        <v>1168227.0911642474</v>
      </c>
      <c r="L373" s="3345">
        <v>0</v>
      </c>
      <c r="M373" s="3345">
        <f t="shared" si="14"/>
        <v>1168227.0911642474</v>
      </c>
      <c r="N373" s="3345"/>
      <c r="O373" s="3346"/>
      <c r="P373" s="2212"/>
      <c r="Q373" s="2209"/>
    </row>
    <row r="374" spans="1:18" s="2207" customFormat="1" ht="16.5" customHeight="1">
      <c r="A374" s="2132">
        <v>361</v>
      </c>
      <c r="B374" s="2132">
        <v>112</v>
      </c>
      <c r="C374" s="3348"/>
      <c r="D374" s="3349" t="s">
        <v>1639</v>
      </c>
      <c r="E374" s="3344" t="s">
        <v>40</v>
      </c>
      <c r="F374" s="3345">
        <v>22857.142857142859</v>
      </c>
      <c r="G374" s="3345">
        <v>927750.23402139021</v>
      </c>
      <c r="H374" s="3345">
        <v>217619.71428571429</v>
      </c>
      <c r="I374" s="3345">
        <v>0</v>
      </c>
      <c r="J374" s="3345">
        <v>0</v>
      </c>
      <c r="K374" s="3345">
        <f t="shared" si="15"/>
        <v>1168227.0911642474</v>
      </c>
      <c r="L374" s="3345">
        <v>0</v>
      </c>
      <c r="M374" s="3345">
        <f t="shared" si="14"/>
        <v>1168227.0911642474</v>
      </c>
      <c r="N374" s="3345"/>
      <c r="O374" s="3346"/>
      <c r="P374" s="2212"/>
      <c r="Q374" s="2209"/>
    </row>
    <row r="375" spans="1:18" s="2207" customFormat="1" ht="21" customHeight="1">
      <c r="A375" s="4045" t="s">
        <v>371</v>
      </c>
      <c r="B375" s="4046"/>
      <c r="C375" s="4046"/>
      <c r="D375" s="4046"/>
      <c r="E375" s="4047"/>
      <c r="F375" s="3342">
        <f>SUM(F376:F485)</f>
        <v>32605299.666666612</v>
      </c>
      <c r="G375" s="3342">
        <f t="shared" ref="G375:H375" si="16">SUM(G376:G485)</f>
        <v>64207177.976103581</v>
      </c>
      <c r="H375" s="3342">
        <f t="shared" si="16"/>
        <v>37300000.400000006</v>
      </c>
      <c r="I375" s="3342">
        <f t="shared" ref="I375" si="17">SUM(I376:I485)</f>
        <v>13923996.886244414</v>
      </c>
      <c r="J375" s="3342">
        <f t="shared" ref="J375" si="18">SUM(J376:J485)</f>
        <v>0</v>
      </c>
      <c r="K375" s="3342">
        <f t="shared" ref="K375" si="19">SUM(K376:K485)</f>
        <v>134112478.04277022</v>
      </c>
      <c r="L375" s="3342">
        <f t="shared" ref="L375" si="20">SUM(L376:L485)</f>
        <v>0</v>
      </c>
      <c r="M375" s="3342">
        <f t="shared" ref="M375" si="21">SUM(M376:M485)</f>
        <v>134112478.04277022</v>
      </c>
      <c r="N375" s="3342">
        <f>SUM(N376:N431)</f>
        <v>0</v>
      </c>
      <c r="O375" s="3341"/>
      <c r="P375" s="2206"/>
      <c r="Q375" s="2209"/>
    </row>
    <row r="376" spans="1:18" s="1979" customFormat="1" ht="16.5" customHeight="1">
      <c r="A376" s="2132">
        <v>362</v>
      </c>
      <c r="B376" s="2132">
        <v>1</v>
      </c>
      <c r="C376" s="3343"/>
      <c r="D376" s="3349" t="s">
        <v>1671</v>
      </c>
      <c r="E376" s="3349" t="s">
        <v>40</v>
      </c>
      <c r="F376" s="3345">
        <v>914545.45454545401</v>
      </c>
      <c r="G376" s="3345">
        <v>161257.193444164</v>
      </c>
      <c r="H376" s="3345">
        <v>76170.283060617701</v>
      </c>
      <c r="I376" s="3345">
        <v>0</v>
      </c>
      <c r="J376" s="3345">
        <v>0</v>
      </c>
      <c r="K376" s="3345">
        <f t="shared" ref="K376:K407" si="22">H376+G376+F376</f>
        <v>1151972.9310502356</v>
      </c>
      <c r="L376" s="3345">
        <v>0</v>
      </c>
      <c r="M376" s="3345">
        <f>K376</f>
        <v>1151972.9310502356</v>
      </c>
      <c r="N376" s="3345"/>
      <c r="O376" s="3350"/>
      <c r="R376" s="3332">
        <f>'LƯƠNG TT'!F67-'Lương gia thuộc'!F375</f>
        <v>-32605299.666666612</v>
      </c>
    </row>
    <row r="377" spans="1:18" s="1979" customFormat="1" ht="16.5" customHeight="1">
      <c r="A377" s="2132">
        <v>363</v>
      </c>
      <c r="B377" s="2132">
        <v>2</v>
      </c>
      <c r="C377" s="3343"/>
      <c r="D377" s="3349" t="s">
        <v>968</v>
      </c>
      <c r="E377" s="3349" t="s">
        <v>40</v>
      </c>
      <c r="F377" s="3345">
        <v>914545.45454545401</v>
      </c>
      <c r="G377" s="3345">
        <v>161257.193444164</v>
      </c>
      <c r="H377" s="3345">
        <v>222727.67272727299</v>
      </c>
      <c r="I377" s="3345">
        <v>0</v>
      </c>
      <c r="J377" s="3345">
        <v>0</v>
      </c>
      <c r="K377" s="3345">
        <f t="shared" si="22"/>
        <v>1298530.320716891</v>
      </c>
      <c r="L377" s="3345">
        <v>0</v>
      </c>
      <c r="M377" s="3345">
        <f t="shared" ref="M377:M440" si="23">K377</f>
        <v>1298530.320716891</v>
      </c>
      <c r="N377" s="3345"/>
      <c r="O377" s="3350"/>
      <c r="R377" s="3332">
        <f>G375-'LƯƠNG TT'!G67</f>
        <v>14415892.080006175</v>
      </c>
    </row>
    <row r="378" spans="1:18" s="1979" customFormat="1" ht="16.5" customHeight="1">
      <c r="A378" s="2132">
        <v>364</v>
      </c>
      <c r="B378" s="2132">
        <v>3</v>
      </c>
      <c r="C378" s="3343"/>
      <c r="D378" s="3349" t="s">
        <v>978</v>
      </c>
      <c r="E378" s="3349" t="s">
        <v>40</v>
      </c>
      <c r="F378" s="3345">
        <v>914545.45454545401</v>
      </c>
      <c r="G378" s="3345">
        <v>161257.193444164</v>
      </c>
      <c r="H378" s="3345">
        <v>222727.272727273</v>
      </c>
      <c r="I378" s="3345">
        <v>0</v>
      </c>
      <c r="J378" s="3345">
        <v>0</v>
      </c>
      <c r="K378" s="3345">
        <f t="shared" si="22"/>
        <v>1298529.9207168911</v>
      </c>
      <c r="L378" s="3345">
        <v>0</v>
      </c>
      <c r="M378" s="3345">
        <f t="shared" si="23"/>
        <v>1298529.9207168911</v>
      </c>
      <c r="N378" s="3345"/>
      <c r="O378" s="3350"/>
    </row>
    <row r="379" spans="1:18" s="1979" customFormat="1" ht="16.5" customHeight="1">
      <c r="A379" s="2132">
        <v>365</v>
      </c>
      <c r="B379" s="2132">
        <v>4</v>
      </c>
      <c r="C379" s="3343"/>
      <c r="D379" s="3349" t="s">
        <v>753</v>
      </c>
      <c r="E379" s="3349" t="s">
        <v>40</v>
      </c>
      <c r="F379" s="3345">
        <v>914545.45454545401</v>
      </c>
      <c r="G379" s="3345">
        <v>161257.193444164</v>
      </c>
      <c r="H379" s="3345">
        <v>222727.272727273</v>
      </c>
      <c r="I379" s="3345">
        <v>0</v>
      </c>
      <c r="J379" s="3345">
        <v>0</v>
      </c>
      <c r="K379" s="3345">
        <f t="shared" si="22"/>
        <v>1298529.9207168911</v>
      </c>
      <c r="L379" s="3345">
        <v>0</v>
      </c>
      <c r="M379" s="3345">
        <f t="shared" si="23"/>
        <v>1298529.9207168911</v>
      </c>
      <c r="N379" s="3345"/>
      <c r="O379" s="3350"/>
      <c r="R379" s="3332">
        <f>H375-'LƯƠNG TT'!H67</f>
        <v>-4219999.599999994</v>
      </c>
    </row>
    <row r="380" spans="1:18" s="1979" customFormat="1" ht="16.5" customHeight="1">
      <c r="A380" s="2132">
        <v>366</v>
      </c>
      <c r="B380" s="2132">
        <v>5</v>
      </c>
      <c r="C380" s="3343"/>
      <c r="D380" s="3349" t="s">
        <v>1672</v>
      </c>
      <c r="E380" s="3349" t="s">
        <v>40</v>
      </c>
      <c r="F380" s="3345">
        <v>914545.45454545401</v>
      </c>
      <c r="G380" s="3345">
        <v>161257.193444164</v>
      </c>
      <c r="H380" s="3345">
        <v>222727.272727273</v>
      </c>
      <c r="I380" s="3345">
        <v>0</v>
      </c>
      <c r="J380" s="3345">
        <v>0</v>
      </c>
      <c r="K380" s="3345">
        <f t="shared" si="22"/>
        <v>1298529.9207168911</v>
      </c>
      <c r="L380" s="3345">
        <v>0</v>
      </c>
      <c r="M380" s="3345">
        <f t="shared" si="23"/>
        <v>1298529.9207168911</v>
      </c>
      <c r="N380" s="3345"/>
      <c r="O380" s="3350"/>
    </row>
    <row r="381" spans="1:18" s="1979" customFormat="1" ht="16.5" customHeight="1">
      <c r="A381" s="2132">
        <v>367</v>
      </c>
      <c r="B381" s="2132">
        <v>6</v>
      </c>
      <c r="C381" s="3343"/>
      <c r="D381" s="3349" t="s">
        <v>1673</v>
      </c>
      <c r="E381" s="3349" t="s">
        <v>40</v>
      </c>
      <c r="F381" s="3345">
        <v>914545.45454545401</v>
      </c>
      <c r="G381" s="3345">
        <v>161257.193444164</v>
      </c>
      <c r="H381" s="3345">
        <v>222727.272727273</v>
      </c>
      <c r="I381" s="3345">
        <v>0</v>
      </c>
      <c r="J381" s="3345">
        <v>0</v>
      </c>
      <c r="K381" s="3345">
        <f t="shared" si="22"/>
        <v>1298529.9207168911</v>
      </c>
      <c r="L381" s="3345">
        <v>0</v>
      </c>
      <c r="M381" s="3345">
        <f t="shared" si="23"/>
        <v>1298529.9207168911</v>
      </c>
      <c r="N381" s="3345"/>
      <c r="O381" s="3350"/>
      <c r="R381" s="3332">
        <f>R377/5</f>
        <v>2883178.4160012351</v>
      </c>
    </row>
    <row r="382" spans="1:18" s="1979" customFormat="1" ht="16.5" customHeight="1">
      <c r="A382" s="2132">
        <v>368</v>
      </c>
      <c r="B382" s="2132">
        <v>7</v>
      </c>
      <c r="C382" s="3343"/>
      <c r="D382" s="3349" t="s">
        <v>1674</v>
      </c>
      <c r="E382" s="3349" t="s">
        <v>40</v>
      </c>
      <c r="F382" s="3345">
        <v>914545.45454545401</v>
      </c>
      <c r="G382" s="3345">
        <v>161257.193444164</v>
      </c>
      <c r="H382" s="3345">
        <v>222727.272727273</v>
      </c>
      <c r="I382" s="3345">
        <v>0</v>
      </c>
      <c r="J382" s="3345">
        <v>0</v>
      </c>
      <c r="K382" s="3345">
        <f t="shared" si="22"/>
        <v>1298529.9207168911</v>
      </c>
      <c r="L382" s="3345">
        <v>0</v>
      </c>
      <c r="M382" s="3345">
        <f t="shared" si="23"/>
        <v>1298529.9207168911</v>
      </c>
      <c r="N382" s="3345"/>
      <c r="O382" s="3350"/>
    </row>
    <row r="383" spans="1:18" s="1979" customFormat="1" ht="16.5" customHeight="1">
      <c r="A383" s="2132">
        <v>369</v>
      </c>
      <c r="B383" s="2132">
        <v>8</v>
      </c>
      <c r="C383" s="3343"/>
      <c r="D383" s="3349" t="s">
        <v>1675</v>
      </c>
      <c r="E383" s="3349" t="s">
        <v>40</v>
      </c>
      <c r="F383" s="3345">
        <v>914545.45454545401</v>
      </c>
      <c r="G383" s="3345">
        <v>161257.193444164</v>
      </c>
      <c r="H383" s="3345">
        <v>222727.272727273</v>
      </c>
      <c r="I383" s="3345">
        <v>0</v>
      </c>
      <c r="J383" s="3345">
        <v>0</v>
      </c>
      <c r="K383" s="3345">
        <f t="shared" si="22"/>
        <v>1298529.9207168911</v>
      </c>
      <c r="L383" s="3345">
        <v>0</v>
      </c>
      <c r="M383" s="3345">
        <f t="shared" si="23"/>
        <v>1298529.9207168911</v>
      </c>
      <c r="N383" s="3345"/>
      <c r="O383" s="3350"/>
    </row>
    <row r="384" spans="1:18" s="1979" customFormat="1" ht="16.5" customHeight="1">
      <c r="A384" s="2132">
        <v>370</v>
      </c>
      <c r="B384" s="2132">
        <v>9</v>
      </c>
      <c r="C384" s="3343"/>
      <c r="D384" s="3349" t="s">
        <v>1676</v>
      </c>
      <c r="E384" s="3349" t="s">
        <v>40</v>
      </c>
      <c r="F384" s="3345">
        <v>914545.45454545401</v>
      </c>
      <c r="G384" s="3345">
        <v>161257.193444164</v>
      </c>
      <c r="H384" s="3345">
        <v>222727.272727273</v>
      </c>
      <c r="I384" s="3345">
        <v>0</v>
      </c>
      <c r="J384" s="3345">
        <v>0</v>
      </c>
      <c r="K384" s="3345">
        <f t="shared" si="22"/>
        <v>1298529.9207168911</v>
      </c>
      <c r="L384" s="3345">
        <v>0</v>
      </c>
      <c r="M384" s="3345">
        <f t="shared" si="23"/>
        <v>1298529.9207168911</v>
      </c>
      <c r="N384" s="3345"/>
      <c r="O384" s="3350"/>
    </row>
    <row r="385" spans="1:18" s="1979" customFormat="1" ht="16.5" customHeight="1">
      <c r="A385" s="2132">
        <v>371</v>
      </c>
      <c r="B385" s="2132">
        <v>10</v>
      </c>
      <c r="C385" s="3343"/>
      <c r="D385" s="3349" t="s">
        <v>1677</v>
      </c>
      <c r="E385" s="3349" t="s">
        <v>40</v>
      </c>
      <c r="F385" s="3345">
        <v>914545.45454545401</v>
      </c>
      <c r="G385" s="3345">
        <v>161257.193444164</v>
      </c>
      <c r="H385" s="3345">
        <v>222727.272727273</v>
      </c>
      <c r="I385" s="3345">
        <v>0</v>
      </c>
      <c r="J385" s="3345">
        <v>0</v>
      </c>
      <c r="K385" s="3345">
        <f t="shared" si="22"/>
        <v>1298529.9207168911</v>
      </c>
      <c r="L385" s="3345">
        <v>0</v>
      </c>
      <c r="M385" s="3345">
        <f t="shared" si="23"/>
        <v>1298529.9207168911</v>
      </c>
      <c r="N385" s="3345"/>
      <c r="O385" s="3350"/>
    </row>
    <row r="386" spans="1:18" s="1979" customFormat="1" ht="16.5" customHeight="1">
      <c r="A386" s="2132">
        <v>372</v>
      </c>
      <c r="B386" s="2132">
        <v>11</v>
      </c>
      <c r="C386" s="3343"/>
      <c r="D386" s="3349" t="s">
        <v>1678</v>
      </c>
      <c r="E386" s="3349" t="s">
        <v>40</v>
      </c>
      <c r="F386" s="3345">
        <v>914545.45454545401</v>
      </c>
      <c r="G386" s="3345">
        <v>161257.193444164</v>
      </c>
      <c r="H386" s="3345">
        <v>222727.272727273</v>
      </c>
      <c r="I386" s="3345">
        <v>0</v>
      </c>
      <c r="J386" s="3345">
        <v>0</v>
      </c>
      <c r="K386" s="3345">
        <f t="shared" si="22"/>
        <v>1298529.9207168911</v>
      </c>
      <c r="L386" s="3345">
        <v>0</v>
      </c>
      <c r="M386" s="3345">
        <f t="shared" si="23"/>
        <v>1298529.9207168911</v>
      </c>
      <c r="N386" s="3345"/>
      <c r="O386" s="3350"/>
    </row>
    <row r="387" spans="1:18" s="1979" customFormat="1" ht="16.5" customHeight="1">
      <c r="A387" s="2132">
        <v>373</v>
      </c>
      <c r="B387" s="2132">
        <v>12</v>
      </c>
      <c r="C387" s="3343"/>
      <c r="D387" s="3349" t="s">
        <v>1679</v>
      </c>
      <c r="E387" s="3349" t="s">
        <v>40</v>
      </c>
      <c r="F387" s="3345">
        <v>620000</v>
      </c>
      <c r="G387" s="3345">
        <v>245841.35061886499</v>
      </c>
      <c r="H387" s="3345">
        <v>362500</v>
      </c>
      <c r="I387" s="3345">
        <v>0</v>
      </c>
      <c r="J387" s="3345">
        <v>0</v>
      </c>
      <c r="K387" s="3345">
        <f t="shared" si="22"/>
        <v>1228341.3506188649</v>
      </c>
      <c r="L387" s="3345">
        <v>0</v>
      </c>
      <c r="M387" s="3345">
        <f t="shared" si="23"/>
        <v>1228341.3506188649</v>
      </c>
      <c r="N387" s="3345">
        <v>0</v>
      </c>
      <c r="O387" s="3350"/>
      <c r="R387" s="3332"/>
    </row>
    <row r="388" spans="1:18" s="1979" customFormat="1" ht="16.5" customHeight="1">
      <c r="A388" s="2132">
        <v>374</v>
      </c>
      <c r="B388" s="2132">
        <v>13</v>
      </c>
      <c r="C388" s="3343"/>
      <c r="D388" s="3349" t="s">
        <v>1680</v>
      </c>
      <c r="E388" s="3349" t="s">
        <v>40</v>
      </c>
      <c r="F388" s="3345">
        <v>620000</v>
      </c>
      <c r="G388" s="3345">
        <v>245841.35061886499</v>
      </c>
      <c r="H388" s="3345">
        <v>362500</v>
      </c>
      <c r="I388" s="3345">
        <v>0</v>
      </c>
      <c r="J388" s="3345">
        <v>0</v>
      </c>
      <c r="K388" s="3345">
        <f t="shared" si="22"/>
        <v>1228341.3506188649</v>
      </c>
      <c r="L388" s="3345">
        <v>0</v>
      </c>
      <c r="M388" s="3345">
        <f t="shared" si="23"/>
        <v>1228341.3506188649</v>
      </c>
      <c r="N388" s="3345">
        <v>0</v>
      </c>
      <c r="O388" s="3350"/>
      <c r="R388" s="3332"/>
    </row>
    <row r="389" spans="1:18" s="1979" customFormat="1" ht="16.5" customHeight="1">
      <c r="A389" s="2132">
        <v>375</v>
      </c>
      <c r="B389" s="2132">
        <v>14</v>
      </c>
      <c r="C389" s="3343"/>
      <c r="D389" s="3349" t="s">
        <v>1681</v>
      </c>
      <c r="E389" s="3349" t="s">
        <v>40</v>
      </c>
      <c r="F389" s="3345">
        <v>620000</v>
      </c>
      <c r="G389" s="3345">
        <v>245841.35061886499</v>
      </c>
      <c r="H389" s="3345">
        <v>362500</v>
      </c>
      <c r="I389" s="3345">
        <v>0</v>
      </c>
      <c r="J389" s="3345">
        <v>0</v>
      </c>
      <c r="K389" s="3345">
        <f t="shared" si="22"/>
        <v>1228341.3506188649</v>
      </c>
      <c r="L389" s="3345">
        <v>0</v>
      </c>
      <c r="M389" s="3345">
        <f t="shared" si="23"/>
        <v>1228341.3506188649</v>
      </c>
      <c r="N389" s="3345">
        <v>0</v>
      </c>
      <c r="O389" s="3350"/>
      <c r="R389" s="3332"/>
    </row>
    <row r="390" spans="1:18" s="1979" customFormat="1" ht="16.5" customHeight="1">
      <c r="A390" s="2132">
        <v>376</v>
      </c>
      <c r="B390" s="2132">
        <v>15</v>
      </c>
      <c r="C390" s="3343"/>
      <c r="D390" s="3349" t="s">
        <v>1682</v>
      </c>
      <c r="E390" s="3349" t="s">
        <v>40</v>
      </c>
      <c r="F390" s="3345">
        <v>620000</v>
      </c>
      <c r="G390" s="3345">
        <v>245841.35061886499</v>
      </c>
      <c r="H390" s="3345">
        <v>362500</v>
      </c>
      <c r="I390" s="3345">
        <v>0</v>
      </c>
      <c r="J390" s="3345">
        <v>0</v>
      </c>
      <c r="K390" s="3345">
        <f t="shared" si="22"/>
        <v>1228341.3506188649</v>
      </c>
      <c r="L390" s="3345">
        <v>0</v>
      </c>
      <c r="M390" s="3345">
        <f t="shared" si="23"/>
        <v>1228341.3506188649</v>
      </c>
      <c r="N390" s="3345">
        <v>0</v>
      </c>
      <c r="O390" s="3350"/>
      <c r="R390" s="3332"/>
    </row>
    <row r="391" spans="1:18" s="1979" customFormat="1" ht="16.5" customHeight="1">
      <c r="A391" s="2132">
        <v>377</v>
      </c>
      <c r="B391" s="2132">
        <v>16</v>
      </c>
      <c r="C391" s="3343"/>
      <c r="D391" s="3349" t="s">
        <v>1683</v>
      </c>
      <c r="E391" s="3349" t="s">
        <v>40</v>
      </c>
      <c r="F391" s="3345">
        <v>620000</v>
      </c>
      <c r="G391" s="3345">
        <v>245841.35061886499</v>
      </c>
      <c r="H391" s="3345">
        <v>362500</v>
      </c>
      <c r="I391" s="3345">
        <v>0</v>
      </c>
      <c r="J391" s="3345">
        <v>0</v>
      </c>
      <c r="K391" s="3345">
        <f t="shared" si="22"/>
        <v>1228341.3506188649</v>
      </c>
      <c r="L391" s="3345">
        <v>0</v>
      </c>
      <c r="M391" s="3345">
        <f t="shared" si="23"/>
        <v>1228341.3506188649</v>
      </c>
      <c r="N391" s="3345"/>
      <c r="O391" s="3350"/>
      <c r="R391" s="3332"/>
    </row>
    <row r="392" spans="1:18" s="1979" customFormat="1" ht="16.5" customHeight="1">
      <c r="A392" s="2132">
        <v>378</v>
      </c>
      <c r="B392" s="2132">
        <v>17</v>
      </c>
      <c r="C392" s="3343"/>
      <c r="D392" s="3349" t="s">
        <v>1684</v>
      </c>
      <c r="E392" s="3349" t="s">
        <v>40</v>
      </c>
      <c r="F392" s="3345">
        <v>620000</v>
      </c>
      <c r="G392" s="3345">
        <v>245841.35061886499</v>
      </c>
      <c r="H392" s="3345">
        <v>362500</v>
      </c>
      <c r="I392" s="3345">
        <v>0</v>
      </c>
      <c r="J392" s="3345">
        <v>0</v>
      </c>
      <c r="K392" s="3345">
        <f t="shared" si="22"/>
        <v>1228341.3506188649</v>
      </c>
      <c r="L392" s="3345">
        <v>0</v>
      </c>
      <c r="M392" s="3345">
        <f t="shared" si="23"/>
        <v>1228341.3506188649</v>
      </c>
      <c r="N392" s="3345"/>
      <c r="O392" s="3350"/>
      <c r="R392" s="3332"/>
    </row>
    <row r="393" spans="1:18" s="1979" customFormat="1" ht="16.5" customHeight="1">
      <c r="A393" s="2132">
        <v>379</v>
      </c>
      <c r="B393" s="2132">
        <v>18</v>
      </c>
      <c r="C393" s="3343"/>
      <c r="D393" s="3349" t="s">
        <v>1685</v>
      </c>
      <c r="E393" s="3349" t="s">
        <v>40</v>
      </c>
      <c r="F393" s="3345">
        <v>620000</v>
      </c>
      <c r="G393" s="3345">
        <v>245841.35061886499</v>
      </c>
      <c r="H393" s="3345">
        <v>362500</v>
      </c>
      <c r="I393" s="3345">
        <v>0</v>
      </c>
      <c r="J393" s="3345">
        <v>0</v>
      </c>
      <c r="K393" s="3345">
        <f t="shared" si="22"/>
        <v>1228341.3506188649</v>
      </c>
      <c r="L393" s="3345">
        <v>0</v>
      </c>
      <c r="M393" s="3345">
        <f t="shared" si="23"/>
        <v>1228341.3506188649</v>
      </c>
      <c r="N393" s="3345"/>
      <c r="O393" s="3350"/>
      <c r="R393" s="3332"/>
    </row>
    <row r="394" spans="1:18" s="1979" customFormat="1" ht="16.5" customHeight="1">
      <c r="A394" s="2132">
        <v>380</v>
      </c>
      <c r="B394" s="2132">
        <v>19</v>
      </c>
      <c r="C394" s="3343"/>
      <c r="D394" s="3349" t="s">
        <v>1686</v>
      </c>
      <c r="E394" s="3349" t="s">
        <v>40</v>
      </c>
      <c r="F394" s="3345">
        <v>620000</v>
      </c>
      <c r="G394" s="3345">
        <v>245841.35061886499</v>
      </c>
      <c r="H394" s="3345">
        <v>362500</v>
      </c>
      <c r="I394" s="3345">
        <v>0</v>
      </c>
      <c r="J394" s="3345">
        <v>0</v>
      </c>
      <c r="K394" s="3345">
        <f t="shared" si="22"/>
        <v>1228341.3506188649</v>
      </c>
      <c r="L394" s="3345">
        <v>0</v>
      </c>
      <c r="M394" s="3345">
        <f t="shared" si="23"/>
        <v>1228341.3506188649</v>
      </c>
      <c r="N394" s="3345"/>
      <c r="O394" s="3350"/>
      <c r="R394" s="3332"/>
    </row>
    <row r="395" spans="1:18" s="1979" customFormat="1" ht="16.5" customHeight="1">
      <c r="A395" s="2132">
        <v>381</v>
      </c>
      <c r="B395" s="2132">
        <v>20</v>
      </c>
      <c r="C395" s="3343"/>
      <c r="D395" s="3349" t="s">
        <v>1687</v>
      </c>
      <c r="E395" s="3349" t="s">
        <v>40</v>
      </c>
      <c r="F395" s="3345">
        <f>432000+93316.5</f>
        <v>525316.5</v>
      </c>
      <c r="G395" s="3345">
        <v>521944.26355048141</v>
      </c>
      <c r="H395" s="3345">
        <v>140000</v>
      </c>
      <c r="I395" s="3345">
        <v>0</v>
      </c>
      <c r="J395" s="3345">
        <v>0</v>
      </c>
      <c r="K395" s="3345">
        <f t="shared" si="22"/>
        <v>1187260.7635504813</v>
      </c>
      <c r="L395" s="3345">
        <v>0</v>
      </c>
      <c r="M395" s="3345">
        <f t="shared" si="23"/>
        <v>1187260.7635504813</v>
      </c>
      <c r="N395" s="3345"/>
      <c r="O395" s="3350"/>
    </row>
    <row r="396" spans="1:18" s="1979" customFormat="1" ht="16.5" customHeight="1">
      <c r="A396" s="2132">
        <v>382</v>
      </c>
      <c r="B396" s="2132">
        <v>21</v>
      </c>
      <c r="C396" s="3343"/>
      <c r="D396" s="3349" t="s">
        <v>1688</v>
      </c>
      <c r="E396" s="3349" t="s">
        <v>40</v>
      </c>
      <c r="F396" s="3345">
        <f>432000+93316.5</f>
        <v>525316.5</v>
      </c>
      <c r="G396" s="3345">
        <v>521944.26355048141</v>
      </c>
      <c r="H396" s="3345">
        <v>140000</v>
      </c>
      <c r="I396" s="3345">
        <v>0</v>
      </c>
      <c r="J396" s="3345">
        <v>0</v>
      </c>
      <c r="K396" s="3345">
        <f t="shared" si="22"/>
        <v>1187260.7635504813</v>
      </c>
      <c r="L396" s="3345">
        <v>0</v>
      </c>
      <c r="M396" s="3345">
        <f t="shared" si="23"/>
        <v>1187260.7635504813</v>
      </c>
      <c r="N396" s="3345"/>
      <c r="O396" s="3350"/>
    </row>
    <row r="397" spans="1:18" s="1979" customFormat="1" ht="16.5" customHeight="1">
      <c r="A397" s="2132">
        <v>383</v>
      </c>
      <c r="B397" s="2132">
        <v>22</v>
      </c>
      <c r="C397" s="3343"/>
      <c r="D397" s="3349" t="s">
        <v>1689</v>
      </c>
      <c r="E397" s="3349" t="s">
        <v>40</v>
      </c>
      <c r="F397" s="3345">
        <v>432000</v>
      </c>
      <c r="G397" s="3345">
        <v>521944.26355048141</v>
      </c>
      <c r="H397" s="3345">
        <v>140000</v>
      </c>
      <c r="I397" s="3345">
        <v>0</v>
      </c>
      <c r="J397" s="3345">
        <v>0</v>
      </c>
      <c r="K397" s="3345">
        <f t="shared" si="22"/>
        <v>1093944.2635504813</v>
      </c>
      <c r="L397" s="3345">
        <v>0</v>
      </c>
      <c r="M397" s="3345">
        <f t="shared" si="23"/>
        <v>1093944.2635504813</v>
      </c>
      <c r="N397" s="3345"/>
      <c r="O397" s="3350"/>
    </row>
    <row r="398" spans="1:18" s="1979" customFormat="1" ht="16.5" customHeight="1">
      <c r="A398" s="2132">
        <v>384</v>
      </c>
      <c r="B398" s="2132">
        <v>23</v>
      </c>
      <c r="C398" s="3343"/>
      <c r="D398" s="3349" t="s">
        <v>1690</v>
      </c>
      <c r="E398" s="3349" t="s">
        <v>40</v>
      </c>
      <c r="F398" s="3345">
        <v>432000</v>
      </c>
      <c r="G398" s="3345">
        <v>521944.26355048141</v>
      </c>
      <c r="H398" s="3345">
        <v>140000</v>
      </c>
      <c r="I398" s="3345">
        <v>0</v>
      </c>
      <c r="J398" s="3345">
        <v>0</v>
      </c>
      <c r="K398" s="3345">
        <f t="shared" si="22"/>
        <v>1093944.2635504813</v>
      </c>
      <c r="L398" s="3345">
        <v>0</v>
      </c>
      <c r="M398" s="3345">
        <f t="shared" si="23"/>
        <v>1093944.2635504813</v>
      </c>
      <c r="N398" s="3345"/>
      <c r="O398" s="3350"/>
    </row>
    <row r="399" spans="1:18" s="1979" customFormat="1" ht="16.5" customHeight="1">
      <c r="A399" s="2132">
        <v>385</v>
      </c>
      <c r="B399" s="2132">
        <v>24</v>
      </c>
      <c r="C399" s="3343"/>
      <c r="D399" s="3349" t="s">
        <v>1691</v>
      </c>
      <c r="E399" s="3349" t="s">
        <v>40</v>
      </c>
      <c r="F399" s="3345">
        <v>432000</v>
      </c>
      <c r="G399" s="3345">
        <v>521944.26355048141</v>
      </c>
      <c r="H399" s="3345">
        <v>140000</v>
      </c>
      <c r="I399" s="3345">
        <v>0</v>
      </c>
      <c r="J399" s="3345">
        <v>0</v>
      </c>
      <c r="K399" s="3345">
        <f t="shared" si="22"/>
        <v>1093944.2635504813</v>
      </c>
      <c r="L399" s="3345">
        <v>0</v>
      </c>
      <c r="M399" s="3345">
        <f t="shared" si="23"/>
        <v>1093944.2635504813</v>
      </c>
      <c r="N399" s="3345"/>
      <c r="O399" s="3350"/>
    </row>
    <row r="400" spans="1:18" s="1979" customFormat="1" ht="16.5" customHeight="1">
      <c r="A400" s="2132">
        <v>386</v>
      </c>
      <c r="B400" s="2132">
        <v>25</v>
      </c>
      <c r="C400" s="3343"/>
      <c r="D400" s="3349" t="s">
        <v>1692</v>
      </c>
      <c r="E400" s="3349" t="s">
        <v>40</v>
      </c>
      <c r="F400" s="3345">
        <v>820000</v>
      </c>
      <c r="G400" s="3345">
        <v>290486.915109461</v>
      </c>
      <c r="H400" s="3345">
        <v>175000</v>
      </c>
      <c r="I400" s="3345">
        <v>0</v>
      </c>
      <c r="J400" s="3345">
        <v>0</v>
      </c>
      <c r="K400" s="3345">
        <f t="shared" si="22"/>
        <v>1285486.9151094609</v>
      </c>
      <c r="L400" s="3345">
        <v>0</v>
      </c>
      <c r="M400" s="3345">
        <f t="shared" si="23"/>
        <v>1285486.9151094609</v>
      </c>
      <c r="N400" s="3345"/>
      <c r="O400" s="3350"/>
    </row>
    <row r="401" spans="1:15" s="1979" customFormat="1" ht="16.5" customHeight="1">
      <c r="A401" s="2132">
        <v>387</v>
      </c>
      <c r="B401" s="2132">
        <v>26</v>
      </c>
      <c r="C401" s="3343"/>
      <c r="D401" s="3349" t="s">
        <v>1693</v>
      </c>
      <c r="E401" s="3349" t="s">
        <v>40</v>
      </c>
      <c r="F401" s="3345">
        <v>820000</v>
      </c>
      <c r="G401" s="3345">
        <v>290486.915109461</v>
      </c>
      <c r="H401" s="3345">
        <v>175000</v>
      </c>
      <c r="I401" s="3345">
        <v>0</v>
      </c>
      <c r="J401" s="3345">
        <v>0</v>
      </c>
      <c r="K401" s="3345">
        <f t="shared" si="22"/>
        <v>1285486.9151094609</v>
      </c>
      <c r="L401" s="3345">
        <v>0</v>
      </c>
      <c r="M401" s="3345">
        <f t="shared" si="23"/>
        <v>1285486.9151094609</v>
      </c>
      <c r="N401" s="3345"/>
      <c r="O401" s="3350"/>
    </row>
    <row r="402" spans="1:15" s="1979" customFormat="1" ht="16.5" customHeight="1">
      <c r="A402" s="2132">
        <v>388</v>
      </c>
      <c r="B402" s="2132">
        <v>27</v>
      </c>
      <c r="C402" s="3343"/>
      <c r="D402" s="3349" t="s">
        <v>1694</v>
      </c>
      <c r="E402" s="3349" t="s">
        <v>40</v>
      </c>
      <c r="F402" s="3345">
        <v>820000</v>
      </c>
      <c r="G402" s="3345">
        <v>290486.915109461</v>
      </c>
      <c r="H402" s="3345">
        <v>175000</v>
      </c>
      <c r="I402" s="3345">
        <v>0</v>
      </c>
      <c r="J402" s="3345">
        <v>0</v>
      </c>
      <c r="K402" s="3345">
        <f t="shared" si="22"/>
        <v>1285486.9151094609</v>
      </c>
      <c r="L402" s="3345">
        <v>0</v>
      </c>
      <c r="M402" s="3345">
        <f t="shared" si="23"/>
        <v>1285486.9151094609</v>
      </c>
      <c r="N402" s="3345"/>
      <c r="O402" s="3350"/>
    </row>
    <row r="403" spans="1:15" s="1979" customFormat="1" ht="16.5" customHeight="1">
      <c r="A403" s="2132">
        <v>389</v>
      </c>
      <c r="B403" s="2132">
        <v>28</v>
      </c>
      <c r="C403" s="3343"/>
      <c r="D403" s="3349" t="s">
        <v>1659</v>
      </c>
      <c r="E403" s="3349" t="s">
        <v>40</v>
      </c>
      <c r="F403" s="3345">
        <v>820000</v>
      </c>
      <c r="G403" s="3345">
        <v>290486.915109461</v>
      </c>
      <c r="H403" s="3345">
        <v>175000</v>
      </c>
      <c r="I403" s="3345">
        <v>0</v>
      </c>
      <c r="J403" s="3345">
        <v>0</v>
      </c>
      <c r="K403" s="3345">
        <f t="shared" si="22"/>
        <v>1285486.9151094609</v>
      </c>
      <c r="L403" s="3345">
        <v>0</v>
      </c>
      <c r="M403" s="3345">
        <f t="shared" si="23"/>
        <v>1285486.9151094609</v>
      </c>
      <c r="N403" s="3345"/>
      <c r="O403" s="3350"/>
    </row>
    <row r="404" spans="1:15" s="1979" customFormat="1" ht="16.5" customHeight="1">
      <c r="A404" s="2132">
        <v>390</v>
      </c>
      <c r="B404" s="2132">
        <v>29</v>
      </c>
      <c r="C404" s="3343"/>
      <c r="D404" s="3349" t="s">
        <v>1695</v>
      </c>
      <c r="E404" s="3349" t="s">
        <v>40</v>
      </c>
      <c r="F404" s="3345">
        <v>820000</v>
      </c>
      <c r="G404" s="3345">
        <v>290486.915109461</v>
      </c>
      <c r="H404" s="3345">
        <v>175000</v>
      </c>
      <c r="I404" s="3345">
        <v>0</v>
      </c>
      <c r="J404" s="3345">
        <v>0</v>
      </c>
      <c r="K404" s="3345">
        <f t="shared" si="22"/>
        <v>1285486.9151094609</v>
      </c>
      <c r="L404" s="3345">
        <v>0</v>
      </c>
      <c r="M404" s="3345">
        <f t="shared" si="23"/>
        <v>1285486.9151094609</v>
      </c>
      <c r="N404" s="3345"/>
      <c r="O404" s="3350"/>
    </row>
    <row r="405" spans="1:15" s="1979" customFormat="1" ht="16.5" customHeight="1">
      <c r="A405" s="2132">
        <v>391</v>
      </c>
      <c r="B405" s="2132">
        <v>30</v>
      </c>
      <c r="C405" s="3343"/>
      <c r="D405" s="3349" t="s">
        <v>1696</v>
      </c>
      <c r="E405" s="3349" t="s">
        <v>40</v>
      </c>
      <c r="F405" s="3345">
        <v>820000</v>
      </c>
      <c r="G405" s="3345">
        <v>290486.915109461</v>
      </c>
      <c r="H405" s="3345">
        <v>175000</v>
      </c>
      <c r="I405" s="3345">
        <v>0</v>
      </c>
      <c r="J405" s="3345">
        <v>0</v>
      </c>
      <c r="K405" s="3345">
        <f t="shared" si="22"/>
        <v>1285486.9151094609</v>
      </c>
      <c r="L405" s="3345">
        <v>0</v>
      </c>
      <c r="M405" s="3345">
        <f t="shared" si="23"/>
        <v>1285486.9151094609</v>
      </c>
      <c r="N405" s="3345"/>
      <c r="O405" s="3350"/>
    </row>
    <row r="406" spans="1:15" s="1979" customFormat="1" ht="16.5" customHeight="1">
      <c r="A406" s="2132">
        <v>392</v>
      </c>
      <c r="B406" s="2132">
        <v>31</v>
      </c>
      <c r="C406" s="3343"/>
      <c r="D406" s="3349" t="s">
        <v>1697</v>
      </c>
      <c r="E406" s="3349" t="s">
        <v>40</v>
      </c>
      <c r="F406" s="3345">
        <v>820000</v>
      </c>
      <c r="G406" s="3345">
        <v>290486.915109461</v>
      </c>
      <c r="H406" s="3345">
        <v>175000</v>
      </c>
      <c r="I406" s="3345">
        <v>0</v>
      </c>
      <c r="J406" s="3345">
        <v>0</v>
      </c>
      <c r="K406" s="3345">
        <f t="shared" si="22"/>
        <v>1285486.9151094609</v>
      </c>
      <c r="L406" s="3345">
        <v>0</v>
      </c>
      <c r="M406" s="3345">
        <f t="shared" si="23"/>
        <v>1285486.9151094609</v>
      </c>
      <c r="N406" s="3345"/>
      <c r="O406" s="3350"/>
    </row>
    <row r="407" spans="1:15" s="1979" customFormat="1" ht="16.5" customHeight="1">
      <c r="A407" s="2132">
        <v>393</v>
      </c>
      <c r="B407" s="2132">
        <v>32</v>
      </c>
      <c r="C407" s="3343"/>
      <c r="D407" s="3349" t="s">
        <v>1698</v>
      </c>
      <c r="E407" s="3349" t="s">
        <v>40</v>
      </c>
      <c r="F407" s="3345">
        <v>820000</v>
      </c>
      <c r="G407" s="3345">
        <v>290486.915109461</v>
      </c>
      <c r="H407" s="3345">
        <v>175000</v>
      </c>
      <c r="I407" s="3345">
        <v>0</v>
      </c>
      <c r="J407" s="3345">
        <v>0</v>
      </c>
      <c r="K407" s="3345">
        <f t="shared" si="22"/>
        <v>1285486.9151094609</v>
      </c>
      <c r="L407" s="3345">
        <v>0</v>
      </c>
      <c r="M407" s="3345">
        <f t="shared" si="23"/>
        <v>1285486.9151094609</v>
      </c>
      <c r="N407" s="3345"/>
      <c r="O407" s="3350"/>
    </row>
    <row r="408" spans="1:15" s="1979" customFormat="1" ht="16.5" customHeight="1">
      <c r="A408" s="2132">
        <v>394</v>
      </c>
      <c r="B408" s="2132">
        <v>33</v>
      </c>
      <c r="C408" s="3343"/>
      <c r="D408" s="3349" t="s">
        <v>1699</v>
      </c>
      <c r="E408" s="3349" t="s">
        <v>40</v>
      </c>
      <c r="F408" s="3345">
        <v>417777.777777777</v>
      </c>
      <c r="G408" s="3345">
        <v>389833.52225103998</v>
      </c>
      <c r="H408" s="3345">
        <v>333333.33333333331</v>
      </c>
      <c r="I408" s="3345">
        <v>0</v>
      </c>
      <c r="J408" s="3345">
        <v>0</v>
      </c>
      <c r="K408" s="3345">
        <f t="shared" ref="K408:K439" si="24">H408+G408+F408</f>
        <v>1140944.6333621503</v>
      </c>
      <c r="L408" s="3345">
        <v>0</v>
      </c>
      <c r="M408" s="3345">
        <f t="shared" si="23"/>
        <v>1140944.6333621503</v>
      </c>
      <c r="N408" s="3345"/>
      <c r="O408" s="3350"/>
    </row>
    <row r="409" spans="1:15" s="1979" customFormat="1" ht="16.5" customHeight="1">
      <c r="A409" s="2132">
        <v>395</v>
      </c>
      <c r="B409" s="2132">
        <v>34</v>
      </c>
      <c r="C409" s="3343"/>
      <c r="D409" s="3349" t="s">
        <v>1700</v>
      </c>
      <c r="E409" s="3349" t="s">
        <v>40</v>
      </c>
      <c r="F409" s="3345">
        <v>417777.777777777</v>
      </c>
      <c r="G409" s="3345">
        <v>389833.52225103998</v>
      </c>
      <c r="H409" s="3345">
        <v>333333.33333333331</v>
      </c>
      <c r="I409" s="3345">
        <v>0</v>
      </c>
      <c r="J409" s="3345">
        <v>0</v>
      </c>
      <c r="K409" s="3345">
        <f t="shared" si="24"/>
        <v>1140944.6333621503</v>
      </c>
      <c r="L409" s="3345">
        <v>0</v>
      </c>
      <c r="M409" s="3345">
        <f t="shared" si="23"/>
        <v>1140944.6333621503</v>
      </c>
      <c r="N409" s="3345"/>
      <c r="O409" s="3350"/>
    </row>
    <row r="410" spans="1:15" s="1979" customFormat="1" ht="16.5" customHeight="1">
      <c r="A410" s="2132">
        <v>396</v>
      </c>
      <c r="B410" s="2132">
        <v>35</v>
      </c>
      <c r="C410" s="3343"/>
      <c r="D410" s="3349" t="s">
        <v>1640</v>
      </c>
      <c r="E410" s="3349" t="s">
        <v>40</v>
      </c>
      <c r="F410" s="3345">
        <v>417777.777777777</v>
      </c>
      <c r="G410" s="3345">
        <v>389833.52225103998</v>
      </c>
      <c r="H410" s="3345">
        <v>333333.33333333331</v>
      </c>
      <c r="I410" s="3345">
        <v>0</v>
      </c>
      <c r="J410" s="3345">
        <v>0</v>
      </c>
      <c r="K410" s="3345">
        <f t="shared" si="24"/>
        <v>1140944.6333621503</v>
      </c>
      <c r="L410" s="3345">
        <v>0</v>
      </c>
      <c r="M410" s="3345">
        <f t="shared" si="23"/>
        <v>1140944.6333621503</v>
      </c>
      <c r="N410" s="3345"/>
      <c r="O410" s="3350"/>
    </row>
    <row r="411" spans="1:15" s="1979" customFormat="1" ht="16.5" customHeight="1">
      <c r="A411" s="2132">
        <v>397</v>
      </c>
      <c r="B411" s="2132">
        <v>36</v>
      </c>
      <c r="C411" s="3343"/>
      <c r="D411" s="3349" t="s">
        <v>1701</v>
      </c>
      <c r="E411" s="3349" t="s">
        <v>40</v>
      </c>
      <c r="F411" s="3345">
        <v>417777.777777777</v>
      </c>
      <c r="G411" s="3345">
        <v>389833.52225103998</v>
      </c>
      <c r="H411" s="3345">
        <v>333333.33333333331</v>
      </c>
      <c r="I411" s="3345">
        <v>0</v>
      </c>
      <c r="J411" s="3345">
        <v>0</v>
      </c>
      <c r="K411" s="3345">
        <f t="shared" si="24"/>
        <v>1140944.6333621503</v>
      </c>
      <c r="L411" s="3345">
        <v>0</v>
      </c>
      <c r="M411" s="3345">
        <f t="shared" si="23"/>
        <v>1140944.6333621503</v>
      </c>
      <c r="N411" s="3345"/>
      <c r="O411" s="3350"/>
    </row>
    <row r="412" spans="1:15" s="1979" customFormat="1" ht="16.5" customHeight="1">
      <c r="A412" s="2132">
        <v>398</v>
      </c>
      <c r="B412" s="2132">
        <v>37</v>
      </c>
      <c r="C412" s="3343"/>
      <c r="D412" s="3349" t="s">
        <v>1702</v>
      </c>
      <c r="E412" s="3349" t="s">
        <v>40</v>
      </c>
      <c r="F412" s="3345">
        <v>417777.777777777</v>
      </c>
      <c r="G412" s="3345">
        <v>389833.52225103998</v>
      </c>
      <c r="H412" s="3345">
        <v>333333.33333333331</v>
      </c>
      <c r="I412" s="3345">
        <v>0</v>
      </c>
      <c r="J412" s="3345">
        <v>0</v>
      </c>
      <c r="K412" s="3345">
        <f t="shared" si="24"/>
        <v>1140944.6333621503</v>
      </c>
      <c r="L412" s="3345">
        <v>0</v>
      </c>
      <c r="M412" s="3345">
        <f t="shared" si="23"/>
        <v>1140944.6333621503</v>
      </c>
      <c r="N412" s="3345"/>
      <c r="O412" s="3350"/>
    </row>
    <row r="413" spans="1:15" s="1979" customFormat="1" ht="16.5" customHeight="1">
      <c r="A413" s="2132">
        <v>399</v>
      </c>
      <c r="B413" s="2132">
        <v>38</v>
      </c>
      <c r="C413" s="3343"/>
      <c r="D413" s="3349" t="s">
        <v>977</v>
      </c>
      <c r="E413" s="3349" t="s">
        <v>40</v>
      </c>
      <c r="F413" s="3345">
        <v>417777.777777777</v>
      </c>
      <c r="G413" s="3345">
        <v>389833.52225103998</v>
      </c>
      <c r="H413" s="3345">
        <v>333333.33333333331</v>
      </c>
      <c r="I413" s="3345">
        <v>0</v>
      </c>
      <c r="J413" s="3345">
        <v>0</v>
      </c>
      <c r="K413" s="3345">
        <f t="shared" si="24"/>
        <v>1140944.6333621503</v>
      </c>
      <c r="L413" s="3345">
        <v>0</v>
      </c>
      <c r="M413" s="3345">
        <f t="shared" si="23"/>
        <v>1140944.6333621503</v>
      </c>
      <c r="N413" s="3345"/>
      <c r="O413" s="3350"/>
    </row>
    <row r="414" spans="1:15" s="1979" customFormat="1" ht="16.5" customHeight="1">
      <c r="A414" s="2132">
        <v>400</v>
      </c>
      <c r="B414" s="2132">
        <v>39</v>
      </c>
      <c r="C414" s="3343"/>
      <c r="D414" s="3349" t="s">
        <v>926</v>
      </c>
      <c r="E414" s="3349" t="s">
        <v>40</v>
      </c>
      <c r="F414" s="3345">
        <v>417777.777777777</v>
      </c>
      <c r="G414" s="3345">
        <v>389833.52225103998</v>
      </c>
      <c r="H414" s="3345">
        <v>333333.33333333331</v>
      </c>
      <c r="I414" s="3345">
        <v>0</v>
      </c>
      <c r="J414" s="3345">
        <v>0</v>
      </c>
      <c r="K414" s="3345">
        <f t="shared" si="24"/>
        <v>1140944.6333621503</v>
      </c>
      <c r="L414" s="3345">
        <v>0</v>
      </c>
      <c r="M414" s="3345">
        <f t="shared" si="23"/>
        <v>1140944.6333621503</v>
      </c>
      <c r="N414" s="3345"/>
      <c r="O414" s="3350"/>
    </row>
    <row r="415" spans="1:15" s="1979" customFormat="1" ht="16.5" customHeight="1">
      <c r="A415" s="2132">
        <v>401</v>
      </c>
      <c r="B415" s="2132">
        <v>40</v>
      </c>
      <c r="C415" s="3343"/>
      <c r="D415" s="3349" t="s">
        <v>992</v>
      </c>
      <c r="E415" s="3349" t="s">
        <v>40</v>
      </c>
      <c r="F415" s="3345">
        <v>417777.777777777</v>
      </c>
      <c r="G415" s="3345">
        <v>389833.52225103998</v>
      </c>
      <c r="H415" s="3345">
        <v>333333.33333333331</v>
      </c>
      <c r="I415" s="3345">
        <v>0</v>
      </c>
      <c r="J415" s="3345">
        <v>0</v>
      </c>
      <c r="K415" s="3345">
        <f t="shared" si="24"/>
        <v>1140944.6333621503</v>
      </c>
      <c r="L415" s="3345">
        <v>0</v>
      </c>
      <c r="M415" s="3345">
        <f t="shared" si="23"/>
        <v>1140944.6333621503</v>
      </c>
      <c r="N415" s="3345"/>
      <c r="O415" s="3350"/>
    </row>
    <row r="416" spans="1:15" s="1979" customFormat="1" ht="16.5" customHeight="1">
      <c r="A416" s="2132">
        <v>402</v>
      </c>
      <c r="B416" s="2132">
        <v>41</v>
      </c>
      <c r="C416" s="3343"/>
      <c r="D416" s="3349" t="s">
        <v>1486</v>
      </c>
      <c r="E416" s="3349" t="s">
        <v>40</v>
      </c>
      <c r="F416" s="3345">
        <v>417777.777777777</v>
      </c>
      <c r="G416" s="3345">
        <v>389833.52225103998</v>
      </c>
      <c r="H416" s="3345">
        <v>333333.33333333331</v>
      </c>
      <c r="I416" s="3345">
        <v>0</v>
      </c>
      <c r="J416" s="3345">
        <v>0</v>
      </c>
      <c r="K416" s="3345">
        <f t="shared" si="24"/>
        <v>1140944.6333621503</v>
      </c>
      <c r="L416" s="3345">
        <v>0</v>
      </c>
      <c r="M416" s="3345">
        <f t="shared" si="23"/>
        <v>1140944.6333621503</v>
      </c>
      <c r="N416" s="3345"/>
      <c r="O416" s="3350"/>
    </row>
    <row r="417" spans="1:15" s="1979" customFormat="1" ht="16.5" customHeight="1">
      <c r="A417" s="2132">
        <v>403</v>
      </c>
      <c r="B417" s="2132">
        <v>42</v>
      </c>
      <c r="C417" s="3343"/>
      <c r="D417" s="3349" t="s">
        <v>1487</v>
      </c>
      <c r="E417" s="3349" t="s">
        <v>40</v>
      </c>
      <c r="F417" s="3345">
        <v>20000</v>
      </c>
      <c r="G417" s="3345">
        <v>757409.63326765609</v>
      </c>
      <c r="H417" s="3345">
        <v>375000</v>
      </c>
      <c r="I417" s="3345">
        <v>0</v>
      </c>
      <c r="J417" s="3345">
        <v>0</v>
      </c>
      <c r="K417" s="3345">
        <f t="shared" si="24"/>
        <v>1152409.633267656</v>
      </c>
      <c r="L417" s="3345">
        <v>0</v>
      </c>
      <c r="M417" s="3345">
        <f t="shared" si="23"/>
        <v>1152409.633267656</v>
      </c>
      <c r="N417" s="3345"/>
      <c r="O417" s="3350"/>
    </row>
    <row r="418" spans="1:15" s="1979" customFormat="1" ht="16.5" customHeight="1">
      <c r="A418" s="2132">
        <v>404</v>
      </c>
      <c r="B418" s="2132">
        <v>43</v>
      </c>
      <c r="C418" s="3343"/>
      <c r="D418" s="3349" t="s">
        <v>1488</v>
      </c>
      <c r="E418" s="3349" t="s">
        <v>40</v>
      </c>
      <c r="F418" s="3345">
        <v>20000</v>
      </c>
      <c r="G418" s="3345">
        <v>757409.63326765609</v>
      </c>
      <c r="H418" s="3345">
        <v>375000</v>
      </c>
      <c r="I418" s="3345">
        <v>0</v>
      </c>
      <c r="J418" s="3345">
        <v>0</v>
      </c>
      <c r="K418" s="3345">
        <f t="shared" si="24"/>
        <v>1152409.633267656</v>
      </c>
      <c r="L418" s="3345">
        <v>0</v>
      </c>
      <c r="M418" s="3345">
        <f t="shared" si="23"/>
        <v>1152409.633267656</v>
      </c>
      <c r="N418" s="3345"/>
      <c r="O418" s="3350"/>
    </row>
    <row r="419" spans="1:15" s="1979" customFormat="1" ht="16.5" customHeight="1">
      <c r="A419" s="2132">
        <v>405</v>
      </c>
      <c r="B419" s="2132">
        <v>44</v>
      </c>
      <c r="C419" s="3343"/>
      <c r="D419" s="3349" t="s">
        <v>1489</v>
      </c>
      <c r="E419" s="3349" t="s">
        <v>40</v>
      </c>
      <c r="F419" s="3345">
        <v>20000</v>
      </c>
      <c r="G419" s="3345">
        <v>757409.63326765609</v>
      </c>
      <c r="H419" s="3345">
        <v>375000</v>
      </c>
      <c r="I419" s="3345">
        <v>0</v>
      </c>
      <c r="J419" s="3345">
        <v>0</v>
      </c>
      <c r="K419" s="3345">
        <f t="shared" si="24"/>
        <v>1152409.633267656</v>
      </c>
      <c r="L419" s="3345">
        <v>0</v>
      </c>
      <c r="M419" s="3345">
        <f t="shared" si="23"/>
        <v>1152409.633267656</v>
      </c>
      <c r="N419" s="3345"/>
      <c r="O419" s="3350"/>
    </row>
    <row r="420" spans="1:15" s="1979" customFormat="1" ht="16.5" customHeight="1">
      <c r="A420" s="2132">
        <v>406</v>
      </c>
      <c r="B420" s="2132">
        <v>45</v>
      </c>
      <c r="C420" s="3343"/>
      <c r="D420" s="3349" t="s">
        <v>1490</v>
      </c>
      <c r="E420" s="3349" t="s">
        <v>40</v>
      </c>
      <c r="F420" s="3345">
        <v>20000</v>
      </c>
      <c r="G420" s="3345">
        <v>757409.63326765609</v>
      </c>
      <c r="H420" s="3345">
        <v>375000</v>
      </c>
      <c r="I420" s="3345">
        <v>0</v>
      </c>
      <c r="J420" s="3345">
        <v>0</v>
      </c>
      <c r="K420" s="3345">
        <f t="shared" si="24"/>
        <v>1152409.633267656</v>
      </c>
      <c r="L420" s="3345">
        <v>0</v>
      </c>
      <c r="M420" s="3345">
        <f t="shared" si="23"/>
        <v>1152409.633267656</v>
      </c>
      <c r="N420" s="3345"/>
      <c r="O420" s="3350"/>
    </row>
    <row r="421" spans="1:15" s="1979" customFormat="1" ht="16.5" customHeight="1">
      <c r="A421" s="2132">
        <v>407</v>
      </c>
      <c r="B421" s="2132">
        <v>46</v>
      </c>
      <c r="C421" s="3343"/>
      <c r="D421" s="3349" t="s">
        <v>1491</v>
      </c>
      <c r="E421" s="3349" t="s">
        <v>40</v>
      </c>
      <c r="F421" s="3345">
        <v>20000</v>
      </c>
      <c r="G421" s="3345">
        <v>757409.63326765609</v>
      </c>
      <c r="H421" s="3345">
        <v>375000</v>
      </c>
      <c r="I421" s="3345">
        <v>0</v>
      </c>
      <c r="J421" s="3345">
        <v>0</v>
      </c>
      <c r="K421" s="3345">
        <f t="shared" si="24"/>
        <v>1152409.633267656</v>
      </c>
      <c r="L421" s="3345">
        <v>0</v>
      </c>
      <c r="M421" s="3345">
        <f t="shared" si="23"/>
        <v>1152409.633267656</v>
      </c>
      <c r="N421" s="3345"/>
      <c r="O421" s="3350"/>
    </row>
    <row r="422" spans="1:15" s="1979" customFormat="1" ht="16.5" customHeight="1">
      <c r="A422" s="2132">
        <v>408</v>
      </c>
      <c r="B422" s="2132">
        <v>47</v>
      </c>
      <c r="C422" s="3343"/>
      <c r="D422" s="3349" t="s">
        <v>1492</v>
      </c>
      <c r="E422" s="3349" t="s">
        <v>40</v>
      </c>
      <c r="F422" s="3345">
        <v>20000</v>
      </c>
      <c r="G422" s="3345">
        <v>757409.63326765609</v>
      </c>
      <c r="H422" s="3345">
        <v>375000</v>
      </c>
      <c r="I422" s="3345">
        <v>0</v>
      </c>
      <c r="J422" s="3345">
        <v>0</v>
      </c>
      <c r="K422" s="3345">
        <f t="shared" si="24"/>
        <v>1152409.633267656</v>
      </c>
      <c r="L422" s="3345">
        <v>0</v>
      </c>
      <c r="M422" s="3345">
        <f t="shared" si="23"/>
        <v>1152409.633267656</v>
      </c>
      <c r="N422" s="3345"/>
      <c r="O422" s="3350"/>
    </row>
    <row r="423" spans="1:15" s="1979" customFormat="1" ht="16.5" customHeight="1">
      <c r="A423" s="2132">
        <v>409</v>
      </c>
      <c r="B423" s="2132">
        <v>48</v>
      </c>
      <c r="C423" s="3343"/>
      <c r="D423" s="3349" t="s">
        <v>1493</v>
      </c>
      <c r="E423" s="3349" t="s">
        <v>40</v>
      </c>
      <c r="F423" s="3345">
        <v>20000</v>
      </c>
      <c r="G423" s="3345">
        <v>757409.63326765609</v>
      </c>
      <c r="H423" s="3345">
        <v>375000</v>
      </c>
      <c r="I423" s="3345">
        <v>0</v>
      </c>
      <c r="J423" s="3345">
        <v>0</v>
      </c>
      <c r="K423" s="3345">
        <f t="shared" si="24"/>
        <v>1152409.633267656</v>
      </c>
      <c r="L423" s="3345">
        <v>0</v>
      </c>
      <c r="M423" s="3345">
        <f t="shared" si="23"/>
        <v>1152409.633267656</v>
      </c>
      <c r="N423" s="3345"/>
      <c r="O423" s="3350"/>
    </row>
    <row r="424" spans="1:15" s="1979" customFormat="1" ht="16.5" customHeight="1">
      <c r="A424" s="2132">
        <v>410</v>
      </c>
      <c r="B424" s="2132">
        <v>49</v>
      </c>
      <c r="C424" s="3343"/>
      <c r="D424" s="3349" t="s">
        <v>1494</v>
      </c>
      <c r="E424" s="3349" t="s">
        <v>40</v>
      </c>
      <c r="F424" s="3345">
        <v>20000</v>
      </c>
      <c r="G424" s="3345">
        <v>757409.63326765609</v>
      </c>
      <c r="H424" s="3345">
        <v>375000</v>
      </c>
      <c r="I424" s="3345">
        <v>0</v>
      </c>
      <c r="J424" s="3345">
        <v>0</v>
      </c>
      <c r="K424" s="3345">
        <f t="shared" si="24"/>
        <v>1152409.633267656</v>
      </c>
      <c r="L424" s="3345">
        <v>0</v>
      </c>
      <c r="M424" s="3345">
        <f t="shared" si="23"/>
        <v>1152409.633267656</v>
      </c>
      <c r="N424" s="3345"/>
      <c r="O424" s="3350"/>
    </row>
    <row r="425" spans="1:15" s="1979" customFormat="1" ht="16.5" customHeight="1">
      <c r="A425" s="2132">
        <v>411</v>
      </c>
      <c r="B425" s="2132">
        <v>50</v>
      </c>
      <c r="C425" s="3343"/>
      <c r="D425" s="3349" t="s">
        <v>1495</v>
      </c>
      <c r="E425" s="3349" t="s">
        <v>40</v>
      </c>
      <c r="F425" s="3345">
        <v>20000</v>
      </c>
      <c r="G425" s="3345">
        <f>731942.575536586+102580.5</f>
        <v>834523.07553658599</v>
      </c>
      <c r="H425" s="3345">
        <v>428571.42857142858</v>
      </c>
      <c r="I425" s="3345">
        <v>0</v>
      </c>
      <c r="J425" s="3345">
        <v>0</v>
      </c>
      <c r="K425" s="3345">
        <f t="shared" si="24"/>
        <v>1283094.5041080145</v>
      </c>
      <c r="L425" s="3345">
        <v>0</v>
      </c>
      <c r="M425" s="3345">
        <f t="shared" si="23"/>
        <v>1283094.5041080145</v>
      </c>
      <c r="N425" s="3345"/>
      <c r="O425" s="3350"/>
    </row>
    <row r="426" spans="1:15" s="1979" customFormat="1" ht="16.5" customHeight="1">
      <c r="A426" s="2132">
        <v>412</v>
      </c>
      <c r="B426" s="2132">
        <v>51</v>
      </c>
      <c r="C426" s="3343"/>
      <c r="D426" s="3349" t="s">
        <v>1548</v>
      </c>
      <c r="E426" s="3349" t="s">
        <v>40</v>
      </c>
      <c r="F426" s="3345">
        <v>20000</v>
      </c>
      <c r="G426" s="3345">
        <f t="shared" ref="G426:G428" si="25">731942.575536586+102580.5</f>
        <v>834523.07553658599</v>
      </c>
      <c r="H426" s="3345">
        <v>428571.42857142858</v>
      </c>
      <c r="I426" s="3345">
        <v>0</v>
      </c>
      <c r="J426" s="3345">
        <v>0</v>
      </c>
      <c r="K426" s="3345">
        <f t="shared" si="24"/>
        <v>1283094.5041080145</v>
      </c>
      <c r="L426" s="3345">
        <v>0</v>
      </c>
      <c r="M426" s="3345">
        <f t="shared" si="23"/>
        <v>1283094.5041080145</v>
      </c>
      <c r="N426" s="3345"/>
      <c r="O426" s="3350"/>
    </row>
    <row r="427" spans="1:15" s="1979" customFormat="1" ht="16.5" customHeight="1">
      <c r="A427" s="2132">
        <v>413</v>
      </c>
      <c r="B427" s="2132">
        <v>52</v>
      </c>
      <c r="C427" s="3343"/>
      <c r="D427" s="3349" t="s">
        <v>1549</v>
      </c>
      <c r="E427" s="3349" t="s">
        <v>40</v>
      </c>
      <c r="F427" s="3345">
        <v>20000</v>
      </c>
      <c r="G427" s="3345">
        <f t="shared" si="25"/>
        <v>834523.07553658599</v>
      </c>
      <c r="H427" s="3345">
        <v>428571.42857142858</v>
      </c>
      <c r="I427" s="3345">
        <v>0</v>
      </c>
      <c r="J427" s="3345">
        <v>0</v>
      </c>
      <c r="K427" s="3345">
        <f t="shared" si="24"/>
        <v>1283094.5041080145</v>
      </c>
      <c r="L427" s="3345">
        <v>0</v>
      </c>
      <c r="M427" s="3345">
        <f t="shared" si="23"/>
        <v>1283094.5041080145</v>
      </c>
      <c r="N427" s="3345"/>
      <c r="O427" s="3350"/>
    </row>
    <row r="428" spans="1:15" s="1979" customFormat="1" ht="16.5" customHeight="1">
      <c r="A428" s="2132">
        <v>414</v>
      </c>
      <c r="B428" s="2132">
        <v>53</v>
      </c>
      <c r="C428" s="3343"/>
      <c r="D428" s="3349" t="s">
        <v>1550</v>
      </c>
      <c r="E428" s="3349" t="s">
        <v>40</v>
      </c>
      <c r="F428" s="3345">
        <v>20000</v>
      </c>
      <c r="G428" s="3345">
        <f t="shared" si="25"/>
        <v>834523.07553658599</v>
      </c>
      <c r="H428" s="3345">
        <v>428571.42857142858</v>
      </c>
      <c r="I428" s="3345">
        <v>0</v>
      </c>
      <c r="J428" s="3345">
        <v>0</v>
      </c>
      <c r="K428" s="3345">
        <f t="shared" si="24"/>
        <v>1283094.5041080145</v>
      </c>
      <c r="L428" s="3345">
        <v>0</v>
      </c>
      <c r="M428" s="3345">
        <f t="shared" si="23"/>
        <v>1283094.5041080145</v>
      </c>
      <c r="N428" s="3345"/>
      <c r="O428" s="3350"/>
    </row>
    <row r="429" spans="1:15" s="1979" customFormat="1" ht="16.5" customHeight="1">
      <c r="A429" s="2132">
        <v>415</v>
      </c>
      <c r="B429" s="2132">
        <v>54</v>
      </c>
      <c r="C429" s="3343"/>
      <c r="D429" s="3349" t="s">
        <v>1551</v>
      </c>
      <c r="E429" s="3349" t="s">
        <v>40</v>
      </c>
      <c r="F429" s="3345">
        <v>20000</v>
      </c>
      <c r="G429" s="3345">
        <f t="shared" ref="G429" si="26">731942.575536586+102580</f>
        <v>834522.57553658599</v>
      </c>
      <c r="H429" s="3345">
        <v>428571.42857142858</v>
      </c>
      <c r="I429" s="3345">
        <v>0</v>
      </c>
      <c r="J429" s="3345">
        <v>0</v>
      </c>
      <c r="K429" s="3345">
        <f t="shared" si="24"/>
        <v>1283094.0041080145</v>
      </c>
      <c r="L429" s="3345">
        <v>0</v>
      </c>
      <c r="M429" s="3345">
        <f t="shared" si="23"/>
        <v>1283094.0041080145</v>
      </c>
      <c r="N429" s="3345"/>
      <c r="O429" s="3350"/>
    </row>
    <row r="430" spans="1:15" s="1979" customFormat="1" ht="16.5" customHeight="1">
      <c r="A430" s="2132">
        <v>416</v>
      </c>
      <c r="B430" s="2132">
        <v>55</v>
      </c>
      <c r="C430" s="3343"/>
      <c r="D430" s="3349" t="s">
        <v>1552</v>
      </c>
      <c r="E430" s="3349" t="s">
        <v>40</v>
      </c>
      <c r="F430" s="3345">
        <v>20000</v>
      </c>
      <c r="G430" s="3345">
        <v>731942.57553658646</v>
      </c>
      <c r="H430" s="3345">
        <v>428571.42857142858</v>
      </c>
      <c r="I430" s="3345">
        <v>0</v>
      </c>
      <c r="J430" s="3345">
        <v>0</v>
      </c>
      <c r="K430" s="3345">
        <f t="shared" si="24"/>
        <v>1180514.004108015</v>
      </c>
      <c r="L430" s="3345">
        <v>0</v>
      </c>
      <c r="M430" s="3345">
        <f t="shared" si="23"/>
        <v>1180514.004108015</v>
      </c>
      <c r="N430" s="3345"/>
      <c r="O430" s="3350"/>
    </row>
    <row r="431" spans="1:15" s="1979" customFormat="1" ht="16.5" customHeight="1">
      <c r="A431" s="2132">
        <v>417</v>
      </c>
      <c r="B431" s="2132">
        <v>56</v>
      </c>
      <c r="C431" s="3343"/>
      <c r="D431" s="3349" t="s">
        <v>1553</v>
      </c>
      <c r="E431" s="3349" t="s">
        <v>40</v>
      </c>
      <c r="F431" s="3345">
        <v>20000</v>
      </c>
      <c r="G431" s="3345">
        <v>731942.57553658646</v>
      </c>
      <c r="H431" s="3345">
        <v>428571.42857142858</v>
      </c>
      <c r="I431" s="3345">
        <v>0</v>
      </c>
      <c r="J431" s="3345">
        <v>0</v>
      </c>
      <c r="K431" s="3345">
        <f t="shared" si="24"/>
        <v>1180514.004108015</v>
      </c>
      <c r="L431" s="3345">
        <v>0</v>
      </c>
      <c r="M431" s="3345">
        <f t="shared" si="23"/>
        <v>1180514.004108015</v>
      </c>
      <c r="N431" s="3345"/>
      <c r="O431" s="3350"/>
    </row>
    <row r="432" spans="1:15" s="1979" customFormat="1" ht="16.5" customHeight="1">
      <c r="A432" s="2132">
        <v>418</v>
      </c>
      <c r="B432" s="2132">
        <v>57</v>
      </c>
      <c r="C432" s="3351"/>
      <c r="D432" s="3349" t="s">
        <v>1554</v>
      </c>
      <c r="E432" s="3349" t="s">
        <v>40</v>
      </c>
      <c r="F432" s="3345">
        <v>28000</v>
      </c>
      <c r="G432" s="3345">
        <v>703090.68528747454</v>
      </c>
      <c r="H432" s="3345">
        <v>480000</v>
      </c>
      <c r="I432" s="3345">
        <v>0</v>
      </c>
      <c r="J432" s="3345">
        <v>0</v>
      </c>
      <c r="K432" s="3345">
        <f t="shared" si="24"/>
        <v>1211090.6852874747</v>
      </c>
      <c r="L432" s="3345">
        <v>0</v>
      </c>
      <c r="M432" s="3345">
        <f t="shared" si="23"/>
        <v>1211090.6852874747</v>
      </c>
      <c r="N432" s="3345"/>
      <c r="O432" s="3350"/>
    </row>
    <row r="433" spans="1:15" s="1979" customFormat="1" ht="16.5" customHeight="1">
      <c r="A433" s="2132">
        <v>419</v>
      </c>
      <c r="B433" s="2132">
        <v>58</v>
      </c>
      <c r="C433" s="3351"/>
      <c r="D433" s="3349" t="s">
        <v>1555</v>
      </c>
      <c r="E433" s="3349" t="s">
        <v>40</v>
      </c>
      <c r="F433" s="3345">
        <v>28000</v>
      </c>
      <c r="G433" s="3345">
        <v>703090.68528747454</v>
      </c>
      <c r="H433" s="3345">
        <v>480000</v>
      </c>
      <c r="I433" s="3345">
        <v>0</v>
      </c>
      <c r="J433" s="3345">
        <v>0</v>
      </c>
      <c r="K433" s="3345">
        <f t="shared" si="24"/>
        <v>1211090.6852874747</v>
      </c>
      <c r="L433" s="3345">
        <v>0</v>
      </c>
      <c r="M433" s="3345">
        <f t="shared" si="23"/>
        <v>1211090.6852874747</v>
      </c>
      <c r="N433" s="3345"/>
      <c r="O433" s="3350"/>
    </row>
    <row r="434" spans="1:15" s="1979" customFormat="1" ht="16.5" customHeight="1">
      <c r="A434" s="2132">
        <v>420</v>
      </c>
      <c r="B434" s="2132">
        <v>59</v>
      </c>
      <c r="C434" s="3351"/>
      <c r="D434" s="3349" t="s">
        <v>1556</v>
      </c>
      <c r="E434" s="3349" t="s">
        <v>40</v>
      </c>
      <c r="F434" s="3345">
        <v>28000</v>
      </c>
      <c r="G434" s="3345">
        <v>703090.68528747454</v>
      </c>
      <c r="H434" s="3345">
        <v>480000</v>
      </c>
      <c r="I434" s="3345">
        <v>0</v>
      </c>
      <c r="J434" s="3345">
        <v>0</v>
      </c>
      <c r="K434" s="3345">
        <f t="shared" si="24"/>
        <v>1211090.6852874747</v>
      </c>
      <c r="L434" s="3345">
        <v>0</v>
      </c>
      <c r="M434" s="3345">
        <f t="shared" si="23"/>
        <v>1211090.6852874747</v>
      </c>
      <c r="N434" s="3345"/>
      <c r="O434" s="3350"/>
    </row>
    <row r="435" spans="1:15" s="1979" customFormat="1" ht="16.5" customHeight="1">
      <c r="A435" s="2132">
        <v>421</v>
      </c>
      <c r="B435" s="2132">
        <v>60</v>
      </c>
      <c r="C435" s="3351"/>
      <c r="D435" s="3349" t="s">
        <v>1557</v>
      </c>
      <c r="E435" s="3349" t="s">
        <v>40</v>
      </c>
      <c r="F435" s="3345">
        <v>28000</v>
      </c>
      <c r="G435" s="3345">
        <v>703090.68528747454</v>
      </c>
      <c r="H435" s="3345">
        <v>480000</v>
      </c>
      <c r="I435" s="3345">
        <v>0</v>
      </c>
      <c r="J435" s="3345">
        <v>0</v>
      </c>
      <c r="K435" s="3345">
        <f t="shared" si="24"/>
        <v>1211090.6852874747</v>
      </c>
      <c r="L435" s="3345">
        <v>0</v>
      </c>
      <c r="M435" s="3345">
        <f t="shared" si="23"/>
        <v>1211090.6852874747</v>
      </c>
      <c r="N435" s="3345"/>
      <c r="O435" s="3350"/>
    </row>
    <row r="436" spans="1:15" s="1979" customFormat="1" ht="16.5" customHeight="1">
      <c r="A436" s="2132">
        <v>422</v>
      </c>
      <c r="B436" s="2132">
        <v>61</v>
      </c>
      <c r="C436" s="3351"/>
      <c r="D436" s="3349" t="s">
        <v>1427</v>
      </c>
      <c r="E436" s="3349" t="s">
        <v>40</v>
      </c>
      <c r="F436" s="3345">
        <v>28000</v>
      </c>
      <c r="G436" s="3345">
        <v>703090.68528747454</v>
      </c>
      <c r="H436" s="3345">
        <v>480000</v>
      </c>
      <c r="I436" s="3345">
        <v>0</v>
      </c>
      <c r="J436" s="3345">
        <v>0</v>
      </c>
      <c r="K436" s="3345">
        <f t="shared" si="24"/>
        <v>1211090.6852874747</v>
      </c>
      <c r="L436" s="3345">
        <v>0</v>
      </c>
      <c r="M436" s="3345">
        <f t="shared" si="23"/>
        <v>1211090.6852874747</v>
      </c>
      <c r="N436" s="3345"/>
      <c r="O436" s="3350"/>
    </row>
    <row r="437" spans="1:15" s="1979" customFormat="1" ht="16.5" customHeight="1">
      <c r="A437" s="2132">
        <v>423</v>
      </c>
      <c r="B437" s="2132">
        <v>62</v>
      </c>
      <c r="C437" s="3351"/>
      <c r="D437" s="3349" t="s">
        <v>1428</v>
      </c>
      <c r="E437" s="3349" t="s">
        <v>40</v>
      </c>
      <c r="F437" s="3345">
        <v>228000</v>
      </c>
      <c r="G437" s="3345">
        <v>678503.54977918812</v>
      </c>
      <c r="H437" s="3345">
        <v>300000</v>
      </c>
      <c r="I437" s="3345">
        <v>0</v>
      </c>
      <c r="J437" s="3345">
        <v>0</v>
      </c>
      <c r="K437" s="3345">
        <f t="shared" si="24"/>
        <v>1206503.5497791881</v>
      </c>
      <c r="L437" s="3345">
        <v>0</v>
      </c>
      <c r="M437" s="3345">
        <f t="shared" si="23"/>
        <v>1206503.5497791881</v>
      </c>
      <c r="N437" s="3345"/>
      <c r="O437" s="3350"/>
    </row>
    <row r="438" spans="1:15" s="1979" customFormat="1" ht="16.5" customHeight="1">
      <c r="A438" s="2132">
        <v>424</v>
      </c>
      <c r="B438" s="2132">
        <v>63</v>
      </c>
      <c r="C438" s="3351"/>
      <c r="D438" s="3349" t="s">
        <v>1429</v>
      </c>
      <c r="E438" s="3349" t="s">
        <v>40</v>
      </c>
      <c r="F438" s="3345">
        <v>228000</v>
      </c>
      <c r="G438" s="3345">
        <v>678503.54977918812</v>
      </c>
      <c r="H438" s="3345">
        <v>300000</v>
      </c>
      <c r="I438" s="3345">
        <v>0</v>
      </c>
      <c r="J438" s="3345">
        <v>0</v>
      </c>
      <c r="K438" s="3345">
        <f t="shared" si="24"/>
        <v>1206503.5497791881</v>
      </c>
      <c r="L438" s="3345">
        <v>0</v>
      </c>
      <c r="M438" s="3345">
        <f t="shared" si="23"/>
        <v>1206503.5497791881</v>
      </c>
      <c r="N438" s="3345"/>
      <c r="O438" s="3350"/>
    </row>
    <row r="439" spans="1:15" s="1979" customFormat="1" ht="16.5" customHeight="1">
      <c r="A439" s="2132">
        <v>425</v>
      </c>
      <c r="B439" s="2132">
        <v>64</v>
      </c>
      <c r="C439" s="3351"/>
      <c r="D439" s="3349" t="s">
        <v>1430</v>
      </c>
      <c r="E439" s="3349" t="s">
        <v>40</v>
      </c>
      <c r="F439" s="3345">
        <v>228000</v>
      </c>
      <c r="G439" s="3345">
        <v>678503.54977918812</v>
      </c>
      <c r="H439" s="3345">
        <v>300000</v>
      </c>
      <c r="I439" s="3345">
        <v>0</v>
      </c>
      <c r="J439" s="3345">
        <v>0</v>
      </c>
      <c r="K439" s="3345">
        <f t="shared" si="24"/>
        <v>1206503.5497791881</v>
      </c>
      <c r="L439" s="3345">
        <v>0</v>
      </c>
      <c r="M439" s="3345">
        <f t="shared" si="23"/>
        <v>1206503.5497791881</v>
      </c>
      <c r="N439" s="3345"/>
      <c r="O439" s="3350"/>
    </row>
    <row r="440" spans="1:15" s="1979" customFormat="1" ht="16.5" customHeight="1">
      <c r="A440" s="2132">
        <v>426</v>
      </c>
      <c r="B440" s="2132">
        <v>65</v>
      </c>
      <c r="C440" s="3351"/>
      <c r="D440" s="3349" t="s">
        <v>1440</v>
      </c>
      <c r="E440" s="3349" t="s">
        <v>40</v>
      </c>
      <c r="F440" s="3345">
        <v>228000</v>
      </c>
      <c r="G440" s="3345">
        <v>678503.54977918812</v>
      </c>
      <c r="H440" s="3345">
        <v>300000</v>
      </c>
      <c r="I440" s="3345">
        <v>0</v>
      </c>
      <c r="J440" s="3345">
        <v>0</v>
      </c>
      <c r="K440" s="3345">
        <f t="shared" ref="K440:K473" si="27">H440+G440+F440</f>
        <v>1206503.5497791881</v>
      </c>
      <c r="L440" s="3345">
        <v>0</v>
      </c>
      <c r="M440" s="3345">
        <f t="shared" si="23"/>
        <v>1206503.5497791881</v>
      </c>
      <c r="N440" s="3345"/>
      <c r="O440" s="3350"/>
    </row>
    <row r="441" spans="1:15" s="1979" customFormat="1" ht="16.5" customHeight="1">
      <c r="A441" s="2132">
        <v>427</v>
      </c>
      <c r="B441" s="2132">
        <v>66</v>
      </c>
      <c r="C441" s="3351"/>
      <c r="D441" s="3349" t="s">
        <v>1441</v>
      </c>
      <c r="E441" s="3349" t="s">
        <v>40</v>
      </c>
      <c r="F441" s="3345">
        <v>228000</v>
      </c>
      <c r="G441" s="3345">
        <v>678503.54977918812</v>
      </c>
      <c r="H441" s="3345">
        <v>300000</v>
      </c>
      <c r="I441" s="3345">
        <v>0</v>
      </c>
      <c r="J441" s="3345">
        <v>0</v>
      </c>
      <c r="K441" s="3345">
        <f t="shared" si="27"/>
        <v>1206503.5497791881</v>
      </c>
      <c r="L441" s="3345">
        <v>0</v>
      </c>
      <c r="M441" s="3345">
        <f t="shared" ref="M441:M485" si="28">K441</f>
        <v>1206503.5497791881</v>
      </c>
      <c r="N441" s="3345"/>
      <c r="O441" s="3350"/>
    </row>
    <row r="442" spans="1:15" s="1979" customFormat="1" ht="16.5" customHeight="1">
      <c r="A442" s="2132">
        <v>428</v>
      </c>
      <c r="B442" s="2132">
        <v>67</v>
      </c>
      <c r="C442" s="3351"/>
      <c r="D442" s="3349" t="s">
        <v>1442</v>
      </c>
      <c r="E442" s="3349" t="s">
        <v>40</v>
      </c>
      <c r="F442" s="3345">
        <v>240000</v>
      </c>
      <c r="G442" s="3345">
        <v>676779.91553737014</v>
      </c>
      <c r="H442" s="3345">
        <v>300000</v>
      </c>
      <c r="I442" s="3345">
        <v>0</v>
      </c>
      <c r="J442" s="3345">
        <v>0</v>
      </c>
      <c r="K442" s="3345">
        <f t="shared" si="27"/>
        <v>1216779.9155373701</v>
      </c>
      <c r="L442" s="3345">
        <v>0</v>
      </c>
      <c r="M442" s="3345">
        <f t="shared" si="28"/>
        <v>1216779.9155373701</v>
      </c>
      <c r="N442" s="3345"/>
      <c r="O442" s="3350"/>
    </row>
    <row r="443" spans="1:15" s="1979" customFormat="1" ht="16.5" customHeight="1">
      <c r="A443" s="2132">
        <v>429</v>
      </c>
      <c r="B443" s="2132">
        <v>68</v>
      </c>
      <c r="C443" s="3351"/>
      <c r="D443" s="3349" t="s">
        <v>1443</v>
      </c>
      <c r="E443" s="3349" t="s">
        <v>40</v>
      </c>
      <c r="F443" s="3345">
        <v>240000</v>
      </c>
      <c r="G443" s="3345">
        <v>676779.91553737014</v>
      </c>
      <c r="H443" s="3345">
        <v>300000</v>
      </c>
      <c r="I443" s="3345">
        <v>0</v>
      </c>
      <c r="J443" s="3345">
        <v>0</v>
      </c>
      <c r="K443" s="3345">
        <f t="shared" si="27"/>
        <v>1216779.9155373701</v>
      </c>
      <c r="L443" s="3345">
        <v>0</v>
      </c>
      <c r="M443" s="3345">
        <f t="shared" si="28"/>
        <v>1216779.9155373701</v>
      </c>
      <c r="N443" s="3345"/>
      <c r="O443" s="3350"/>
    </row>
    <row r="444" spans="1:15" s="1979" customFormat="1" ht="16.5" customHeight="1">
      <c r="A444" s="2132">
        <v>430</v>
      </c>
      <c r="B444" s="2132">
        <v>69</v>
      </c>
      <c r="C444" s="3351"/>
      <c r="D444" s="3349" t="s">
        <v>1444</v>
      </c>
      <c r="E444" s="3349" t="s">
        <v>40</v>
      </c>
      <c r="F444" s="3345">
        <v>240000</v>
      </c>
      <c r="G444" s="3345">
        <v>676779.91553737014</v>
      </c>
      <c r="H444" s="3345">
        <v>300000</v>
      </c>
      <c r="I444" s="3345">
        <v>0</v>
      </c>
      <c r="J444" s="3345">
        <v>0</v>
      </c>
      <c r="K444" s="3345">
        <f t="shared" si="27"/>
        <v>1216779.9155373701</v>
      </c>
      <c r="L444" s="3345">
        <v>0</v>
      </c>
      <c r="M444" s="3345">
        <f t="shared" si="28"/>
        <v>1216779.9155373701</v>
      </c>
      <c r="N444" s="3345"/>
      <c r="O444" s="3350"/>
    </row>
    <row r="445" spans="1:15" s="1979" customFormat="1" ht="16.5" customHeight="1">
      <c r="A445" s="2132">
        <v>431</v>
      </c>
      <c r="B445" s="2132">
        <v>70</v>
      </c>
      <c r="C445" s="3351"/>
      <c r="D445" s="3349" t="s">
        <v>1445</v>
      </c>
      <c r="E445" s="3349" t="s">
        <v>40</v>
      </c>
      <c r="F445" s="3345">
        <v>240000</v>
      </c>
      <c r="G445" s="3345">
        <v>676779.91553737014</v>
      </c>
      <c r="H445" s="3345">
        <v>300000</v>
      </c>
      <c r="I445" s="3345">
        <v>0</v>
      </c>
      <c r="J445" s="3345">
        <v>0</v>
      </c>
      <c r="K445" s="3345">
        <f t="shared" si="27"/>
        <v>1216779.9155373701</v>
      </c>
      <c r="L445" s="3345">
        <v>0</v>
      </c>
      <c r="M445" s="3345">
        <f t="shared" si="28"/>
        <v>1216779.9155373701</v>
      </c>
      <c r="N445" s="3345"/>
      <c r="O445" s="3350"/>
    </row>
    <row r="446" spans="1:15" s="1979" customFormat="1" ht="16.5" customHeight="1">
      <c r="A446" s="2132">
        <v>432</v>
      </c>
      <c r="B446" s="2132">
        <v>71</v>
      </c>
      <c r="C446" s="3351"/>
      <c r="D446" s="3349" t="s">
        <v>1446</v>
      </c>
      <c r="E446" s="3349" t="s">
        <v>40</v>
      </c>
      <c r="F446" s="3345">
        <v>22857.142857142859</v>
      </c>
      <c r="G446" s="3345">
        <v>835709.17365168117</v>
      </c>
      <c r="H446" s="3345">
        <v>414285.71428571426</v>
      </c>
      <c r="I446" s="3345">
        <v>0</v>
      </c>
      <c r="J446" s="3345">
        <v>0</v>
      </c>
      <c r="K446" s="3345">
        <f t="shared" si="27"/>
        <v>1272852.0307945383</v>
      </c>
      <c r="L446" s="3345">
        <v>0</v>
      </c>
      <c r="M446" s="3345">
        <f t="shared" si="28"/>
        <v>1272852.0307945383</v>
      </c>
      <c r="N446" s="3345"/>
      <c r="O446" s="3350"/>
    </row>
    <row r="447" spans="1:15" s="1979" customFormat="1" ht="16.5" customHeight="1">
      <c r="A447" s="2132">
        <v>433</v>
      </c>
      <c r="B447" s="2132">
        <v>72</v>
      </c>
      <c r="C447" s="3351"/>
      <c r="D447" s="3349" t="s">
        <v>1558</v>
      </c>
      <c r="E447" s="3349" t="s">
        <v>40</v>
      </c>
      <c r="F447" s="3345">
        <v>22857.142857142859</v>
      </c>
      <c r="G447" s="3345">
        <v>835709.17365168117</v>
      </c>
      <c r="H447" s="3345">
        <v>414285.71428571426</v>
      </c>
      <c r="I447" s="3345">
        <v>0</v>
      </c>
      <c r="J447" s="3345">
        <v>0</v>
      </c>
      <c r="K447" s="3345">
        <f t="shared" si="27"/>
        <v>1272852.0307945383</v>
      </c>
      <c r="L447" s="3345">
        <v>0</v>
      </c>
      <c r="M447" s="3345">
        <f t="shared" si="28"/>
        <v>1272852.0307945383</v>
      </c>
      <c r="N447" s="3345"/>
      <c r="O447" s="3350"/>
    </row>
    <row r="448" spans="1:15" s="1979" customFormat="1" ht="16.5" customHeight="1">
      <c r="A448" s="2132">
        <v>434</v>
      </c>
      <c r="B448" s="2132">
        <v>73</v>
      </c>
      <c r="C448" s="3351"/>
      <c r="D448" s="3349" t="s">
        <v>1474</v>
      </c>
      <c r="E448" s="3349" t="s">
        <v>40</v>
      </c>
      <c r="F448" s="3345">
        <v>22857.142857142859</v>
      </c>
      <c r="G448" s="3345">
        <v>835709.17365168117</v>
      </c>
      <c r="H448" s="3345">
        <v>414285.71428571426</v>
      </c>
      <c r="I448" s="3345">
        <v>0</v>
      </c>
      <c r="J448" s="3345">
        <v>0</v>
      </c>
      <c r="K448" s="3345">
        <f t="shared" si="27"/>
        <v>1272852.0307945383</v>
      </c>
      <c r="L448" s="3345">
        <v>0</v>
      </c>
      <c r="M448" s="3345">
        <f t="shared" si="28"/>
        <v>1272852.0307945383</v>
      </c>
      <c r="N448" s="3345"/>
      <c r="O448" s="3350"/>
    </row>
    <row r="449" spans="1:15" s="1979" customFormat="1" ht="16.5" customHeight="1">
      <c r="A449" s="2132">
        <v>435</v>
      </c>
      <c r="B449" s="2132">
        <v>74</v>
      </c>
      <c r="C449" s="3351"/>
      <c r="D449" s="3349" t="s">
        <v>1475</v>
      </c>
      <c r="E449" s="3349" t="s">
        <v>40</v>
      </c>
      <c r="F449" s="3345">
        <v>22857.142857142859</v>
      </c>
      <c r="G449" s="3345">
        <v>835709.17365168117</v>
      </c>
      <c r="H449" s="3345">
        <v>414285.71428571426</v>
      </c>
      <c r="I449" s="3345">
        <v>0</v>
      </c>
      <c r="J449" s="3345">
        <v>0</v>
      </c>
      <c r="K449" s="3345">
        <f t="shared" si="27"/>
        <v>1272852.0307945383</v>
      </c>
      <c r="L449" s="3345">
        <v>0</v>
      </c>
      <c r="M449" s="3345">
        <f t="shared" si="28"/>
        <v>1272852.0307945383</v>
      </c>
      <c r="N449" s="3345"/>
      <c r="O449" s="3350"/>
    </row>
    <row r="450" spans="1:15" s="1979" customFormat="1" ht="16.5" customHeight="1">
      <c r="A450" s="2132">
        <v>436</v>
      </c>
      <c r="B450" s="2132">
        <v>75</v>
      </c>
      <c r="C450" s="3351"/>
      <c r="D450" s="3349" t="s">
        <v>1476</v>
      </c>
      <c r="E450" s="3349" t="s">
        <v>40</v>
      </c>
      <c r="F450" s="3345">
        <v>22857.142857142859</v>
      </c>
      <c r="G450" s="3345">
        <v>835709.17365168117</v>
      </c>
      <c r="H450" s="3345">
        <v>414285.71428571426</v>
      </c>
      <c r="I450" s="3345">
        <v>0</v>
      </c>
      <c r="J450" s="3345">
        <v>0</v>
      </c>
      <c r="K450" s="3345">
        <f t="shared" si="27"/>
        <v>1272852.0307945383</v>
      </c>
      <c r="L450" s="3345">
        <v>0</v>
      </c>
      <c r="M450" s="3345">
        <f t="shared" si="28"/>
        <v>1272852.0307945383</v>
      </c>
      <c r="N450" s="3345"/>
      <c r="O450" s="3350"/>
    </row>
    <row r="451" spans="1:15" s="1979" customFormat="1" ht="16.5" customHeight="1">
      <c r="A451" s="2132">
        <v>437</v>
      </c>
      <c r="B451" s="2132">
        <v>76</v>
      </c>
      <c r="C451" s="3351"/>
      <c r="D451" s="3349" t="s">
        <v>1703</v>
      </c>
      <c r="E451" s="3349" t="s">
        <v>40</v>
      </c>
      <c r="F451" s="3345">
        <v>22857.142857142859</v>
      </c>
      <c r="G451" s="3345">
        <v>835709.17365168117</v>
      </c>
      <c r="H451" s="3345">
        <v>414285.71428571426</v>
      </c>
      <c r="I451" s="3345">
        <v>0</v>
      </c>
      <c r="J451" s="3345">
        <v>0</v>
      </c>
      <c r="K451" s="3345">
        <f t="shared" si="27"/>
        <v>1272852.0307945383</v>
      </c>
      <c r="L451" s="3345">
        <v>0</v>
      </c>
      <c r="M451" s="3345">
        <f t="shared" si="28"/>
        <v>1272852.0307945383</v>
      </c>
      <c r="N451" s="3345"/>
      <c r="O451" s="3350"/>
    </row>
    <row r="452" spans="1:15" s="1979" customFormat="1" ht="16.5" customHeight="1">
      <c r="A452" s="2132">
        <v>438</v>
      </c>
      <c r="B452" s="2132">
        <v>77</v>
      </c>
      <c r="C452" s="3351"/>
      <c r="D452" s="3349" t="s">
        <v>1704</v>
      </c>
      <c r="E452" s="3349" t="s">
        <v>40</v>
      </c>
      <c r="F452" s="3345">
        <v>22857.142857142859</v>
      </c>
      <c r="G452" s="3345">
        <v>835709.17365168117</v>
      </c>
      <c r="H452" s="3345">
        <v>414285.71428571426</v>
      </c>
      <c r="I452" s="3345">
        <v>0</v>
      </c>
      <c r="J452" s="3345">
        <v>0</v>
      </c>
      <c r="K452" s="3345">
        <f t="shared" si="27"/>
        <v>1272852.0307945383</v>
      </c>
      <c r="L452" s="3345">
        <v>0</v>
      </c>
      <c r="M452" s="3345">
        <f t="shared" si="28"/>
        <v>1272852.0307945383</v>
      </c>
      <c r="N452" s="3345"/>
      <c r="O452" s="3350"/>
    </row>
    <row r="453" spans="1:15" s="1979" customFormat="1" ht="16.5" customHeight="1">
      <c r="A453" s="2132">
        <v>439</v>
      </c>
      <c r="B453" s="2132">
        <v>78</v>
      </c>
      <c r="C453" s="3351"/>
      <c r="D453" s="3349" t="s">
        <v>1599</v>
      </c>
      <c r="E453" s="3349" t="s">
        <v>40</v>
      </c>
      <c r="F453" s="3345">
        <v>17777.777777777777</v>
      </c>
      <c r="G453" s="3345">
        <v>877358.26227102464</v>
      </c>
      <c r="H453" s="3345">
        <v>333333.33333333331</v>
      </c>
      <c r="I453" s="3345">
        <v>0</v>
      </c>
      <c r="J453" s="3345">
        <v>0</v>
      </c>
      <c r="K453" s="3345">
        <f t="shared" si="27"/>
        <v>1228469.3733821358</v>
      </c>
      <c r="L453" s="3345">
        <v>0</v>
      </c>
      <c r="M453" s="3345">
        <f t="shared" si="28"/>
        <v>1228469.3733821358</v>
      </c>
      <c r="N453" s="3345"/>
      <c r="O453" s="3350"/>
    </row>
    <row r="454" spans="1:15" s="1979" customFormat="1" ht="16.5" customHeight="1">
      <c r="A454" s="2132">
        <v>440</v>
      </c>
      <c r="B454" s="2132">
        <v>79</v>
      </c>
      <c r="C454" s="3351"/>
      <c r="D454" s="3349" t="s">
        <v>1705</v>
      </c>
      <c r="E454" s="3349" t="s">
        <v>40</v>
      </c>
      <c r="F454" s="3345">
        <v>17777.777777777777</v>
      </c>
      <c r="G454" s="3345">
        <v>877358.26227102464</v>
      </c>
      <c r="H454" s="3345">
        <v>333333.33333333331</v>
      </c>
      <c r="I454" s="3345">
        <v>0</v>
      </c>
      <c r="J454" s="3345">
        <v>0</v>
      </c>
      <c r="K454" s="3345">
        <f t="shared" si="27"/>
        <v>1228469.3733821358</v>
      </c>
      <c r="L454" s="3345">
        <v>0</v>
      </c>
      <c r="M454" s="3345">
        <f t="shared" si="28"/>
        <v>1228469.3733821358</v>
      </c>
      <c r="N454" s="3345"/>
      <c r="O454" s="3350"/>
    </row>
    <row r="455" spans="1:15" s="1979" customFormat="1" ht="16.5" customHeight="1">
      <c r="A455" s="2132">
        <v>441</v>
      </c>
      <c r="B455" s="2132">
        <v>80</v>
      </c>
      <c r="C455" s="3351"/>
      <c r="D455" s="3349" t="s">
        <v>1706</v>
      </c>
      <c r="E455" s="3349" t="s">
        <v>40</v>
      </c>
      <c r="F455" s="3345">
        <v>17777.777777777777</v>
      </c>
      <c r="G455" s="3345">
        <v>877358.26227102464</v>
      </c>
      <c r="H455" s="3345">
        <v>333333.33333333331</v>
      </c>
      <c r="I455" s="3345">
        <v>0</v>
      </c>
      <c r="J455" s="3345">
        <v>0</v>
      </c>
      <c r="K455" s="3345">
        <f t="shared" si="27"/>
        <v>1228469.3733821358</v>
      </c>
      <c r="L455" s="3345">
        <v>0</v>
      </c>
      <c r="M455" s="3345">
        <f t="shared" si="28"/>
        <v>1228469.3733821358</v>
      </c>
      <c r="N455" s="3345"/>
      <c r="O455" s="3350"/>
    </row>
    <row r="456" spans="1:15" s="1979" customFormat="1" ht="16.5" customHeight="1">
      <c r="A456" s="2132">
        <v>442</v>
      </c>
      <c r="B456" s="2132">
        <v>81</v>
      </c>
      <c r="C456" s="3351"/>
      <c r="D456" s="3349" t="s">
        <v>1707</v>
      </c>
      <c r="E456" s="3349" t="s">
        <v>40</v>
      </c>
      <c r="F456" s="3345">
        <v>17777.777777777777</v>
      </c>
      <c r="G456" s="3345">
        <v>877358.26227102464</v>
      </c>
      <c r="H456" s="3345">
        <v>333333.33333333331</v>
      </c>
      <c r="I456" s="3345">
        <v>0</v>
      </c>
      <c r="J456" s="3345">
        <v>0</v>
      </c>
      <c r="K456" s="3345">
        <f t="shared" si="27"/>
        <v>1228469.3733821358</v>
      </c>
      <c r="L456" s="3345">
        <v>0</v>
      </c>
      <c r="M456" s="3345">
        <f t="shared" si="28"/>
        <v>1228469.3733821358</v>
      </c>
      <c r="N456" s="3345"/>
      <c r="O456" s="3350"/>
    </row>
    <row r="457" spans="1:15" s="1979" customFormat="1" ht="16.5" customHeight="1">
      <c r="A457" s="2132">
        <v>443</v>
      </c>
      <c r="B457" s="2132">
        <v>82</v>
      </c>
      <c r="C457" s="3351"/>
      <c r="D457" s="3349" t="s">
        <v>1708</v>
      </c>
      <c r="E457" s="3349" t="s">
        <v>40</v>
      </c>
      <c r="F457" s="3345">
        <v>17777.777777777777</v>
      </c>
      <c r="G457" s="3345">
        <v>877358.26227102464</v>
      </c>
      <c r="H457" s="3345">
        <v>333333.33333333331</v>
      </c>
      <c r="I457" s="3345">
        <v>0</v>
      </c>
      <c r="J457" s="3345">
        <v>0</v>
      </c>
      <c r="K457" s="3345">
        <f t="shared" si="27"/>
        <v>1228469.3733821358</v>
      </c>
      <c r="L457" s="3345">
        <v>0</v>
      </c>
      <c r="M457" s="3345">
        <f t="shared" si="28"/>
        <v>1228469.3733821358</v>
      </c>
      <c r="N457" s="3345"/>
      <c r="O457" s="3350"/>
    </row>
    <row r="458" spans="1:15" s="1979" customFormat="1" ht="16.5" customHeight="1">
      <c r="A458" s="2132">
        <v>444</v>
      </c>
      <c r="B458" s="2132">
        <v>83</v>
      </c>
      <c r="C458" s="3351"/>
      <c r="D458" s="3349" t="s">
        <v>1663</v>
      </c>
      <c r="E458" s="3349" t="s">
        <v>40</v>
      </c>
      <c r="F458" s="3345">
        <v>17777.777777777777</v>
      </c>
      <c r="G458" s="3345">
        <v>877358.26227102464</v>
      </c>
      <c r="H458" s="3345">
        <v>333333.33333333331</v>
      </c>
      <c r="I458" s="3345">
        <v>0</v>
      </c>
      <c r="J458" s="3345">
        <v>0</v>
      </c>
      <c r="K458" s="3345">
        <f t="shared" si="27"/>
        <v>1228469.3733821358</v>
      </c>
      <c r="L458" s="3345">
        <v>0</v>
      </c>
      <c r="M458" s="3345">
        <f t="shared" si="28"/>
        <v>1228469.3733821358</v>
      </c>
      <c r="N458" s="3345"/>
      <c r="O458" s="3350"/>
    </row>
    <row r="459" spans="1:15" s="1979" customFormat="1" ht="16.5" customHeight="1">
      <c r="A459" s="2132">
        <v>445</v>
      </c>
      <c r="B459" s="2132">
        <v>84</v>
      </c>
      <c r="C459" s="3351"/>
      <c r="D459" s="3349" t="s">
        <v>1444</v>
      </c>
      <c r="E459" s="3349" t="s">
        <v>40</v>
      </c>
      <c r="F459" s="3345">
        <v>17777.777777777777</v>
      </c>
      <c r="G459" s="3345">
        <v>877358.26227102464</v>
      </c>
      <c r="H459" s="3345">
        <v>333333.33333333331</v>
      </c>
      <c r="I459" s="3345">
        <v>0</v>
      </c>
      <c r="J459" s="3345">
        <v>0</v>
      </c>
      <c r="K459" s="3345">
        <f t="shared" si="27"/>
        <v>1228469.3733821358</v>
      </c>
      <c r="L459" s="3345">
        <v>0</v>
      </c>
      <c r="M459" s="3345">
        <f t="shared" si="28"/>
        <v>1228469.3733821358</v>
      </c>
      <c r="N459" s="3345"/>
      <c r="O459" s="3350"/>
    </row>
    <row r="460" spans="1:15" s="1979" customFormat="1" ht="16.5" customHeight="1">
      <c r="A460" s="2132">
        <v>446</v>
      </c>
      <c r="B460" s="2132">
        <v>85</v>
      </c>
      <c r="C460" s="3351"/>
      <c r="D460" s="3349" t="s">
        <v>1709</v>
      </c>
      <c r="E460" s="3349" t="s">
        <v>40</v>
      </c>
      <c r="F460" s="3345">
        <v>17777.777777777777</v>
      </c>
      <c r="G460" s="3345">
        <v>877358.26227102464</v>
      </c>
      <c r="H460" s="3345">
        <v>333333.33333333331</v>
      </c>
      <c r="I460" s="3345">
        <v>0</v>
      </c>
      <c r="J460" s="3345">
        <v>0</v>
      </c>
      <c r="K460" s="3345">
        <f t="shared" si="27"/>
        <v>1228469.3733821358</v>
      </c>
      <c r="L460" s="3345">
        <v>0</v>
      </c>
      <c r="M460" s="3345">
        <f t="shared" si="28"/>
        <v>1228469.3733821358</v>
      </c>
      <c r="N460" s="3345"/>
      <c r="O460" s="3350"/>
    </row>
    <row r="461" spans="1:15" s="1979" customFormat="1" ht="16.5" customHeight="1">
      <c r="A461" s="2132">
        <v>447</v>
      </c>
      <c r="B461" s="2132">
        <v>86</v>
      </c>
      <c r="C461" s="3351"/>
      <c r="D461" s="3349" t="s">
        <v>1710</v>
      </c>
      <c r="E461" s="3349" t="s">
        <v>40</v>
      </c>
      <c r="F461" s="3345">
        <v>17777.777777777777</v>
      </c>
      <c r="G461" s="3345">
        <v>877358.26227102464</v>
      </c>
      <c r="H461" s="3345">
        <v>333333.33333333331</v>
      </c>
      <c r="I461" s="3345">
        <v>0</v>
      </c>
      <c r="J461" s="3345">
        <v>0</v>
      </c>
      <c r="K461" s="3345">
        <f t="shared" si="27"/>
        <v>1228469.3733821358</v>
      </c>
      <c r="L461" s="3345">
        <v>0</v>
      </c>
      <c r="M461" s="3345">
        <f t="shared" si="28"/>
        <v>1228469.3733821358</v>
      </c>
      <c r="N461" s="3345"/>
      <c r="O461" s="3350"/>
    </row>
    <row r="462" spans="1:15" s="1979" customFormat="1" ht="16.5" customHeight="1">
      <c r="A462" s="2132">
        <v>448</v>
      </c>
      <c r="B462" s="2132">
        <v>87</v>
      </c>
      <c r="C462" s="3351"/>
      <c r="D462" s="3349" t="s">
        <v>1600</v>
      </c>
      <c r="E462" s="3349" t="s">
        <v>40</v>
      </c>
      <c r="F462" s="3345">
        <v>32000</v>
      </c>
      <c r="G462" s="3345">
        <v>743136.89111895743</v>
      </c>
      <c r="H462" s="3345">
        <v>520000</v>
      </c>
      <c r="I462" s="3345">
        <v>0</v>
      </c>
      <c r="J462" s="3345">
        <v>0</v>
      </c>
      <c r="K462" s="3345">
        <f t="shared" si="27"/>
        <v>1295136.8911189574</v>
      </c>
      <c r="L462" s="3345">
        <v>0</v>
      </c>
      <c r="M462" s="3345">
        <f t="shared" si="28"/>
        <v>1295136.8911189574</v>
      </c>
      <c r="N462" s="3345"/>
      <c r="O462" s="3350"/>
    </row>
    <row r="463" spans="1:15" s="1979" customFormat="1" ht="16.5" customHeight="1">
      <c r="A463" s="2132">
        <v>449</v>
      </c>
      <c r="B463" s="2132">
        <v>88</v>
      </c>
      <c r="C463" s="3351"/>
      <c r="D463" s="3349" t="s">
        <v>1711</v>
      </c>
      <c r="E463" s="3349" t="s">
        <v>40</v>
      </c>
      <c r="F463" s="3345">
        <v>32000</v>
      </c>
      <c r="G463" s="3345">
        <v>743136.89111895743</v>
      </c>
      <c r="H463" s="3345">
        <v>520000</v>
      </c>
      <c r="I463" s="3345">
        <v>0</v>
      </c>
      <c r="J463" s="3345">
        <v>0</v>
      </c>
      <c r="K463" s="3345">
        <f t="shared" si="27"/>
        <v>1295136.8911189574</v>
      </c>
      <c r="L463" s="3345">
        <v>0</v>
      </c>
      <c r="M463" s="3345">
        <f t="shared" si="28"/>
        <v>1295136.8911189574</v>
      </c>
      <c r="N463" s="3345"/>
      <c r="O463" s="3350"/>
    </row>
    <row r="464" spans="1:15" s="1979" customFormat="1" ht="16.5" customHeight="1">
      <c r="A464" s="2132">
        <v>450</v>
      </c>
      <c r="B464" s="2132">
        <v>89</v>
      </c>
      <c r="C464" s="3351"/>
      <c r="D464" s="3349" t="s">
        <v>1712</v>
      </c>
      <c r="E464" s="3349" t="s">
        <v>40</v>
      </c>
      <c r="F464" s="3345">
        <v>32000</v>
      </c>
      <c r="G464" s="3345">
        <v>743136.89111895743</v>
      </c>
      <c r="H464" s="3345">
        <v>520000</v>
      </c>
      <c r="I464" s="3345">
        <v>0</v>
      </c>
      <c r="J464" s="3345">
        <v>0</v>
      </c>
      <c r="K464" s="3345">
        <f t="shared" si="27"/>
        <v>1295136.8911189574</v>
      </c>
      <c r="L464" s="3345">
        <v>0</v>
      </c>
      <c r="M464" s="3345">
        <f t="shared" si="28"/>
        <v>1295136.8911189574</v>
      </c>
      <c r="N464" s="3345"/>
      <c r="O464" s="3350"/>
    </row>
    <row r="465" spans="1:16383" s="1979" customFormat="1" ht="16.5" customHeight="1">
      <c r="A465" s="2132">
        <v>451</v>
      </c>
      <c r="B465" s="2132">
        <v>90</v>
      </c>
      <c r="C465" s="3351"/>
      <c r="D465" s="3349" t="s">
        <v>1713</v>
      </c>
      <c r="E465" s="3349" t="s">
        <v>40</v>
      </c>
      <c r="F465" s="3345">
        <v>32000</v>
      </c>
      <c r="G465" s="3345">
        <v>743136.89111895743</v>
      </c>
      <c r="H465" s="3345">
        <v>520000</v>
      </c>
      <c r="I465" s="3345">
        <v>0</v>
      </c>
      <c r="J465" s="3345">
        <v>0</v>
      </c>
      <c r="K465" s="3345">
        <f t="shared" si="27"/>
        <v>1295136.8911189574</v>
      </c>
      <c r="L465" s="3345">
        <v>0</v>
      </c>
      <c r="M465" s="3345">
        <f t="shared" si="28"/>
        <v>1295136.8911189574</v>
      </c>
      <c r="N465" s="3345"/>
      <c r="O465" s="3350"/>
    </row>
    <row r="466" spans="1:16383" s="1979" customFormat="1" ht="16.5" customHeight="1">
      <c r="A466" s="2132">
        <v>452</v>
      </c>
      <c r="B466" s="2132">
        <v>91</v>
      </c>
      <c r="C466" s="3351"/>
      <c r="D466" s="3349" t="s">
        <v>1714</v>
      </c>
      <c r="E466" s="3349" t="s">
        <v>40</v>
      </c>
      <c r="F466" s="3345">
        <v>32000</v>
      </c>
      <c r="G466" s="3345">
        <v>743136.89111895743</v>
      </c>
      <c r="H466" s="3345">
        <v>520000</v>
      </c>
      <c r="I466" s="3345">
        <v>0</v>
      </c>
      <c r="J466" s="3345">
        <v>0</v>
      </c>
      <c r="K466" s="3345">
        <f t="shared" si="27"/>
        <v>1295136.8911189574</v>
      </c>
      <c r="L466" s="3345">
        <v>0</v>
      </c>
      <c r="M466" s="3345">
        <f t="shared" si="28"/>
        <v>1295136.8911189574</v>
      </c>
      <c r="N466" s="3345"/>
      <c r="O466" s="3350"/>
    </row>
    <row r="467" spans="1:16383" s="1979" customFormat="1" ht="16.5" customHeight="1">
      <c r="A467" s="2132">
        <v>453</v>
      </c>
      <c r="B467" s="2132">
        <v>92</v>
      </c>
      <c r="C467" s="3351"/>
      <c r="D467" s="3349" t="s">
        <v>1601</v>
      </c>
      <c r="E467" s="3349" t="s">
        <v>40</v>
      </c>
      <c r="F467" s="3345">
        <v>32000</v>
      </c>
      <c r="G467" s="3345">
        <v>561058.78163870296</v>
      </c>
      <c r="H467" s="3345">
        <v>500000</v>
      </c>
      <c r="I467" s="3345">
        <v>0</v>
      </c>
      <c r="J467" s="3345">
        <v>0</v>
      </c>
      <c r="K467" s="3345">
        <f t="shared" si="27"/>
        <v>1093058.7816387028</v>
      </c>
      <c r="L467" s="3345">
        <v>0</v>
      </c>
      <c r="M467" s="3345">
        <f t="shared" si="28"/>
        <v>1093058.7816387028</v>
      </c>
      <c r="N467" s="3345"/>
      <c r="O467" s="3350"/>
    </row>
    <row r="468" spans="1:16383" s="1979" customFormat="1" ht="16.5" customHeight="1">
      <c r="A468" s="2132">
        <v>454</v>
      </c>
      <c r="B468" s="2132">
        <v>93</v>
      </c>
      <c r="C468" s="3351"/>
      <c r="D468" s="3349" t="s">
        <v>1715</v>
      </c>
      <c r="E468" s="3349" t="s">
        <v>40</v>
      </c>
      <c r="F468" s="3345">
        <v>32000</v>
      </c>
      <c r="G468" s="3345">
        <v>561058.78163870296</v>
      </c>
      <c r="H468" s="3345">
        <v>500000</v>
      </c>
      <c r="I468" s="3345">
        <v>0</v>
      </c>
      <c r="J468" s="3345">
        <v>0</v>
      </c>
      <c r="K468" s="3345">
        <f t="shared" si="27"/>
        <v>1093058.7816387028</v>
      </c>
      <c r="L468" s="3345">
        <v>0</v>
      </c>
      <c r="M468" s="3345">
        <f t="shared" si="28"/>
        <v>1093058.7816387028</v>
      </c>
      <c r="N468" s="3345"/>
      <c r="O468" s="3350"/>
    </row>
    <row r="469" spans="1:16383" s="1979" customFormat="1" ht="16.5" customHeight="1">
      <c r="A469" s="2132">
        <v>455</v>
      </c>
      <c r="B469" s="2132">
        <v>94</v>
      </c>
      <c r="C469" s="3351"/>
      <c r="D469" s="3349" t="s">
        <v>1716</v>
      </c>
      <c r="E469" s="3349" t="s">
        <v>40</v>
      </c>
      <c r="F469" s="3345">
        <v>32000</v>
      </c>
      <c r="G469" s="3345">
        <v>561058.78163870296</v>
      </c>
      <c r="H469" s="3345">
        <v>500000</v>
      </c>
      <c r="I469" s="3345">
        <v>0</v>
      </c>
      <c r="J469" s="3345">
        <v>0</v>
      </c>
      <c r="K469" s="3345">
        <f t="shared" si="27"/>
        <v>1093058.7816387028</v>
      </c>
      <c r="L469" s="3345">
        <v>0</v>
      </c>
      <c r="M469" s="3345">
        <f t="shared" si="28"/>
        <v>1093058.7816387028</v>
      </c>
      <c r="N469" s="3345"/>
      <c r="O469" s="3350"/>
    </row>
    <row r="470" spans="1:16383" s="1979" customFormat="1" ht="16.5" customHeight="1">
      <c r="A470" s="2132">
        <v>456</v>
      </c>
      <c r="B470" s="2132">
        <v>95</v>
      </c>
      <c r="C470" s="3351"/>
      <c r="D470" s="3349" t="s">
        <v>1717</v>
      </c>
      <c r="E470" s="3349" t="s">
        <v>40</v>
      </c>
      <c r="F470" s="3345">
        <v>32000</v>
      </c>
      <c r="G470" s="3345">
        <v>561058.78163870296</v>
      </c>
      <c r="H470" s="3345">
        <v>500000</v>
      </c>
      <c r="I470" s="3345">
        <v>0</v>
      </c>
      <c r="J470" s="3345">
        <v>0</v>
      </c>
      <c r="K470" s="3345">
        <f t="shared" si="27"/>
        <v>1093058.7816387028</v>
      </c>
      <c r="L470" s="3345">
        <v>0</v>
      </c>
      <c r="M470" s="3345">
        <f t="shared" si="28"/>
        <v>1093058.7816387028</v>
      </c>
      <c r="N470" s="3345"/>
      <c r="O470" s="3350"/>
    </row>
    <row r="471" spans="1:16383" s="1979" customFormat="1" ht="16.5" customHeight="1">
      <c r="A471" s="2132">
        <v>457</v>
      </c>
      <c r="B471" s="2132">
        <v>96</v>
      </c>
      <c r="C471" s="3351"/>
      <c r="D471" s="3349" t="s">
        <v>157</v>
      </c>
      <c r="E471" s="3349" t="s">
        <v>40</v>
      </c>
      <c r="F471" s="3345">
        <v>32000</v>
      </c>
      <c r="G471" s="3345">
        <v>561058.78163870296</v>
      </c>
      <c r="H471" s="3345">
        <v>500000</v>
      </c>
      <c r="I471" s="3345">
        <v>0</v>
      </c>
      <c r="J471" s="3345">
        <v>0</v>
      </c>
      <c r="K471" s="3345">
        <f t="shared" si="27"/>
        <v>1093058.7816387028</v>
      </c>
      <c r="L471" s="3345">
        <v>0</v>
      </c>
      <c r="M471" s="3345">
        <f t="shared" si="28"/>
        <v>1093058.7816387028</v>
      </c>
      <c r="N471" s="3345"/>
      <c r="O471" s="3350"/>
    </row>
    <row r="472" spans="1:16383" s="1979" customFormat="1" ht="16.5" customHeight="1">
      <c r="A472" s="2132">
        <v>458</v>
      </c>
      <c r="B472" s="2132">
        <v>97</v>
      </c>
      <c r="C472" s="3351"/>
      <c r="D472" s="3349" t="s">
        <v>1718</v>
      </c>
      <c r="E472" s="3349" t="s">
        <v>40</v>
      </c>
      <c r="F472" s="3345">
        <v>400000</v>
      </c>
      <c r="G472" s="3345">
        <v>152845.80114945097</v>
      </c>
      <c r="H472" s="3345">
        <v>650000</v>
      </c>
      <c r="I472" s="3345">
        <v>0</v>
      </c>
      <c r="J472" s="3345">
        <v>0</v>
      </c>
      <c r="K472" s="3345">
        <f t="shared" si="27"/>
        <v>1202845.8011494509</v>
      </c>
      <c r="L472" s="3345">
        <v>0</v>
      </c>
      <c r="M472" s="3345">
        <f t="shared" si="28"/>
        <v>1202845.8011494509</v>
      </c>
      <c r="N472" s="3345"/>
      <c r="O472" s="3350"/>
    </row>
    <row r="473" spans="1:16383" s="1979" customFormat="1" ht="16.5" customHeight="1">
      <c r="A473" s="2132">
        <v>459</v>
      </c>
      <c r="B473" s="2132">
        <v>98</v>
      </c>
      <c r="C473" s="3351"/>
      <c r="D473" s="3352" t="s">
        <v>1719</v>
      </c>
      <c r="E473" s="3349" t="s">
        <v>40</v>
      </c>
      <c r="F473" s="3345">
        <v>400000</v>
      </c>
      <c r="G473" s="3345">
        <v>152845.80114945097</v>
      </c>
      <c r="H473" s="3345">
        <v>650000</v>
      </c>
      <c r="I473" s="3345">
        <v>0</v>
      </c>
      <c r="J473" s="3345">
        <v>0</v>
      </c>
      <c r="K473" s="3345">
        <f t="shared" si="27"/>
        <v>1202845.8011494509</v>
      </c>
      <c r="L473" s="3345">
        <v>0</v>
      </c>
      <c r="M473" s="3345">
        <f t="shared" si="28"/>
        <v>1202845.8011494509</v>
      </c>
      <c r="N473" s="3345"/>
      <c r="O473" s="3350"/>
    </row>
    <row r="474" spans="1:16383" s="2217" customFormat="1" ht="18.75" customHeight="1">
      <c r="A474" s="2132">
        <v>460</v>
      </c>
      <c r="B474" s="2132">
        <v>99</v>
      </c>
      <c r="C474" s="3536" t="s">
        <v>1754</v>
      </c>
      <c r="D474" s="3344" t="s">
        <v>1755</v>
      </c>
      <c r="E474" s="3344" t="s">
        <v>40</v>
      </c>
      <c r="F474" s="3345">
        <v>208000</v>
      </c>
      <c r="G474" s="3345">
        <v>708428.09970511822</v>
      </c>
      <c r="H474" s="3345">
        <v>373388.56174999999</v>
      </c>
      <c r="I474" s="3345">
        <v>1101816.66145512</v>
      </c>
      <c r="J474" s="3345">
        <v>0</v>
      </c>
      <c r="K474" s="3345">
        <f t="shared" ref="K474:K485" si="29">H474+G474+F474</f>
        <v>1289816.6614551181</v>
      </c>
      <c r="L474" s="3345">
        <v>0</v>
      </c>
      <c r="M474" s="3345">
        <f t="shared" si="28"/>
        <v>1289816.6614551181</v>
      </c>
      <c r="N474" s="3346"/>
      <c r="O474" s="3353"/>
      <c r="P474" s="2215"/>
      <c r="Q474" s="2216"/>
    </row>
    <row r="475" spans="1:16383" s="2292" customFormat="1" ht="17.25" customHeight="1">
      <c r="A475" s="2132">
        <v>461</v>
      </c>
      <c r="B475" s="2132">
        <v>100</v>
      </c>
      <c r="C475" s="3536"/>
      <c r="D475" s="3344" t="s">
        <v>1756</v>
      </c>
      <c r="E475" s="3344" t="s">
        <v>40</v>
      </c>
      <c r="F475" s="3345">
        <v>208000</v>
      </c>
      <c r="G475" s="3345">
        <v>708428.09970511822</v>
      </c>
      <c r="H475" s="3345">
        <v>373388.56174999999</v>
      </c>
      <c r="I475" s="3345">
        <v>1101816.6614551181</v>
      </c>
      <c r="J475" s="3345">
        <v>0</v>
      </c>
      <c r="K475" s="3345">
        <f t="shared" si="29"/>
        <v>1289816.6614551181</v>
      </c>
      <c r="L475" s="3345">
        <v>0</v>
      </c>
      <c r="M475" s="3345">
        <f t="shared" si="28"/>
        <v>1289816.6614551181</v>
      </c>
      <c r="N475" s="3346"/>
      <c r="O475" s="3344"/>
      <c r="P475" s="2290"/>
      <c r="Q475" s="2291"/>
    </row>
    <row r="476" spans="1:16383" s="2292" customFormat="1" ht="17.25" customHeight="1">
      <c r="A476" s="2132">
        <v>462</v>
      </c>
      <c r="B476" s="2132">
        <v>101</v>
      </c>
      <c r="C476" s="3536"/>
      <c r="D476" s="3344" t="s">
        <v>1757</v>
      </c>
      <c r="E476" s="3344" t="s">
        <v>40</v>
      </c>
      <c r="F476" s="3345">
        <v>208000</v>
      </c>
      <c r="G476" s="3345">
        <v>708428.09970511822</v>
      </c>
      <c r="H476" s="3345">
        <v>373388.56174999999</v>
      </c>
      <c r="I476" s="3345">
        <v>1101816.6614551181</v>
      </c>
      <c r="J476" s="3345">
        <v>0</v>
      </c>
      <c r="K476" s="3345">
        <f t="shared" si="29"/>
        <v>1289816.6614551181</v>
      </c>
      <c r="L476" s="3345">
        <v>0</v>
      </c>
      <c r="M476" s="3345">
        <f t="shared" si="28"/>
        <v>1289816.6614551181</v>
      </c>
      <c r="N476" s="3346"/>
      <c r="O476" s="3344"/>
      <c r="P476" s="2290"/>
      <c r="Q476" s="2291"/>
    </row>
    <row r="477" spans="1:16383" s="2292" customFormat="1" ht="17.25" customHeight="1">
      <c r="A477" s="2132">
        <v>463</v>
      </c>
      <c r="B477" s="2132">
        <v>102</v>
      </c>
      <c r="C477" s="3536"/>
      <c r="D477" s="3344" t="s">
        <v>1758</v>
      </c>
      <c r="E477" s="3344" t="s">
        <v>40</v>
      </c>
      <c r="F477" s="3345">
        <v>208000</v>
      </c>
      <c r="G477" s="3345">
        <v>708428.09970511822</v>
      </c>
      <c r="H477" s="3345">
        <v>373388.56174999999</v>
      </c>
      <c r="I477" s="3345">
        <v>1101816.6614551181</v>
      </c>
      <c r="J477" s="3345">
        <v>0</v>
      </c>
      <c r="K477" s="3345">
        <f t="shared" si="29"/>
        <v>1289816.6614551181</v>
      </c>
      <c r="L477" s="3345">
        <v>0</v>
      </c>
      <c r="M477" s="3345">
        <f t="shared" si="28"/>
        <v>1289816.6614551181</v>
      </c>
      <c r="N477" s="3346"/>
      <c r="O477" s="3344"/>
      <c r="P477" s="2290"/>
      <c r="Q477" s="2291"/>
    </row>
    <row r="478" spans="1:16383" s="2292" customFormat="1" ht="17.25" customHeight="1">
      <c r="A478" s="2132">
        <v>464</v>
      </c>
      <c r="B478" s="2132">
        <v>103</v>
      </c>
      <c r="C478" s="3536"/>
      <c r="D478" s="3344" t="s">
        <v>1759</v>
      </c>
      <c r="E478" s="3344" t="s">
        <v>40</v>
      </c>
      <c r="F478" s="3345">
        <v>13333.333333333334</v>
      </c>
      <c r="G478" s="3345">
        <v>903821.28747964825</v>
      </c>
      <c r="H478" s="3345">
        <v>262875.34283333336</v>
      </c>
      <c r="I478" s="3345">
        <v>1180029.9636463148</v>
      </c>
      <c r="J478" s="3345">
        <v>0</v>
      </c>
      <c r="K478" s="3345">
        <f t="shared" si="29"/>
        <v>1180029.9636463148</v>
      </c>
      <c r="L478" s="3345">
        <v>0</v>
      </c>
      <c r="M478" s="3345">
        <f t="shared" si="28"/>
        <v>1180029.9636463148</v>
      </c>
      <c r="N478" s="3346"/>
      <c r="O478" s="3344"/>
      <c r="P478" s="2290"/>
      <c r="Q478" s="2291"/>
    </row>
    <row r="479" spans="1:16383" s="2292" customFormat="1" ht="17.25" customHeight="1">
      <c r="A479" s="2132">
        <v>465</v>
      </c>
      <c r="B479" s="2132">
        <v>104</v>
      </c>
      <c r="C479" s="3536"/>
      <c r="D479" s="3344" t="s">
        <v>1760</v>
      </c>
      <c r="E479" s="3344" t="s">
        <v>40</v>
      </c>
      <c r="F479" s="3345">
        <v>13333.333333333334</v>
      </c>
      <c r="G479" s="3345">
        <v>903821.28747964825</v>
      </c>
      <c r="H479" s="3345">
        <v>262875.34283333336</v>
      </c>
      <c r="I479" s="3345">
        <v>1180029.9636463148</v>
      </c>
      <c r="J479" s="3345">
        <v>0</v>
      </c>
      <c r="K479" s="3345">
        <f t="shared" si="29"/>
        <v>1180029.9636463148</v>
      </c>
      <c r="L479" s="3345">
        <v>0</v>
      </c>
      <c r="M479" s="3345">
        <f t="shared" si="28"/>
        <v>1180029.9636463148</v>
      </c>
      <c r="N479" s="3346"/>
      <c r="O479" s="3345"/>
      <c r="P479" s="2204">
        <f>[16]BV!AA395</f>
        <v>0</v>
      </c>
      <c r="Q479" s="2204"/>
      <c r="R479" s="2204"/>
      <c r="S479" s="2204">
        <f t="shared" ref="S479:BK479" si="30">P479</f>
        <v>0</v>
      </c>
      <c r="T479" s="2204">
        <f>[16]BV!AE395</f>
        <v>0</v>
      </c>
      <c r="U479" s="2204"/>
      <c r="V479" s="2204"/>
      <c r="W479" s="2204">
        <f t="shared" si="30"/>
        <v>0</v>
      </c>
      <c r="X479" s="2204">
        <f>[16]BV!AI395</f>
        <v>0</v>
      </c>
      <c r="Y479" s="2204"/>
      <c r="Z479" s="2204"/>
      <c r="AA479" s="2204">
        <f t="shared" si="30"/>
        <v>0</v>
      </c>
      <c r="AB479" s="2204">
        <f>[16]BV!AM395</f>
        <v>0</v>
      </c>
      <c r="AC479" s="2204"/>
      <c r="AD479" s="2204"/>
      <c r="AE479" s="2204">
        <f t="shared" si="30"/>
        <v>0</v>
      </c>
      <c r="AF479" s="2204">
        <f>[16]BV!AQ395</f>
        <v>0</v>
      </c>
      <c r="AG479" s="2204"/>
      <c r="AH479" s="2204"/>
      <c r="AI479" s="2204">
        <f t="shared" si="30"/>
        <v>0</v>
      </c>
      <c r="AJ479" s="2204">
        <f>[16]BV!AU395</f>
        <v>0</v>
      </c>
      <c r="AK479" s="2204"/>
      <c r="AL479" s="2204"/>
      <c r="AM479" s="2204">
        <f t="shared" si="30"/>
        <v>0</v>
      </c>
      <c r="AN479" s="2204">
        <f>[16]BV!AY395</f>
        <v>0</v>
      </c>
      <c r="AO479" s="2204"/>
      <c r="AP479" s="2204"/>
      <c r="AQ479" s="2204">
        <f t="shared" si="30"/>
        <v>0</v>
      </c>
      <c r="AR479" s="2204">
        <f>[16]BV!BC395</f>
        <v>0</v>
      </c>
      <c r="AS479" s="2204"/>
      <c r="AT479" s="2204"/>
      <c r="AU479" s="2204">
        <f t="shared" si="30"/>
        <v>0</v>
      </c>
      <c r="AV479" s="2204">
        <f>[16]BV!BG395</f>
        <v>0</v>
      </c>
      <c r="AW479" s="2204"/>
      <c r="AX479" s="2204"/>
      <c r="AY479" s="2204">
        <f t="shared" si="30"/>
        <v>0</v>
      </c>
      <c r="AZ479" s="2204">
        <f>[16]BV!BK395</f>
        <v>0</v>
      </c>
      <c r="BA479" s="2204"/>
      <c r="BB479" s="2204"/>
      <c r="BC479" s="2204">
        <f t="shared" si="30"/>
        <v>0</v>
      </c>
      <c r="BD479" s="2204">
        <f>[16]BV!BO395</f>
        <v>0</v>
      </c>
      <c r="BE479" s="2204"/>
      <c r="BF479" s="2204"/>
      <c r="BG479" s="2204">
        <f t="shared" si="30"/>
        <v>0</v>
      </c>
      <c r="BH479" s="2204">
        <f>[16]BV!BS395</f>
        <v>0</v>
      </c>
      <c r="BI479" s="2204"/>
      <c r="BJ479" s="2204"/>
      <c r="BK479" s="2204">
        <f t="shared" si="30"/>
        <v>0</v>
      </c>
      <c r="BL479" s="2204">
        <f>[16]BV!BW395</f>
        <v>0</v>
      </c>
      <c r="BM479" s="2204"/>
      <c r="BN479" s="2204"/>
      <c r="BO479" s="2204">
        <f t="shared" ref="BO479:DW479" si="31">BL479</f>
        <v>0</v>
      </c>
      <c r="BP479" s="2204">
        <f>[16]BV!CA395</f>
        <v>0</v>
      </c>
      <c r="BQ479" s="2204"/>
      <c r="BR479" s="2204"/>
      <c r="BS479" s="2204">
        <f t="shared" si="31"/>
        <v>0</v>
      </c>
      <c r="BT479" s="2204">
        <f>[16]BV!CE395</f>
        <v>0</v>
      </c>
      <c r="BU479" s="2204"/>
      <c r="BV479" s="2204"/>
      <c r="BW479" s="2204">
        <f t="shared" si="31"/>
        <v>0</v>
      </c>
      <c r="BX479" s="2204">
        <f>[16]BV!CI395</f>
        <v>0</v>
      </c>
      <c r="BY479" s="2204"/>
      <c r="BZ479" s="2204"/>
      <c r="CA479" s="2204">
        <f t="shared" si="31"/>
        <v>0</v>
      </c>
      <c r="CB479" s="2204">
        <f>[16]BV!CM395</f>
        <v>0</v>
      </c>
      <c r="CC479" s="2204"/>
      <c r="CD479" s="2204"/>
      <c r="CE479" s="2204">
        <f t="shared" si="31"/>
        <v>0</v>
      </c>
      <c r="CF479" s="2204">
        <f>[16]BV!CQ395</f>
        <v>0</v>
      </c>
      <c r="CG479" s="2204"/>
      <c r="CH479" s="2204"/>
      <c r="CI479" s="2204">
        <f t="shared" si="31"/>
        <v>0</v>
      </c>
      <c r="CJ479" s="2204">
        <f>[16]BV!CU395</f>
        <v>0</v>
      </c>
      <c r="CK479" s="2204"/>
      <c r="CL479" s="2204"/>
      <c r="CM479" s="2204">
        <f t="shared" si="31"/>
        <v>0</v>
      </c>
      <c r="CN479" s="2204">
        <f>[16]BV!CY395</f>
        <v>0</v>
      </c>
      <c r="CO479" s="2204"/>
      <c r="CP479" s="2204"/>
      <c r="CQ479" s="2204">
        <f t="shared" si="31"/>
        <v>0</v>
      </c>
      <c r="CR479" s="2204">
        <f>[16]BV!DC395</f>
        <v>0</v>
      </c>
      <c r="CS479" s="2204"/>
      <c r="CT479" s="2204"/>
      <c r="CU479" s="2204">
        <f t="shared" si="31"/>
        <v>0</v>
      </c>
      <c r="CV479" s="2204">
        <f>[16]BV!DG395</f>
        <v>0</v>
      </c>
      <c r="CW479" s="2204"/>
      <c r="CX479" s="2204"/>
      <c r="CY479" s="2204">
        <f t="shared" si="31"/>
        <v>0</v>
      </c>
      <c r="CZ479" s="2204">
        <f>[16]BV!DK395</f>
        <v>0</v>
      </c>
      <c r="DA479" s="2204"/>
      <c r="DB479" s="2204"/>
      <c r="DC479" s="2204">
        <f t="shared" si="31"/>
        <v>0</v>
      </c>
      <c r="DD479" s="2204">
        <f>[16]BV!DO395</f>
        <v>0</v>
      </c>
      <c r="DE479" s="2204"/>
      <c r="DF479" s="2204"/>
      <c r="DG479" s="2204">
        <f t="shared" si="31"/>
        <v>0</v>
      </c>
      <c r="DH479" s="2204">
        <f>[16]BV!DS395</f>
        <v>0</v>
      </c>
      <c r="DI479" s="2204"/>
      <c r="DJ479" s="2204"/>
      <c r="DK479" s="2204">
        <f t="shared" si="31"/>
        <v>0</v>
      </c>
      <c r="DL479" s="2204">
        <f>[16]BV!DW395</f>
        <v>0</v>
      </c>
      <c r="DM479" s="2204"/>
      <c r="DN479" s="2204"/>
      <c r="DO479" s="2204">
        <f t="shared" si="31"/>
        <v>0</v>
      </c>
      <c r="DP479" s="2204">
        <f>[16]BV!EA395</f>
        <v>0</v>
      </c>
      <c r="DQ479" s="2204"/>
      <c r="DR479" s="2204"/>
      <c r="DS479" s="2204">
        <f t="shared" si="31"/>
        <v>0</v>
      </c>
      <c r="DT479" s="2204">
        <f>[16]BV!EE395</f>
        <v>0</v>
      </c>
      <c r="DU479" s="2204"/>
      <c r="DV479" s="2204"/>
      <c r="DW479" s="2204">
        <f t="shared" si="31"/>
        <v>0</v>
      </c>
      <c r="DX479" s="2204">
        <f>[16]BV!EI395</f>
        <v>0</v>
      </c>
      <c r="DY479" s="2204"/>
      <c r="DZ479" s="2204"/>
      <c r="EA479" s="2204">
        <f t="shared" ref="EA479:GI479" si="32">DX479</f>
        <v>0</v>
      </c>
      <c r="EB479" s="2204">
        <f>[16]BV!EM395</f>
        <v>0</v>
      </c>
      <c r="EC479" s="2204"/>
      <c r="ED479" s="2204"/>
      <c r="EE479" s="2204">
        <f t="shared" si="32"/>
        <v>0</v>
      </c>
      <c r="EF479" s="2204">
        <f>[16]BV!EQ395</f>
        <v>0</v>
      </c>
      <c r="EG479" s="2204"/>
      <c r="EH479" s="2204"/>
      <c r="EI479" s="2204">
        <f t="shared" si="32"/>
        <v>0</v>
      </c>
      <c r="EJ479" s="2204">
        <f>[16]BV!EU395</f>
        <v>0</v>
      </c>
      <c r="EK479" s="2204"/>
      <c r="EL479" s="2204"/>
      <c r="EM479" s="2204">
        <f t="shared" si="32"/>
        <v>0</v>
      </c>
      <c r="EN479" s="2204">
        <f>[16]BV!EY395</f>
        <v>0</v>
      </c>
      <c r="EO479" s="2204"/>
      <c r="EP479" s="2204"/>
      <c r="EQ479" s="2204">
        <f t="shared" si="32"/>
        <v>0</v>
      </c>
      <c r="ER479" s="2204">
        <f>[16]BV!FC395</f>
        <v>0</v>
      </c>
      <c r="ES479" s="2204"/>
      <c r="ET479" s="2204"/>
      <c r="EU479" s="2204">
        <f t="shared" si="32"/>
        <v>0</v>
      </c>
      <c r="EV479" s="2204">
        <f>[16]BV!FG395</f>
        <v>0</v>
      </c>
      <c r="EW479" s="2204"/>
      <c r="EX479" s="2204"/>
      <c r="EY479" s="2204">
        <f t="shared" si="32"/>
        <v>0</v>
      </c>
      <c r="EZ479" s="2204">
        <f>[16]BV!FK395</f>
        <v>0</v>
      </c>
      <c r="FA479" s="2204"/>
      <c r="FB479" s="2204"/>
      <c r="FC479" s="2204">
        <f t="shared" si="32"/>
        <v>0</v>
      </c>
      <c r="FD479" s="2204">
        <f>[16]BV!FO395</f>
        <v>0</v>
      </c>
      <c r="FE479" s="2204"/>
      <c r="FF479" s="2204"/>
      <c r="FG479" s="2204">
        <f t="shared" si="32"/>
        <v>0</v>
      </c>
      <c r="FH479" s="2204">
        <f>[16]BV!FS395</f>
        <v>0</v>
      </c>
      <c r="FI479" s="2204"/>
      <c r="FJ479" s="2204"/>
      <c r="FK479" s="2204">
        <f t="shared" si="32"/>
        <v>0</v>
      </c>
      <c r="FL479" s="2204">
        <f>[16]BV!FW395</f>
        <v>0</v>
      </c>
      <c r="FM479" s="2204"/>
      <c r="FN479" s="2204"/>
      <c r="FO479" s="2204">
        <f t="shared" si="32"/>
        <v>0</v>
      </c>
      <c r="FP479" s="2204">
        <f>[16]BV!GA395</f>
        <v>0</v>
      </c>
      <c r="FQ479" s="2204"/>
      <c r="FR479" s="2204"/>
      <c r="FS479" s="2204">
        <f t="shared" si="32"/>
        <v>0</v>
      </c>
      <c r="FT479" s="2204">
        <f>[16]BV!GE395</f>
        <v>0</v>
      </c>
      <c r="FU479" s="2204"/>
      <c r="FV479" s="2204"/>
      <c r="FW479" s="2204">
        <f t="shared" si="32"/>
        <v>0</v>
      </c>
      <c r="FX479" s="2204">
        <f>[16]BV!GI395</f>
        <v>0</v>
      </c>
      <c r="FY479" s="2204"/>
      <c r="FZ479" s="2204"/>
      <c r="GA479" s="2204">
        <f t="shared" si="32"/>
        <v>0</v>
      </c>
      <c r="GB479" s="2204">
        <f>[16]BV!GM395</f>
        <v>0</v>
      </c>
      <c r="GC479" s="2204"/>
      <c r="GD479" s="2204"/>
      <c r="GE479" s="2204">
        <f t="shared" si="32"/>
        <v>0</v>
      </c>
      <c r="GF479" s="2204">
        <f>[16]BV!GQ395</f>
        <v>0</v>
      </c>
      <c r="GG479" s="2204"/>
      <c r="GH479" s="2204"/>
      <c r="GI479" s="2204">
        <f t="shared" si="32"/>
        <v>0</v>
      </c>
      <c r="GJ479" s="2204">
        <f>[16]BV!GU395</f>
        <v>0</v>
      </c>
      <c r="GK479" s="2204"/>
      <c r="GL479" s="2204"/>
      <c r="GM479" s="2204">
        <f t="shared" ref="GM479:IU479" si="33">GJ479</f>
        <v>0</v>
      </c>
      <c r="GN479" s="2204">
        <f>[16]BV!GY395</f>
        <v>0</v>
      </c>
      <c r="GO479" s="2204"/>
      <c r="GP479" s="2204"/>
      <c r="GQ479" s="2204">
        <f t="shared" si="33"/>
        <v>0</v>
      </c>
      <c r="GR479" s="2204">
        <f>[16]BV!HC395</f>
        <v>0</v>
      </c>
      <c r="GS479" s="2204"/>
      <c r="GT479" s="2204"/>
      <c r="GU479" s="2204">
        <f t="shared" si="33"/>
        <v>0</v>
      </c>
      <c r="GV479" s="2204">
        <f>[16]BV!HG395</f>
        <v>0</v>
      </c>
      <c r="GW479" s="2204"/>
      <c r="GX479" s="2204"/>
      <c r="GY479" s="2204">
        <f t="shared" si="33"/>
        <v>0</v>
      </c>
      <c r="GZ479" s="2204">
        <f>[16]BV!HK395</f>
        <v>0</v>
      </c>
      <c r="HA479" s="2204"/>
      <c r="HB479" s="2204"/>
      <c r="HC479" s="2204">
        <f t="shared" si="33"/>
        <v>0</v>
      </c>
      <c r="HD479" s="2204">
        <f>[16]BV!HO395</f>
        <v>0</v>
      </c>
      <c r="HE479" s="2204"/>
      <c r="HF479" s="2204"/>
      <c r="HG479" s="2204">
        <f t="shared" si="33"/>
        <v>0</v>
      </c>
      <c r="HH479" s="2204">
        <f>[16]BV!HS395</f>
        <v>0</v>
      </c>
      <c r="HI479" s="2204"/>
      <c r="HJ479" s="2204"/>
      <c r="HK479" s="2204">
        <f t="shared" si="33"/>
        <v>0</v>
      </c>
      <c r="HL479" s="2204">
        <f>[16]BV!HW395</f>
        <v>0</v>
      </c>
      <c r="HM479" s="2204"/>
      <c r="HN479" s="2204"/>
      <c r="HO479" s="2204">
        <f t="shared" si="33"/>
        <v>0</v>
      </c>
      <c r="HP479" s="2204">
        <f>[16]BV!IA395</f>
        <v>0</v>
      </c>
      <c r="HQ479" s="2204"/>
      <c r="HR479" s="2204"/>
      <c r="HS479" s="2204">
        <f t="shared" si="33"/>
        <v>0</v>
      </c>
      <c r="HT479" s="2204">
        <f>[16]BV!IE395</f>
        <v>0</v>
      </c>
      <c r="HU479" s="2204"/>
      <c r="HV479" s="2204"/>
      <c r="HW479" s="2204">
        <f t="shared" si="33"/>
        <v>0</v>
      </c>
      <c r="HX479" s="2204">
        <f>[16]BV!II395</f>
        <v>0</v>
      </c>
      <c r="HY479" s="2204"/>
      <c r="HZ479" s="2204"/>
      <c r="IA479" s="2204">
        <f t="shared" si="33"/>
        <v>0</v>
      </c>
      <c r="IB479" s="2204">
        <f>[16]BV!IM395</f>
        <v>0</v>
      </c>
      <c r="IC479" s="2204"/>
      <c r="ID479" s="2204"/>
      <c r="IE479" s="2204">
        <f t="shared" si="33"/>
        <v>0</v>
      </c>
      <c r="IF479" s="2204">
        <f>[16]BV!IQ395</f>
        <v>0</v>
      </c>
      <c r="IG479" s="2204"/>
      <c r="IH479" s="2204"/>
      <c r="II479" s="2204">
        <f t="shared" si="33"/>
        <v>0</v>
      </c>
      <c r="IJ479" s="2204">
        <f>[16]BV!IU395</f>
        <v>0</v>
      </c>
      <c r="IK479" s="2204"/>
      <c r="IL479" s="2204"/>
      <c r="IM479" s="2204">
        <f t="shared" si="33"/>
        <v>0</v>
      </c>
      <c r="IN479" s="2204">
        <f>[16]BV!IY395</f>
        <v>0</v>
      </c>
      <c r="IO479" s="2204"/>
      <c r="IP479" s="2204"/>
      <c r="IQ479" s="2204">
        <f t="shared" si="33"/>
        <v>0</v>
      </c>
      <c r="IR479" s="2204">
        <f>[16]BV!JC395</f>
        <v>0</v>
      </c>
      <c r="IS479" s="2204"/>
      <c r="IT479" s="2204"/>
      <c r="IU479" s="2204">
        <f t="shared" si="33"/>
        <v>0</v>
      </c>
      <c r="IV479" s="2204">
        <f>[16]BV!JG395</f>
        <v>0</v>
      </c>
      <c r="IW479" s="2204"/>
      <c r="IX479" s="2204"/>
      <c r="IY479" s="2204">
        <f t="shared" ref="IY479:LG479" si="34">IV479</f>
        <v>0</v>
      </c>
      <c r="IZ479" s="2204">
        <f>[16]BV!JK395</f>
        <v>0</v>
      </c>
      <c r="JA479" s="2204"/>
      <c r="JB479" s="2204"/>
      <c r="JC479" s="2204">
        <f t="shared" si="34"/>
        <v>0</v>
      </c>
      <c r="JD479" s="2204">
        <f>[16]BV!JO395</f>
        <v>0</v>
      </c>
      <c r="JE479" s="2204"/>
      <c r="JF479" s="2204"/>
      <c r="JG479" s="2204">
        <f t="shared" si="34"/>
        <v>0</v>
      </c>
      <c r="JH479" s="2204">
        <f>[16]BV!JS395</f>
        <v>0</v>
      </c>
      <c r="JI479" s="2204"/>
      <c r="JJ479" s="2204"/>
      <c r="JK479" s="2204">
        <f t="shared" si="34"/>
        <v>0</v>
      </c>
      <c r="JL479" s="2204">
        <f>[16]BV!JW395</f>
        <v>0</v>
      </c>
      <c r="JM479" s="2204"/>
      <c r="JN479" s="2204"/>
      <c r="JO479" s="2204">
        <f t="shared" si="34"/>
        <v>0</v>
      </c>
      <c r="JP479" s="2204">
        <f>[16]BV!KA395</f>
        <v>0</v>
      </c>
      <c r="JQ479" s="2204"/>
      <c r="JR479" s="2204"/>
      <c r="JS479" s="2204">
        <f t="shared" si="34"/>
        <v>0</v>
      </c>
      <c r="JT479" s="2204">
        <f>[16]BV!KE395</f>
        <v>0</v>
      </c>
      <c r="JU479" s="2204"/>
      <c r="JV479" s="2204"/>
      <c r="JW479" s="2204">
        <f t="shared" si="34"/>
        <v>0</v>
      </c>
      <c r="JX479" s="2204">
        <f>[16]BV!KI395</f>
        <v>0</v>
      </c>
      <c r="JY479" s="2204"/>
      <c r="JZ479" s="2204"/>
      <c r="KA479" s="2204">
        <f t="shared" si="34"/>
        <v>0</v>
      </c>
      <c r="KB479" s="2204">
        <f>[16]BV!KM395</f>
        <v>0</v>
      </c>
      <c r="KC479" s="2204"/>
      <c r="KD479" s="2204"/>
      <c r="KE479" s="2204">
        <f t="shared" si="34"/>
        <v>0</v>
      </c>
      <c r="KF479" s="2204">
        <f>[16]BV!KQ395</f>
        <v>0</v>
      </c>
      <c r="KG479" s="2204"/>
      <c r="KH479" s="2204"/>
      <c r="KI479" s="2204">
        <f t="shared" si="34"/>
        <v>0</v>
      </c>
      <c r="KJ479" s="2204">
        <f>[16]BV!KU395</f>
        <v>0</v>
      </c>
      <c r="KK479" s="2204"/>
      <c r="KL479" s="2204"/>
      <c r="KM479" s="2204">
        <f t="shared" si="34"/>
        <v>0</v>
      </c>
      <c r="KN479" s="2204">
        <f>[16]BV!KY395</f>
        <v>0</v>
      </c>
      <c r="KO479" s="2204"/>
      <c r="KP479" s="2204"/>
      <c r="KQ479" s="2204">
        <f t="shared" si="34"/>
        <v>0</v>
      </c>
      <c r="KR479" s="2204">
        <f>[16]BV!LC395</f>
        <v>0</v>
      </c>
      <c r="KS479" s="2204"/>
      <c r="KT479" s="2204"/>
      <c r="KU479" s="2204">
        <f t="shared" si="34"/>
        <v>0</v>
      </c>
      <c r="KV479" s="2204">
        <f>[16]BV!LG395</f>
        <v>0</v>
      </c>
      <c r="KW479" s="2204"/>
      <c r="KX479" s="2204"/>
      <c r="KY479" s="2204">
        <f t="shared" si="34"/>
        <v>0</v>
      </c>
      <c r="KZ479" s="2204">
        <f>[16]BV!LK395</f>
        <v>0</v>
      </c>
      <c r="LA479" s="2204"/>
      <c r="LB479" s="2204"/>
      <c r="LC479" s="2204">
        <f t="shared" si="34"/>
        <v>0</v>
      </c>
      <c r="LD479" s="2204">
        <f>[16]BV!LO395</f>
        <v>0</v>
      </c>
      <c r="LE479" s="2204"/>
      <c r="LF479" s="2204"/>
      <c r="LG479" s="2204">
        <f t="shared" si="34"/>
        <v>0</v>
      </c>
      <c r="LH479" s="2204">
        <f>[16]BV!LS395</f>
        <v>0</v>
      </c>
      <c r="LI479" s="2204"/>
      <c r="LJ479" s="2204"/>
      <c r="LK479" s="2204">
        <f t="shared" ref="LK479:NS479" si="35">LH479</f>
        <v>0</v>
      </c>
      <c r="LL479" s="2204">
        <f>[16]BV!LW395</f>
        <v>0</v>
      </c>
      <c r="LM479" s="2204"/>
      <c r="LN479" s="2204"/>
      <c r="LO479" s="2204">
        <f t="shared" si="35"/>
        <v>0</v>
      </c>
      <c r="LP479" s="2204">
        <f>[16]BV!MA395</f>
        <v>0</v>
      </c>
      <c r="LQ479" s="2204"/>
      <c r="LR479" s="2204"/>
      <c r="LS479" s="2204">
        <f t="shared" si="35"/>
        <v>0</v>
      </c>
      <c r="LT479" s="2204">
        <f>[16]BV!ME395</f>
        <v>0</v>
      </c>
      <c r="LU479" s="2204"/>
      <c r="LV479" s="2204"/>
      <c r="LW479" s="2204">
        <f t="shared" si="35"/>
        <v>0</v>
      </c>
      <c r="LX479" s="2204">
        <f>[16]BV!MI395</f>
        <v>0</v>
      </c>
      <c r="LY479" s="2204"/>
      <c r="LZ479" s="2204"/>
      <c r="MA479" s="2204">
        <f t="shared" si="35"/>
        <v>0</v>
      </c>
      <c r="MB479" s="2204">
        <f>[16]BV!MM395</f>
        <v>0</v>
      </c>
      <c r="MC479" s="2204"/>
      <c r="MD479" s="2204"/>
      <c r="ME479" s="2204">
        <f t="shared" si="35"/>
        <v>0</v>
      </c>
      <c r="MF479" s="2204">
        <f>[16]BV!MQ395</f>
        <v>0</v>
      </c>
      <c r="MG479" s="2204"/>
      <c r="MH479" s="2204"/>
      <c r="MI479" s="2204">
        <f t="shared" si="35"/>
        <v>0</v>
      </c>
      <c r="MJ479" s="2204">
        <f>[16]BV!MU395</f>
        <v>0</v>
      </c>
      <c r="MK479" s="2204"/>
      <c r="ML479" s="2204"/>
      <c r="MM479" s="2204">
        <f t="shared" si="35"/>
        <v>0</v>
      </c>
      <c r="MN479" s="2204">
        <f>[16]BV!MY395</f>
        <v>0</v>
      </c>
      <c r="MO479" s="2204"/>
      <c r="MP479" s="2204"/>
      <c r="MQ479" s="2204">
        <f t="shared" si="35"/>
        <v>0</v>
      </c>
      <c r="MR479" s="2204">
        <f>[16]BV!NC395</f>
        <v>0</v>
      </c>
      <c r="MS479" s="2204"/>
      <c r="MT479" s="2204"/>
      <c r="MU479" s="2204">
        <f t="shared" si="35"/>
        <v>0</v>
      </c>
      <c r="MV479" s="2204">
        <f>[16]BV!NG395</f>
        <v>0</v>
      </c>
      <c r="MW479" s="2204"/>
      <c r="MX479" s="2204"/>
      <c r="MY479" s="2204">
        <f t="shared" si="35"/>
        <v>0</v>
      </c>
      <c r="MZ479" s="2204">
        <f>[16]BV!NK395</f>
        <v>0</v>
      </c>
      <c r="NA479" s="2204"/>
      <c r="NB479" s="2204"/>
      <c r="NC479" s="2204">
        <f t="shared" si="35"/>
        <v>0</v>
      </c>
      <c r="ND479" s="2204">
        <f>[16]BV!NO395</f>
        <v>0</v>
      </c>
      <c r="NE479" s="2204"/>
      <c r="NF479" s="2204"/>
      <c r="NG479" s="2204">
        <f t="shared" si="35"/>
        <v>0</v>
      </c>
      <c r="NH479" s="2204">
        <f>[16]BV!NS395</f>
        <v>0</v>
      </c>
      <c r="NI479" s="2204"/>
      <c r="NJ479" s="2204"/>
      <c r="NK479" s="2204">
        <f t="shared" si="35"/>
        <v>0</v>
      </c>
      <c r="NL479" s="2204">
        <f>[16]BV!NW395</f>
        <v>0</v>
      </c>
      <c r="NM479" s="2204"/>
      <c r="NN479" s="2204"/>
      <c r="NO479" s="2204">
        <f t="shared" si="35"/>
        <v>0</v>
      </c>
      <c r="NP479" s="2204">
        <f>[16]BV!OA395</f>
        <v>0</v>
      </c>
      <c r="NQ479" s="2204"/>
      <c r="NR479" s="2204"/>
      <c r="NS479" s="2204">
        <f t="shared" si="35"/>
        <v>0</v>
      </c>
      <c r="NT479" s="2204">
        <f>[16]BV!OE395</f>
        <v>0</v>
      </c>
      <c r="NU479" s="2204"/>
      <c r="NV479" s="2204"/>
      <c r="NW479" s="2204">
        <f t="shared" ref="NW479:QE479" si="36">NT479</f>
        <v>0</v>
      </c>
      <c r="NX479" s="2204">
        <f>[16]BV!OI395</f>
        <v>0</v>
      </c>
      <c r="NY479" s="2204"/>
      <c r="NZ479" s="2204"/>
      <c r="OA479" s="2204">
        <f t="shared" si="36"/>
        <v>0</v>
      </c>
      <c r="OB479" s="2204">
        <f>[16]BV!OM395</f>
        <v>0</v>
      </c>
      <c r="OC479" s="2204"/>
      <c r="OD479" s="2204"/>
      <c r="OE479" s="2204">
        <f t="shared" si="36"/>
        <v>0</v>
      </c>
      <c r="OF479" s="2204">
        <f>[16]BV!OQ395</f>
        <v>0</v>
      </c>
      <c r="OG479" s="2204"/>
      <c r="OH479" s="2204"/>
      <c r="OI479" s="2204">
        <f t="shared" si="36"/>
        <v>0</v>
      </c>
      <c r="OJ479" s="2204">
        <f>[16]BV!OU395</f>
        <v>0</v>
      </c>
      <c r="OK479" s="2204"/>
      <c r="OL479" s="2204"/>
      <c r="OM479" s="2204">
        <f t="shared" si="36"/>
        <v>0</v>
      </c>
      <c r="ON479" s="2204">
        <f>[16]BV!OY395</f>
        <v>0</v>
      </c>
      <c r="OO479" s="2204"/>
      <c r="OP479" s="2204"/>
      <c r="OQ479" s="2204">
        <f t="shared" si="36"/>
        <v>0</v>
      </c>
      <c r="OR479" s="2204">
        <f>[16]BV!PC395</f>
        <v>0</v>
      </c>
      <c r="OS479" s="2204"/>
      <c r="OT479" s="2204"/>
      <c r="OU479" s="2204">
        <f t="shared" si="36"/>
        <v>0</v>
      </c>
      <c r="OV479" s="2204">
        <f>[16]BV!PG395</f>
        <v>0</v>
      </c>
      <c r="OW479" s="2204"/>
      <c r="OX479" s="2204"/>
      <c r="OY479" s="2204">
        <f t="shared" si="36"/>
        <v>0</v>
      </c>
      <c r="OZ479" s="2204">
        <f>[16]BV!PK395</f>
        <v>0</v>
      </c>
      <c r="PA479" s="2204"/>
      <c r="PB479" s="2204"/>
      <c r="PC479" s="2204">
        <f t="shared" si="36"/>
        <v>0</v>
      </c>
      <c r="PD479" s="2204">
        <f>[16]BV!PO395</f>
        <v>0</v>
      </c>
      <c r="PE479" s="2204"/>
      <c r="PF479" s="2204"/>
      <c r="PG479" s="2204">
        <f t="shared" si="36"/>
        <v>0</v>
      </c>
      <c r="PH479" s="2204">
        <f>[16]BV!PS395</f>
        <v>0</v>
      </c>
      <c r="PI479" s="2204"/>
      <c r="PJ479" s="2204"/>
      <c r="PK479" s="2204">
        <f t="shared" si="36"/>
        <v>0</v>
      </c>
      <c r="PL479" s="2204">
        <f>[16]BV!PW395</f>
        <v>0</v>
      </c>
      <c r="PM479" s="2204"/>
      <c r="PN479" s="2204"/>
      <c r="PO479" s="2204">
        <f t="shared" si="36"/>
        <v>0</v>
      </c>
      <c r="PP479" s="2204">
        <f>[16]BV!QA395</f>
        <v>0</v>
      </c>
      <c r="PQ479" s="2204"/>
      <c r="PR479" s="2204"/>
      <c r="PS479" s="2204">
        <f t="shared" si="36"/>
        <v>0</v>
      </c>
      <c r="PT479" s="2204">
        <f>[16]BV!QE395</f>
        <v>0</v>
      </c>
      <c r="PU479" s="2204"/>
      <c r="PV479" s="2204"/>
      <c r="PW479" s="2204">
        <f t="shared" si="36"/>
        <v>0</v>
      </c>
      <c r="PX479" s="2204">
        <f>[16]BV!QI395</f>
        <v>0</v>
      </c>
      <c r="PY479" s="2204"/>
      <c r="PZ479" s="2204"/>
      <c r="QA479" s="2204">
        <f t="shared" si="36"/>
        <v>0</v>
      </c>
      <c r="QB479" s="2204">
        <f>[16]BV!QM395</f>
        <v>0</v>
      </c>
      <c r="QC479" s="2204"/>
      <c r="QD479" s="2204"/>
      <c r="QE479" s="2204">
        <f t="shared" si="36"/>
        <v>0</v>
      </c>
      <c r="QF479" s="2204">
        <f>[16]BV!QQ395</f>
        <v>0</v>
      </c>
      <c r="QG479" s="2204"/>
      <c r="QH479" s="2204"/>
      <c r="QI479" s="2204">
        <f t="shared" ref="QI479:SQ479" si="37">QF479</f>
        <v>0</v>
      </c>
      <c r="QJ479" s="2204">
        <f>[16]BV!QU395</f>
        <v>0</v>
      </c>
      <c r="QK479" s="2204"/>
      <c r="QL479" s="2204"/>
      <c r="QM479" s="2204">
        <f t="shared" si="37"/>
        <v>0</v>
      </c>
      <c r="QN479" s="2204">
        <f>[16]BV!QY395</f>
        <v>0</v>
      </c>
      <c r="QO479" s="2204"/>
      <c r="QP479" s="2204"/>
      <c r="QQ479" s="2204">
        <f t="shared" si="37"/>
        <v>0</v>
      </c>
      <c r="QR479" s="2204">
        <f>[16]BV!RC395</f>
        <v>0</v>
      </c>
      <c r="QS479" s="2204"/>
      <c r="QT479" s="2204"/>
      <c r="QU479" s="2204">
        <f t="shared" si="37"/>
        <v>0</v>
      </c>
      <c r="QV479" s="2204">
        <f>[16]BV!RG395</f>
        <v>0</v>
      </c>
      <c r="QW479" s="2204"/>
      <c r="QX479" s="2204"/>
      <c r="QY479" s="2204">
        <f t="shared" si="37"/>
        <v>0</v>
      </c>
      <c r="QZ479" s="2204">
        <f>[16]BV!RK395</f>
        <v>0</v>
      </c>
      <c r="RA479" s="2204"/>
      <c r="RB479" s="2204"/>
      <c r="RC479" s="2204">
        <f t="shared" si="37"/>
        <v>0</v>
      </c>
      <c r="RD479" s="2204">
        <f>[16]BV!RO395</f>
        <v>0</v>
      </c>
      <c r="RE479" s="2204"/>
      <c r="RF479" s="2204"/>
      <c r="RG479" s="2204">
        <f t="shared" si="37"/>
        <v>0</v>
      </c>
      <c r="RH479" s="2204">
        <f>[16]BV!RS395</f>
        <v>0</v>
      </c>
      <c r="RI479" s="2204"/>
      <c r="RJ479" s="2204"/>
      <c r="RK479" s="2204">
        <f t="shared" si="37"/>
        <v>0</v>
      </c>
      <c r="RL479" s="2204">
        <f>[16]BV!RW395</f>
        <v>0</v>
      </c>
      <c r="RM479" s="2204"/>
      <c r="RN479" s="2204"/>
      <c r="RO479" s="2204">
        <f t="shared" si="37"/>
        <v>0</v>
      </c>
      <c r="RP479" s="2204">
        <f>[16]BV!SA395</f>
        <v>0</v>
      </c>
      <c r="RQ479" s="2204"/>
      <c r="RR479" s="2204"/>
      <c r="RS479" s="2204">
        <f t="shared" si="37"/>
        <v>0</v>
      </c>
      <c r="RT479" s="2204">
        <f>[16]BV!SE395</f>
        <v>0</v>
      </c>
      <c r="RU479" s="2204"/>
      <c r="RV479" s="2204"/>
      <c r="RW479" s="2204">
        <f t="shared" si="37"/>
        <v>0</v>
      </c>
      <c r="RX479" s="2204">
        <f>[16]BV!SI395</f>
        <v>0</v>
      </c>
      <c r="RY479" s="2204"/>
      <c r="RZ479" s="2204"/>
      <c r="SA479" s="2204">
        <f t="shared" si="37"/>
        <v>0</v>
      </c>
      <c r="SB479" s="2204">
        <f>[16]BV!SM395</f>
        <v>0</v>
      </c>
      <c r="SC479" s="2204"/>
      <c r="SD479" s="2204"/>
      <c r="SE479" s="2204">
        <f t="shared" si="37"/>
        <v>0</v>
      </c>
      <c r="SF479" s="2204">
        <f>[16]BV!SQ395</f>
        <v>0</v>
      </c>
      <c r="SG479" s="2204"/>
      <c r="SH479" s="2204"/>
      <c r="SI479" s="2204">
        <f t="shared" si="37"/>
        <v>0</v>
      </c>
      <c r="SJ479" s="2204">
        <f>[16]BV!SU395</f>
        <v>0</v>
      </c>
      <c r="SK479" s="2204"/>
      <c r="SL479" s="2204"/>
      <c r="SM479" s="2204">
        <f t="shared" si="37"/>
        <v>0</v>
      </c>
      <c r="SN479" s="2204">
        <f>[16]BV!SY395</f>
        <v>0</v>
      </c>
      <c r="SO479" s="2204"/>
      <c r="SP479" s="2204"/>
      <c r="SQ479" s="2204">
        <f t="shared" si="37"/>
        <v>0</v>
      </c>
      <c r="SR479" s="2204">
        <f>[16]BV!TC395</f>
        <v>0</v>
      </c>
      <c r="SS479" s="2204"/>
      <c r="ST479" s="2204"/>
      <c r="SU479" s="2204">
        <f t="shared" ref="SU479:VC479" si="38">SR479</f>
        <v>0</v>
      </c>
      <c r="SV479" s="2204">
        <f>[16]BV!TG395</f>
        <v>0</v>
      </c>
      <c r="SW479" s="2204"/>
      <c r="SX479" s="2204"/>
      <c r="SY479" s="2204">
        <f t="shared" si="38"/>
        <v>0</v>
      </c>
      <c r="SZ479" s="2204">
        <f>[16]BV!TK395</f>
        <v>0</v>
      </c>
      <c r="TA479" s="2204"/>
      <c r="TB479" s="2204"/>
      <c r="TC479" s="2204">
        <f t="shared" si="38"/>
        <v>0</v>
      </c>
      <c r="TD479" s="2204">
        <f>[16]BV!TO395</f>
        <v>0</v>
      </c>
      <c r="TE479" s="2204"/>
      <c r="TF479" s="2204"/>
      <c r="TG479" s="2204">
        <f t="shared" si="38"/>
        <v>0</v>
      </c>
      <c r="TH479" s="2204">
        <f>[16]BV!TS395</f>
        <v>0</v>
      </c>
      <c r="TI479" s="2204"/>
      <c r="TJ479" s="2204"/>
      <c r="TK479" s="2204">
        <f t="shared" si="38"/>
        <v>0</v>
      </c>
      <c r="TL479" s="2204">
        <f>[16]BV!TW395</f>
        <v>0</v>
      </c>
      <c r="TM479" s="2204"/>
      <c r="TN479" s="2204"/>
      <c r="TO479" s="2204">
        <f t="shared" si="38"/>
        <v>0</v>
      </c>
      <c r="TP479" s="2204">
        <f>[16]BV!UA395</f>
        <v>0</v>
      </c>
      <c r="TQ479" s="2204"/>
      <c r="TR479" s="2204"/>
      <c r="TS479" s="2204">
        <f t="shared" si="38"/>
        <v>0</v>
      </c>
      <c r="TT479" s="2204">
        <f>[16]BV!UE395</f>
        <v>0</v>
      </c>
      <c r="TU479" s="2204"/>
      <c r="TV479" s="2204"/>
      <c r="TW479" s="2204">
        <f t="shared" si="38"/>
        <v>0</v>
      </c>
      <c r="TX479" s="2204">
        <f>[16]BV!UI395</f>
        <v>0</v>
      </c>
      <c r="TY479" s="2204"/>
      <c r="TZ479" s="2204"/>
      <c r="UA479" s="2204">
        <f t="shared" si="38"/>
        <v>0</v>
      </c>
      <c r="UB479" s="2204">
        <f>[16]BV!UM395</f>
        <v>0</v>
      </c>
      <c r="UC479" s="2204"/>
      <c r="UD479" s="2204"/>
      <c r="UE479" s="2204">
        <f t="shared" si="38"/>
        <v>0</v>
      </c>
      <c r="UF479" s="2204">
        <f>[16]BV!UQ395</f>
        <v>0</v>
      </c>
      <c r="UG479" s="2204"/>
      <c r="UH479" s="2204"/>
      <c r="UI479" s="2204">
        <f t="shared" si="38"/>
        <v>0</v>
      </c>
      <c r="UJ479" s="2204">
        <f>[16]BV!UU395</f>
        <v>0</v>
      </c>
      <c r="UK479" s="2204"/>
      <c r="UL479" s="2204"/>
      <c r="UM479" s="2204">
        <f t="shared" si="38"/>
        <v>0</v>
      </c>
      <c r="UN479" s="2204">
        <f>[16]BV!UY395</f>
        <v>0</v>
      </c>
      <c r="UO479" s="2204"/>
      <c r="UP479" s="2204"/>
      <c r="UQ479" s="2204">
        <f t="shared" si="38"/>
        <v>0</v>
      </c>
      <c r="UR479" s="2204">
        <f>[16]BV!VC395</f>
        <v>0</v>
      </c>
      <c r="US479" s="2204"/>
      <c r="UT479" s="2204"/>
      <c r="UU479" s="2204">
        <f t="shared" si="38"/>
        <v>0</v>
      </c>
      <c r="UV479" s="2204">
        <f>[16]BV!VG395</f>
        <v>0</v>
      </c>
      <c r="UW479" s="2204"/>
      <c r="UX479" s="2204"/>
      <c r="UY479" s="2204">
        <f t="shared" si="38"/>
        <v>0</v>
      </c>
      <c r="UZ479" s="2204">
        <f>[16]BV!VK395</f>
        <v>0</v>
      </c>
      <c r="VA479" s="2204"/>
      <c r="VB479" s="2204"/>
      <c r="VC479" s="2204">
        <f t="shared" si="38"/>
        <v>0</v>
      </c>
      <c r="VD479" s="2204">
        <f>[16]BV!VO395</f>
        <v>0</v>
      </c>
      <c r="VE479" s="2204"/>
      <c r="VF479" s="2204"/>
      <c r="VG479" s="2204">
        <f t="shared" ref="VG479:XO479" si="39">VD479</f>
        <v>0</v>
      </c>
      <c r="VH479" s="2204">
        <f>[16]BV!VS395</f>
        <v>0</v>
      </c>
      <c r="VI479" s="2204"/>
      <c r="VJ479" s="2204"/>
      <c r="VK479" s="2204">
        <f t="shared" si="39"/>
        <v>0</v>
      </c>
      <c r="VL479" s="2204">
        <f>[16]BV!VW395</f>
        <v>0</v>
      </c>
      <c r="VM479" s="2204"/>
      <c r="VN479" s="2204"/>
      <c r="VO479" s="2204">
        <f t="shared" si="39"/>
        <v>0</v>
      </c>
      <c r="VP479" s="2204">
        <f>[16]BV!WA395</f>
        <v>0</v>
      </c>
      <c r="VQ479" s="2204"/>
      <c r="VR479" s="2204"/>
      <c r="VS479" s="2204">
        <f t="shared" si="39"/>
        <v>0</v>
      </c>
      <c r="VT479" s="2204">
        <f>[16]BV!WE395</f>
        <v>0</v>
      </c>
      <c r="VU479" s="2204"/>
      <c r="VV479" s="2204"/>
      <c r="VW479" s="2204">
        <f t="shared" si="39"/>
        <v>0</v>
      </c>
      <c r="VX479" s="2204">
        <f>[16]BV!WI395</f>
        <v>0</v>
      </c>
      <c r="VY479" s="2204"/>
      <c r="VZ479" s="2204"/>
      <c r="WA479" s="2204">
        <f t="shared" si="39"/>
        <v>0</v>
      </c>
      <c r="WB479" s="2204">
        <f>[16]BV!WM395</f>
        <v>0</v>
      </c>
      <c r="WC479" s="2204"/>
      <c r="WD479" s="2204"/>
      <c r="WE479" s="2204">
        <f t="shared" si="39"/>
        <v>0</v>
      </c>
      <c r="WF479" s="2204">
        <f>[16]BV!WQ395</f>
        <v>0</v>
      </c>
      <c r="WG479" s="2204"/>
      <c r="WH479" s="2204"/>
      <c r="WI479" s="2204">
        <f t="shared" si="39"/>
        <v>0</v>
      </c>
      <c r="WJ479" s="2204">
        <f>[16]BV!WU395</f>
        <v>0</v>
      </c>
      <c r="WK479" s="2204"/>
      <c r="WL479" s="2204"/>
      <c r="WM479" s="2204">
        <f t="shared" si="39"/>
        <v>0</v>
      </c>
      <c r="WN479" s="2204">
        <f>[16]BV!WY395</f>
        <v>0</v>
      </c>
      <c r="WO479" s="2204"/>
      <c r="WP479" s="2204"/>
      <c r="WQ479" s="2204">
        <f t="shared" si="39"/>
        <v>0</v>
      </c>
      <c r="WR479" s="2204">
        <f>[16]BV!XC395</f>
        <v>0</v>
      </c>
      <c r="WS479" s="2204"/>
      <c r="WT479" s="2204"/>
      <c r="WU479" s="2204">
        <f t="shared" si="39"/>
        <v>0</v>
      </c>
      <c r="WV479" s="2204">
        <f>[16]BV!XG395</f>
        <v>0</v>
      </c>
      <c r="WW479" s="2204"/>
      <c r="WX479" s="2204"/>
      <c r="WY479" s="2204">
        <f t="shared" si="39"/>
        <v>0</v>
      </c>
      <c r="WZ479" s="2204">
        <f>[16]BV!XK395</f>
        <v>0</v>
      </c>
      <c r="XA479" s="2204"/>
      <c r="XB479" s="2204"/>
      <c r="XC479" s="2204">
        <f t="shared" si="39"/>
        <v>0</v>
      </c>
      <c r="XD479" s="2204">
        <f>[16]BV!XO395</f>
        <v>0</v>
      </c>
      <c r="XE479" s="2204"/>
      <c r="XF479" s="2204"/>
      <c r="XG479" s="2204">
        <f t="shared" si="39"/>
        <v>0</v>
      </c>
      <c r="XH479" s="2204">
        <f>[16]BV!XS395</f>
        <v>0</v>
      </c>
      <c r="XI479" s="2204"/>
      <c r="XJ479" s="2204"/>
      <c r="XK479" s="2204">
        <f t="shared" si="39"/>
        <v>0</v>
      </c>
      <c r="XL479" s="2204">
        <f>[16]BV!XW395</f>
        <v>0</v>
      </c>
      <c r="XM479" s="2204"/>
      <c r="XN479" s="2204"/>
      <c r="XO479" s="2204">
        <f t="shared" si="39"/>
        <v>0</v>
      </c>
      <c r="XP479" s="2204">
        <f>[16]BV!YA395</f>
        <v>0</v>
      </c>
      <c r="XQ479" s="2204"/>
      <c r="XR479" s="2204"/>
      <c r="XS479" s="2204">
        <f t="shared" ref="XS479:AAA479" si="40">XP479</f>
        <v>0</v>
      </c>
      <c r="XT479" s="2204">
        <f>[16]BV!YE395</f>
        <v>0</v>
      </c>
      <c r="XU479" s="2204"/>
      <c r="XV479" s="2204"/>
      <c r="XW479" s="2204">
        <f t="shared" si="40"/>
        <v>0</v>
      </c>
      <c r="XX479" s="2204">
        <f>[16]BV!YI395</f>
        <v>0</v>
      </c>
      <c r="XY479" s="2204"/>
      <c r="XZ479" s="2204"/>
      <c r="YA479" s="2204">
        <f t="shared" si="40"/>
        <v>0</v>
      </c>
      <c r="YB479" s="2204">
        <f>[16]BV!YM395</f>
        <v>0</v>
      </c>
      <c r="YC479" s="2204"/>
      <c r="YD479" s="2204"/>
      <c r="YE479" s="2204">
        <f t="shared" si="40"/>
        <v>0</v>
      </c>
      <c r="YF479" s="2204">
        <f>[16]BV!YQ395</f>
        <v>0</v>
      </c>
      <c r="YG479" s="2204"/>
      <c r="YH479" s="2204"/>
      <c r="YI479" s="2204">
        <f t="shared" si="40"/>
        <v>0</v>
      </c>
      <c r="YJ479" s="2204">
        <f>[16]BV!YU395</f>
        <v>0</v>
      </c>
      <c r="YK479" s="2204"/>
      <c r="YL479" s="2204"/>
      <c r="YM479" s="2204">
        <f t="shared" si="40"/>
        <v>0</v>
      </c>
      <c r="YN479" s="2204">
        <f>[16]BV!YY395</f>
        <v>0</v>
      </c>
      <c r="YO479" s="2204"/>
      <c r="YP479" s="2204"/>
      <c r="YQ479" s="2204">
        <f t="shared" si="40"/>
        <v>0</v>
      </c>
      <c r="YR479" s="2204">
        <f>[16]BV!ZC395</f>
        <v>0</v>
      </c>
      <c r="YS479" s="2204"/>
      <c r="YT479" s="2204"/>
      <c r="YU479" s="2204">
        <f t="shared" si="40"/>
        <v>0</v>
      </c>
      <c r="YV479" s="2204">
        <f>[16]BV!ZG395</f>
        <v>0</v>
      </c>
      <c r="YW479" s="2204"/>
      <c r="YX479" s="2204"/>
      <c r="YY479" s="2204">
        <f t="shared" si="40"/>
        <v>0</v>
      </c>
      <c r="YZ479" s="2204">
        <f>[16]BV!ZK395</f>
        <v>0</v>
      </c>
      <c r="ZA479" s="2204"/>
      <c r="ZB479" s="2204"/>
      <c r="ZC479" s="2204">
        <f t="shared" si="40"/>
        <v>0</v>
      </c>
      <c r="ZD479" s="2204">
        <f>[16]BV!ZO395</f>
        <v>0</v>
      </c>
      <c r="ZE479" s="2204"/>
      <c r="ZF479" s="2204"/>
      <c r="ZG479" s="2204">
        <f t="shared" si="40"/>
        <v>0</v>
      </c>
      <c r="ZH479" s="2204">
        <f>[16]BV!ZS395</f>
        <v>0</v>
      </c>
      <c r="ZI479" s="2204"/>
      <c r="ZJ479" s="2204"/>
      <c r="ZK479" s="2204">
        <f t="shared" si="40"/>
        <v>0</v>
      </c>
      <c r="ZL479" s="2204">
        <f>[16]BV!ZW395</f>
        <v>0</v>
      </c>
      <c r="ZM479" s="2204"/>
      <c r="ZN479" s="2204"/>
      <c r="ZO479" s="2204">
        <f t="shared" si="40"/>
        <v>0</v>
      </c>
      <c r="ZP479" s="2204">
        <f>[16]BV!AAA395</f>
        <v>0</v>
      </c>
      <c r="ZQ479" s="2204"/>
      <c r="ZR479" s="2204"/>
      <c r="ZS479" s="2204">
        <f t="shared" si="40"/>
        <v>0</v>
      </c>
      <c r="ZT479" s="2204">
        <f>[16]BV!AAE395</f>
        <v>0</v>
      </c>
      <c r="ZU479" s="2204"/>
      <c r="ZV479" s="2204"/>
      <c r="ZW479" s="2204">
        <f t="shared" si="40"/>
        <v>0</v>
      </c>
      <c r="ZX479" s="2204">
        <f>[16]BV!AAI395</f>
        <v>0</v>
      </c>
      <c r="ZY479" s="2204"/>
      <c r="ZZ479" s="2204"/>
      <c r="AAA479" s="2204">
        <f t="shared" si="40"/>
        <v>0</v>
      </c>
      <c r="AAB479" s="2204">
        <f>[16]BV!AAM395</f>
        <v>0</v>
      </c>
      <c r="AAC479" s="2204"/>
      <c r="AAD479" s="2204"/>
      <c r="AAE479" s="2204">
        <f t="shared" ref="AAE479:ACM479" si="41">AAB479</f>
        <v>0</v>
      </c>
      <c r="AAF479" s="2204">
        <f>[16]BV!AAQ395</f>
        <v>0</v>
      </c>
      <c r="AAG479" s="2204"/>
      <c r="AAH479" s="2204"/>
      <c r="AAI479" s="2204">
        <f t="shared" si="41"/>
        <v>0</v>
      </c>
      <c r="AAJ479" s="2204">
        <f>[16]BV!AAU395</f>
        <v>0</v>
      </c>
      <c r="AAK479" s="2204"/>
      <c r="AAL479" s="2204"/>
      <c r="AAM479" s="2204">
        <f t="shared" si="41"/>
        <v>0</v>
      </c>
      <c r="AAN479" s="2204">
        <f>[16]BV!AAY395</f>
        <v>0</v>
      </c>
      <c r="AAO479" s="2204"/>
      <c r="AAP479" s="2204"/>
      <c r="AAQ479" s="2204">
        <f t="shared" si="41"/>
        <v>0</v>
      </c>
      <c r="AAR479" s="2204">
        <f>[16]BV!ABC395</f>
        <v>0</v>
      </c>
      <c r="AAS479" s="2204"/>
      <c r="AAT479" s="2204"/>
      <c r="AAU479" s="2204">
        <f t="shared" si="41"/>
        <v>0</v>
      </c>
      <c r="AAV479" s="2204">
        <f>[16]BV!ABG395</f>
        <v>0</v>
      </c>
      <c r="AAW479" s="2204"/>
      <c r="AAX479" s="2204"/>
      <c r="AAY479" s="2204">
        <f t="shared" si="41"/>
        <v>0</v>
      </c>
      <c r="AAZ479" s="2204">
        <f>[16]BV!ABK395</f>
        <v>0</v>
      </c>
      <c r="ABA479" s="2204"/>
      <c r="ABB479" s="2204"/>
      <c r="ABC479" s="2204">
        <f t="shared" si="41"/>
        <v>0</v>
      </c>
      <c r="ABD479" s="2204">
        <f>[16]BV!ABO395</f>
        <v>0</v>
      </c>
      <c r="ABE479" s="2204"/>
      <c r="ABF479" s="2204"/>
      <c r="ABG479" s="2204">
        <f t="shared" si="41"/>
        <v>0</v>
      </c>
      <c r="ABH479" s="2204">
        <f>[16]BV!ABS395</f>
        <v>0</v>
      </c>
      <c r="ABI479" s="2204"/>
      <c r="ABJ479" s="2204"/>
      <c r="ABK479" s="2204">
        <f t="shared" si="41"/>
        <v>0</v>
      </c>
      <c r="ABL479" s="2204">
        <f>[16]BV!ABW395</f>
        <v>0</v>
      </c>
      <c r="ABM479" s="2204"/>
      <c r="ABN479" s="2204"/>
      <c r="ABO479" s="2204">
        <f t="shared" si="41"/>
        <v>0</v>
      </c>
      <c r="ABP479" s="2204">
        <f>[16]BV!ACA395</f>
        <v>0</v>
      </c>
      <c r="ABQ479" s="2204"/>
      <c r="ABR479" s="2204"/>
      <c r="ABS479" s="2204">
        <f t="shared" si="41"/>
        <v>0</v>
      </c>
      <c r="ABT479" s="2204">
        <f>[16]BV!ACE395</f>
        <v>0</v>
      </c>
      <c r="ABU479" s="2204"/>
      <c r="ABV479" s="2204"/>
      <c r="ABW479" s="2204">
        <f t="shared" si="41"/>
        <v>0</v>
      </c>
      <c r="ABX479" s="2204">
        <f>[16]BV!ACI395</f>
        <v>0</v>
      </c>
      <c r="ABY479" s="2204"/>
      <c r="ABZ479" s="2204"/>
      <c r="ACA479" s="2204">
        <f t="shared" si="41"/>
        <v>0</v>
      </c>
      <c r="ACB479" s="2204">
        <f>[16]BV!ACM395</f>
        <v>0</v>
      </c>
      <c r="ACC479" s="2204"/>
      <c r="ACD479" s="2204"/>
      <c r="ACE479" s="2204">
        <f t="shared" si="41"/>
        <v>0</v>
      </c>
      <c r="ACF479" s="2204">
        <f>[16]BV!ACQ395</f>
        <v>0</v>
      </c>
      <c r="ACG479" s="2204"/>
      <c r="ACH479" s="2204"/>
      <c r="ACI479" s="2204">
        <f t="shared" si="41"/>
        <v>0</v>
      </c>
      <c r="ACJ479" s="2204">
        <f>[16]BV!ACU395</f>
        <v>0</v>
      </c>
      <c r="ACK479" s="2204"/>
      <c r="ACL479" s="2204"/>
      <c r="ACM479" s="2204">
        <f t="shared" si="41"/>
        <v>0</v>
      </c>
      <c r="ACN479" s="2204">
        <f>[16]BV!ACY395</f>
        <v>0</v>
      </c>
      <c r="ACO479" s="2204"/>
      <c r="ACP479" s="2204"/>
      <c r="ACQ479" s="2204">
        <f t="shared" ref="ACQ479:AEY479" si="42">ACN479</f>
        <v>0</v>
      </c>
      <c r="ACR479" s="2204">
        <f>[16]BV!ADC395</f>
        <v>0</v>
      </c>
      <c r="ACS479" s="2204"/>
      <c r="ACT479" s="2204"/>
      <c r="ACU479" s="2204">
        <f t="shared" si="42"/>
        <v>0</v>
      </c>
      <c r="ACV479" s="2204">
        <f>[16]BV!ADG395</f>
        <v>0</v>
      </c>
      <c r="ACW479" s="2204"/>
      <c r="ACX479" s="2204"/>
      <c r="ACY479" s="2204">
        <f t="shared" si="42"/>
        <v>0</v>
      </c>
      <c r="ACZ479" s="2204">
        <f>[16]BV!ADK395</f>
        <v>0</v>
      </c>
      <c r="ADA479" s="2204"/>
      <c r="ADB479" s="2204"/>
      <c r="ADC479" s="2204">
        <f t="shared" si="42"/>
        <v>0</v>
      </c>
      <c r="ADD479" s="2204">
        <f>[16]BV!ADO395</f>
        <v>0</v>
      </c>
      <c r="ADE479" s="2204"/>
      <c r="ADF479" s="2204"/>
      <c r="ADG479" s="2204">
        <f t="shared" si="42"/>
        <v>0</v>
      </c>
      <c r="ADH479" s="2204">
        <f>[16]BV!ADS395</f>
        <v>0</v>
      </c>
      <c r="ADI479" s="2204"/>
      <c r="ADJ479" s="2204"/>
      <c r="ADK479" s="2204">
        <f t="shared" si="42"/>
        <v>0</v>
      </c>
      <c r="ADL479" s="2204">
        <f>[16]BV!ADW395</f>
        <v>0</v>
      </c>
      <c r="ADM479" s="2204"/>
      <c r="ADN479" s="2204"/>
      <c r="ADO479" s="2204">
        <f t="shared" si="42"/>
        <v>0</v>
      </c>
      <c r="ADP479" s="2204">
        <f>[16]BV!AEA395</f>
        <v>0</v>
      </c>
      <c r="ADQ479" s="2204"/>
      <c r="ADR479" s="2204"/>
      <c r="ADS479" s="2204">
        <f t="shared" si="42"/>
        <v>0</v>
      </c>
      <c r="ADT479" s="2204">
        <f>[16]BV!AEE395</f>
        <v>0</v>
      </c>
      <c r="ADU479" s="2204"/>
      <c r="ADV479" s="2204"/>
      <c r="ADW479" s="2204">
        <f t="shared" si="42"/>
        <v>0</v>
      </c>
      <c r="ADX479" s="2204">
        <f>[16]BV!AEI395</f>
        <v>0</v>
      </c>
      <c r="ADY479" s="2204"/>
      <c r="ADZ479" s="2204"/>
      <c r="AEA479" s="2204">
        <f t="shared" si="42"/>
        <v>0</v>
      </c>
      <c r="AEB479" s="2204">
        <f>[16]BV!AEM395</f>
        <v>0</v>
      </c>
      <c r="AEC479" s="2204"/>
      <c r="AED479" s="2204"/>
      <c r="AEE479" s="2204">
        <f t="shared" si="42"/>
        <v>0</v>
      </c>
      <c r="AEF479" s="2204">
        <f>[16]BV!AEQ395</f>
        <v>0</v>
      </c>
      <c r="AEG479" s="2204"/>
      <c r="AEH479" s="2204"/>
      <c r="AEI479" s="2204">
        <f t="shared" si="42"/>
        <v>0</v>
      </c>
      <c r="AEJ479" s="2204">
        <f>[16]BV!AEU395</f>
        <v>0</v>
      </c>
      <c r="AEK479" s="2204"/>
      <c r="AEL479" s="2204"/>
      <c r="AEM479" s="2204">
        <f t="shared" si="42"/>
        <v>0</v>
      </c>
      <c r="AEN479" s="2204">
        <f>[16]BV!AEY395</f>
        <v>0</v>
      </c>
      <c r="AEO479" s="2204"/>
      <c r="AEP479" s="2204"/>
      <c r="AEQ479" s="2204">
        <f t="shared" si="42"/>
        <v>0</v>
      </c>
      <c r="AER479" s="2204">
        <f>[16]BV!AFC395</f>
        <v>0</v>
      </c>
      <c r="AES479" s="2204"/>
      <c r="AET479" s="2204"/>
      <c r="AEU479" s="2204">
        <f t="shared" si="42"/>
        <v>0</v>
      </c>
      <c r="AEV479" s="2204">
        <f>[16]BV!AFG395</f>
        <v>0</v>
      </c>
      <c r="AEW479" s="2204"/>
      <c r="AEX479" s="2204"/>
      <c r="AEY479" s="2204">
        <f t="shared" si="42"/>
        <v>0</v>
      </c>
      <c r="AEZ479" s="2204">
        <f>[16]BV!AFK395</f>
        <v>0</v>
      </c>
      <c r="AFA479" s="2204"/>
      <c r="AFB479" s="2204"/>
      <c r="AFC479" s="2204">
        <f t="shared" ref="AFC479:AHK479" si="43">AEZ479</f>
        <v>0</v>
      </c>
      <c r="AFD479" s="2204">
        <f>[16]BV!AFO395</f>
        <v>0</v>
      </c>
      <c r="AFE479" s="2204"/>
      <c r="AFF479" s="2204"/>
      <c r="AFG479" s="2204">
        <f t="shared" si="43"/>
        <v>0</v>
      </c>
      <c r="AFH479" s="2204">
        <f>[16]BV!AFS395</f>
        <v>0</v>
      </c>
      <c r="AFI479" s="2204"/>
      <c r="AFJ479" s="2204"/>
      <c r="AFK479" s="2204">
        <f t="shared" si="43"/>
        <v>0</v>
      </c>
      <c r="AFL479" s="2204">
        <f>[16]BV!AFW395</f>
        <v>0</v>
      </c>
      <c r="AFM479" s="2204"/>
      <c r="AFN479" s="2204"/>
      <c r="AFO479" s="2204">
        <f t="shared" si="43"/>
        <v>0</v>
      </c>
      <c r="AFP479" s="2204">
        <f>[16]BV!AGA395</f>
        <v>0</v>
      </c>
      <c r="AFQ479" s="2204"/>
      <c r="AFR479" s="2204"/>
      <c r="AFS479" s="2204">
        <f t="shared" si="43"/>
        <v>0</v>
      </c>
      <c r="AFT479" s="2204">
        <f>[16]BV!AGE395</f>
        <v>0</v>
      </c>
      <c r="AFU479" s="2204"/>
      <c r="AFV479" s="2204"/>
      <c r="AFW479" s="2204">
        <f t="shared" si="43"/>
        <v>0</v>
      </c>
      <c r="AFX479" s="2204">
        <f>[16]BV!AGI395</f>
        <v>0</v>
      </c>
      <c r="AFY479" s="2204"/>
      <c r="AFZ479" s="2204"/>
      <c r="AGA479" s="2204">
        <f t="shared" si="43"/>
        <v>0</v>
      </c>
      <c r="AGB479" s="2204">
        <f>[16]BV!AGM395</f>
        <v>0</v>
      </c>
      <c r="AGC479" s="2204"/>
      <c r="AGD479" s="2204"/>
      <c r="AGE479" s="2204">
        <f t="shared" si="43"/>
        <v>0</v>
      </c>
      <c r="AGF479" s="2204">
        <f>[16]BV!AGQ395</f>
        <v>0</v>
      </c>
      <c r="AGG479" s="2204"/>
      <c r="AGH479" s="2204"/>
      <c r="AGI479" s="2204">
        <f t="shared" si="43"/>
        <v>0</v>
      </c>
      <c r="AGJ479" s="2204">
        <f>[16]BV!AGU395</f>
        <v>0</v>
      </c>
      <c r="AGK479" s="2204"/>
      <c r="AGL479" s="2204"/>
      <c r="AGM479" s="2204">
        <f t="shared" si="43"/>
        <v>0</v>
      </c>
      <c r="AGN479" s="2204">
        <f>[16]BV!AGY395</f>
        <v>0</v>
      </c>
      <c r="AGO479" s="2204"/>
      <c r="AGP479" s="2204"/>
      <c r="AGQ479" s="2204">
        <f t="shared" si="43"/>
        <v>0</v>
      </c>
      <c r="AGR479" s="2204">
        <f>[16]BV!AHC395</f>
        <v>0</v>
      </c>
      <c r="AGS479" s="2204"/>
      <c r="AGT479" s="2204"/>
      <c r="AGU479" s="2204">
        <f t="shared" si="43"/>
        <v>0</v>
      </c>
      <c r="AGV479" s="2204">
        <f>[16]BV!AHG395</f>
        <v>0</v>
      </c>
      <c r="AGW479" s="2204"/>
      <c r="AGX479" s="2204"/>
      <c r="AGY479" s="2204">
        <f t="shared" si="43"/>
        <v>0</v>
      </c>
      <c r="AGZ479" s="2204">
        <f>[16]BV!AHK395</f>
        <v>0</v>
      </c>
      <c r="AHA479" s="2204"/>
      <c r="AHB479" s="2204"/>
      <c r="AHC479" s="2204">
        <f t="shared" si="43"/>
        <v>0</v>
      </c>
      <c r="AHD479" s="2204">
        <f>[16]BV!AHO395</f>
        <v>0</v>
      </c>
      <c r="AHE479" s="2204"/>
      <c r="AHF479" s="2204"/>
      <c r="AHG479" s="2204">
        <f t="shared" si="43"/>
        <v>0</v>
      </c>
      <c r="AHH479" s="2204">
        <f>[16]BV!AHS395</f>
        <v>0</v>
      </c>
      <c r="AHI479" s="2204"/>
      <c r="AHJ479" s="2204"/>
      <c r="AHK479" s="2204">
        <f t="shared" si="43"/>
        <v>0</v>
      </c>
      <c r="AHL479" s="2204">
        <f>[16]BV!AHW395</f>
        <v>0</v>
      </c>
      <c r="AHM479" s="2204"/>
      <c r="AHN479" s="2204"/>
      <c r="AHO479" s="2204">
        <f t="shared" ref="AHO479:AJW479" si="44">AHL479</f>
        <v>0</v>
      </c>
      <c r="AHP479" s="2204">
        <f>[16]BV!AIA395</f>
        <v>0</v>
      </c>
      <c r="AHQ479" s="2204"/>
      <c r="AHR479" s="2204"/>
      <c r="AHS479" s="2204">
        <f t="shared" si="44"/>
        <v>0</v>
      </c>
      <c r="AHT479" s="2204">
        <f>[16]BV!AIE395</f>
        <v>0</v>
      </c>
      <c r="AHU479" s="2204"/>
      <c r="AHV479" s="2204"/>
      <c r="AHW479" s="2204">
        <f t="shared" si="44"/>
        <v>0</v>
      </c>
      <c r="AHX479" s="2204">
        <f>[16]BV!AII395</f>
        <v>0</v>
      </c>
      <c r="AHY479" s="2204"/>
      <c r="AHZ479" s="2204"/>
      <c r="AIA479" s="2204">
        <f t="shared" si="44"/>
        <v>0</v>
      </c>
      <c r="AIB479" s="2204">
        <f>[16]BV!AIM395</f>
        <v>0</v>
      </c>
      <c r="AIC479" s="2204"/>
      <c r="AID479" s="2204"/>
      <c r="AIE479" s="2204">
        <f t="shared" si="44"/>
        <v>0</v>
      </c>
      <c r="AIF479" s="2204">
        <f>[16]BV!AIQ395</f>
        <v>0</v>
      </c>
      <c r="AIG479" s="2204"/>
      <c r="AIH479" s="2204"/>
      <c r="AII479" s="2204">
        <f t="shared" si="44"/>
        <v>0</v>
      </c>
      <c r="AIJ479" s="2204">
        <f>[16]BV!AIU395</f>
        <v>0</v>
      </c>
      <c r="AIK479" s="2204"/>
      <c r="AIL479" s="2204"/>
      <c r="AIM479" s="2204">
        <f t="shared" si="44"/>
        <v>0</v>
      </c>
      <c r="AIN479" s="2204">
        <f>[16]BV!AIY395</f>
        <v>0</v>
      </c>
      <c r="AIO479" s="2204"/>
      <c r="AIP479" s="2204"/>
      <c r="AIQ479" s="2204">
        <f t="shared" si="44"/>
        <v>0</v>
      </c>
      <c r="AIR479" s="2204">
        <f>[16]BV!AJC395</f>
        <v>0</v>
      </c>
      <c r="AIS479" s="2204"/>
      <c r="AIT479" s="2204"/>
      <c r="AIU479" s="2204">
        <f t="shared" si="44"/>
        <v>0</v>
      </c>
      <c r="AIV479" s="2204">
        <f>[16]BV!AJG395</f>
        <v>0</v>
      </c>
      <c r="AIW479" s="2204"/>
      <c r="AIX479" s="2204"/>
      <c r="AIY479" s="2204">
        <f t="shared" si="44"/>
        <v>0</v>
      </c>
      <c r="AIZ479" s="2204">
        <f>[16]BV!AJK395</f>
        <v>0</v>
      </c>
      <c r="AJA479" s="2204"/>
      <c r="AJB479" s="2204"/>
      <c r="AJC479" s="2204">
        <f t="shared" si="44"/>
        <v>0</v>
      </c>
      <c r="AJD479" s="2204">
        <f>[16]BV!AJO395</f>
        <v>0</v>
      </c>
      <c r="AJE479" s="2204"/>
      <c r="AJF479" s="2204"/>
      <c r="AJG479" s="2204">
        <f t="shared" si="44"/>
        <v>0</v>
      </c>
      <c r="AJH479" s="2204">
        <f>[16]BV!AJS395</f>
        <v>0</v>
      </c>
      <c r="AJI479" s="2204"/>
      <c r="AJJ479" s="2204"/>
      <c r="AJK479" s="2204">
        <f t="shared" si="44"/>
        <v>0</v>
      </c>
      <c r="AJL479" s="2204">
        <f>[16]BV!AJW395</f>
        <v>0</v>
      </c>
      <c r="AJM479" s="2204"/>
      <c r="AJN479" s="2204"/>
      <c r="AJO479" s="2204">
        <f t="shared" si="44"/>
        <v>0</v>
      </c>
      <c r="AJP479" s="2204">
        <f>[16]BV!AKA395</f>
        <v>0</v>
      </c>
      <c r="AJQ479" s="2204"/>
      <c r="AJR479" s="2204"/>
      <c r="AJS479" s="2204">
        <f t="shared" si="44"/>
        <v>0</v>
      </c>
      <c r="AJT479" s="2204">
        <f>[16]BV!AKE395</f>
        <v>0</v>
      </c>
      <c r="AJU479" s="2204"/>
      <c r="AJV479" s="2204"/>
      <c r="AJW479" s="2204">
        <f t="shared" si="44"/>
        <v>0</v>
      </c>
      <c r="AJX479" s="2204">
        <f>[16]BV!AKI395</f>
        <v>0</v>
      </c>
      <c r="AJY479" s="2204"/>
      <c r="AJZ479" s="2204"/>
      <c r="AKA479" s="2204">
        <f t="shared" ref="AKA479:AMI479" si="45">AJX479</f>
        <v>0</v>
      </c>
      <c r="AKB479" s="2204">
        <f>[16]BV!AKM395</f>
        <v>0</v>
      </c>
      <c r="AKC479" s="2204"/>
      <c r="AKD479" s="2204"/>
      <c r="AKE479" s="2204">
        <f t="shared" si="45"/>
        <v>0</v>
      </c>
      <c r="AKF479" s="2204">
        <f>[16]BV!AKQ395</f>
        <v>0</v>
      </c>
      <c r="AKG479" s="2204"/>
      <c r="AKH479" s="2204"/>
      <c r="AKI479" s="2204">
        <f t="shared" si="45"/>
        <v>0</v>
      </c>
      <c r="AKJ479" s="2204">
        <f>[16]BV!AKU395</f>
        <v>0</v>
      </c>
      <c r="AKK479" s="2204"/>
      <c r="AKL479" s="2204"/>
      <c r="AKM479" s="2204">
        <f t="shared" si="45"/>
        <v>0</v>
      </c>
      <c r="AKN479" s="2204">
        <f>[16]BV!AKY395</f>
        <v>0</v>
      </c>
      <c r="AKO479" s="2204"/>
      <c r="AKP479" s="2204"/>
      <c r="AKQ479" s="2204">
        <f t="shared" si="45"/>
        <v>0</v>
      </c>
      <c r="AKR479" s="2204">
        <f>[16]BV!ALC395</f>
        <v>0</v>
      </c>
      <c r="AKS479" s="2204"/>
      <c r="AKT479" s="2204"/>
      <c r="AKU479" s="2204">
        <f t="shared" si="45"/>
        <v>0</v>
      </c>
      <c r="AKV479" s="2204">
        <f>[16]BV!ALG395</f>
        <v>0</v>
      </c>
      <c r="AKW479" s="2204"/>
      <c r="AKX479" s="2204"/>
      <c r="AKY479" s="2204">
        <f t="shared" si="45"/>
        <v>0</v>
      </c>
      <c r="AKZ479" s="2204">
        <f>[16]BV!ALK395</f>
        <v>0</v>
      </c>
      <c r="ALA479" s="2204"/>
      <c r="ALB479" s="2204"/>
      <c r="ALC479" s="2204">
        <f t="shared" si="45"/>
        <v>0</v>
      </c>
      <c r="ALD479" s="2204">
        <f>[16]BV!ALO395</f>
        <v>0</v>
      </c>
      <c r="ALE479" s="2204"/>
      <c r="ALF479" s="2204"/>
      <c r="ALG479" s="2204">
        <f t="shared" si="45"/>
        <v>0</v>
      </c>
      <c r="ALH479" s="2204">
        <f>[16]BV!ALS395</f>
        <v>0</v>
      </c>
      <c r="ALI479" s="2204"/>
      <c r="ALJ479" s="2204"/>
      <c r="ALK479" s="2204">
        <f t="shared" si="45"/>
        <v>0</v>
      </c>
      <c r="ALL479" s="2204">
        <f>[16]BV!ALW395</f>
        <v>0</v>
      </c>
      <c r="ALM479" s="2204"/>
      <c r="ALN479" s="2204"/>
      <c r="ALO479" s="2204">
        <f t="shared" si="45"/>
        <v>0</v>
      </c>
      <c r="ALP479" s="2204">
        <f>[16]BV!AMA395</f>
        <v>0</v>
      </c>
      <c r="ALQ479" s="2204"/>
      <c r="ALR479" s="2204"/>
      <c r="ALS479" s="2204">
        <f t="shared" si="45"/>
        <v>0</v>
      </c>
      <c r="ALT479" s="2204">
        <f>[16]BV!AME395</f>
        <v>0</v>
      </c>
      <c r="ALU479" s="2204"/>
      <c r="ALV479" s="2204"/>
      <c r="ALW479" s="2204">
        <f t="shared" si="45"/>
        <v>0</v>
      </c>
      <c r="ALX479" s="2204">
        <f>[16]BV!AMI395</f>
        <v>0</v>
      </c>
      <c r="ALY479" s="2204"/>
      <c r="ALZ479" s="2204"/>
      <c r="AMA479" s="2204">
        <f t="shared" si="45"/>
        <v>0</v>
      </c>
      <c r="AMB479" s="2204">
        <f>[16]BV!AMM395</f>
        <v>0</v>
      </c>
      <c r="AMC479" s="2204"/>
      <c r="AMD479" s="2204"/>
      <c r="AME479" s="2204">
        <f t="shared" si="45"/>
        <v>0</v>
      </c>
      <c r="AMF479" s="2204">
        <f>[16]BV!AMQ395</f>
        <v>0</v>
      </c>
      <c r="AMG479" s="2204"/>
      <c r="AMH479" s="2204"/>
      <c r="AMI479" s="2204">
        <f t="shared" si="45"/>
        <v>0</v>
      </c>
      <c r="AMJ479" s="2204">
        <f>[16]BV!AMU395</f>
        <v>0</v>
      </c>
      <c r="AMK479" s="2204"/>
      <c r="AML479" s="2204"/>
      <c r="AMM479" s="2204">
        <f t="shared" ref="AMM479:AOU479" si="46">AMJ479</f>
        <v>0</v>
      </c>
      <c r="AMN479" s="2204">
        <f>[16]BV!AMY395</f>
        <v>0</v>
      </c>
      <c r="AMO479" s="2204"/>
      <c r="AMP479" s="2204"/>
      <c r="AMQ479" s="2204">
        <f t="shared" si="46"/>
        <v>0</v>
      </c>
      <c r="AMR479" s="2204">
        <f>[16]BV!ANC395</f>
        <v>0</v>
      </c>
      <c r="AMS479" s="2204"/>
      <c r="AMT479" s="2204"/>
      <c r="AMU479" s="2204">
        <f t="shared" si="46"/>
        <v>0</v>
      </c>
      <c r="AMV479" s="2204">
        <f>[16]BV!ANG395</f>
        <v>0</v>
      </c>
      <c r="AMW479" s="2204"/>
      <c r="AMX479" s="2204"/>
      <c r="AMY479" s="2204">
        <f t="shared" si="46"/>
        <v>0</v>
      </c>
      <c r="AMZ479" s="2204">
        <f>[16]BV!ANK395</f>
        <v>0</v>
      </c>
      <c r="ANA479" s="2204"/>
      <c r="ANB479" s="2204"/>
      <c r="ANC479" s="2204">
        <f t="shared" si="46"/>
        <v>0</v>
      </c>
      <c r="AND479" s="2204">
        <f>[16]BV!ANO395</f>
        <v>0</v>
      </c>
      <c r="ANE479" s="2204"/>
      <c r="ANF479" s="2204"/>
      <c r="ANG479" s="2204">
        <f t="shared" si="46"/>
        <v>0</v>
      </c>
      <c r="ANH479" s="2204">
        <f>[16]BV!ANS395</f>
        <v>0</v>
      </c>
      <c r="ANI479" s="2204"/>
      <c r="ANJ479" s="2204"/>
      <c r="ANK479" s="2204">
        <f t="shared" si="46"/>
        <v>0</v>
      </c>
      <c r="ANL479" s="2204">
        <f>[16]BV!ANW395</f>
        <v>0</v>
      </c>
      <c r="ANM479" s="2204"/>
      <c r="ANN479" s="2204"/>
      <c r="ANO479" s="2204">
        <f t="shared" si="46"/>
        <v>0</v>
      </c>
      <c r="ANP479" s="2204">
        <f>[16]BV!AOA395</f>
        <v>0</v>
      </c>
      <c r="ANQ479" s="2204"/>
      <c r="ANR479" s="2204"/>
      <c r="ANS479" s="2204">
        <f t="shared" si="46"/>
        <v>0</v>
      </c>
      <c r="ANT479" s="2204">
        <f>[16]BV!AOE395</f>
        <v>0</v>
      </c>
      <c r="ANU479" s="2204"/>
      <c r="ANV479" s="2204"/>
      <c r="ANW479" s="2204">
        <f t="shared" si="46"/>
        <v>0</v>
      </c>
      <c r="ANX479" s="2204">
        <f>[16]BV!AOI395</f>
        <v>0</v>
      </c>
      <c r="ANY479" s="2204"/>
      <c r="ANZ479" s="2204"/>
      <c r="AOA479" s="2204">
        <f t="shared" si="46"/>
        <v>0</v>
      </c>
      <c r="AOB479" s="2204">
        <f>[16]BV!AOM395</f>
        <v>0</v>
      </c>
      <c r="AOC479" s="2204"/>
      <c r="AOD479" s="2204"/>
      <c r="AOE479" s="2204">
        <f t="shared" si="46"/>
        <v>0</v>
      </c>
      <c r="AOF479" s="2204">
        <f>[16]BV!AOQ395</f>
        <v>0</v>
      </c>
      <c r="AOG479" s="2204"/>
      <c r="AOH479" s="2204"/>
      <c r="AOI479" s="2204">
        <f t="shared" si="46"/>
        <v>0</v>
      </c>
      <c r="AOJ479" s="2204">
        <f>[16]BV!AOU395</f>
        <v>0</v>
      </c>
      <c r="AOK479" s="2204"/>
      <c r="AOL479" s="2204"/>
      <c r="AOM479" s="2204">
        <f t="shared" si="46"/>
        <v>0</v>
      </c>
      <c r="AON479" s="2204">
        <f>[16]BV!AOY395</f>
        <v>0</v>
      </c>
      <c r="AOO479" s="2204"/>
      <c r="AOP479" s="2204"/>
      <c r="AOQ479" s="2204">
        <f t="shared" si="46"/>
        <v>0</v>
      </c>
      <c r="AOR479" s="2204">
        <f>[16]BV!APC395</f>
        <v>0</v>
      </c>
      <c r="AOS479" s="2204"/>
      <c r="AOT479" s="2204"/>
      <c r="AOU479" s="2204">
        <f t="shared" si="46"/>
        <v>0</v>
      </c>
      <c r="AOV479" s="2204">
        <f>[16]BV!APG395</f>
        <v>0</v>
      </c>
      <c r="AOW479" s="2204"/>
      <c r="AOX479" s="2204"/>
      <c r="AOY479" s="2204">
        <f t="shared" ref="AOY479:ARG479" si="47">AOV479</f>
        <v>0</v>
      </c>
      <c r="AOZ479" s="2204">
        <f>[16]BV!APK395</f>
        <v>0</v>
      </c>
      <c r="APA479" s="2204"/>
      <c r="APB479" s="2204"/>
      <c r="APC479" s="2204">
        <f t="shared" si="47"/>
        <v>0</v>
      </c>
      <c r="APD479" s="2204">
        <f>[16]BV!APO395</f>
        <v>0</v>
      </c>
      <c r="APE479" s="2204"/>
      <c r="APF479" s="2204"/>
      <c r="APG479" s="2204">
        <f t="shared" si="47"/>
        <v>0</v>
      </c>
      <c r="APH479" s="2204">
        <f>[16]BV!APS395</f>
        <v>0</v>
      </c>
      <c r="API479" s="2204"/>
      <c r="APJ479" s="2204"/>
      <c r="APK479" s="2204">
        <f t="shared" si="47"/>
        <v>0</v>
      </c>
      <c r="APL479" s="2204">
        <f>[16]BV!APW395</f>
        <v>0</v>
      </c>
      <c r="APM479" s="2204"/>
      <c r="APN479" s="2204"/>
      <c r="APO479" s="2204">
        <f t="shared" si="47"/>
        <v>0</v>
      </c>
      <c r="APP479" s="2204">
        <f>[16]BV!AQA395</f>
        <v>0</v>
      </c>
      <c r="APQ479" s="2204"/>
      <c r="APR479" s="2204"/>
      <c r="APS479" s="2204">
        <f t="shared" si="47"/>
        <v>0</v>
      </c>
      <c r="APT479" s="2204">
        <f>[16]BV!AQE395</f>
        <v>0</v>
      </c>
      <c r="APU479" s="2204"/>
      <c r="APV479" s="2204"/>
      <c r="APW479" s="2204">
        <f t="shared" si="47"/>
        <v>0</v>
      </c>
      <c r="APX479" s="2204">
        <f>[16]BV!AQI395</f>
        <v>0</v>
      </c>
      <c r="APY479" s="2204"/>
      <c r="APZ479" s="2204"/>
      <c r="AQA479" s="2204">
        <f t="shared" si="47"/>
        <v>0</v>
      </c>
      <c r="AQB479" s="2204">
        <f>[16]BV!AQM395</f>
        <v>0</v>
      </c>
      <c r="AQC479" s="2204"/>
      <c r="AQD479" s="2204"/>
      <c r="AQE479" s="2204">
        <f t="shared" si="47"/>
        <v>0</v>
      </c>
      <c r="AQF479" s="2204">
        <f>[16]BV!AQQ395</f>
        <v>0</v>
      </c>
      <c r="AQG479" s="2204"/>
      <c r="AQH479" s="2204"/>
      <c r="AQI479" s="2204">
        <f t="shared" si="47"/>
        <v>0</v>
      </c>
      <c r="AQJ479" s="2204">
        <f>[16]BV!AQU395</f>
        <v>0</v>
      </c>
      <c r="AQK479" s="2204"/>
      <c r="AQL479" s="2204"/>
      <c r="AQM479" s="2204">
        <f t="shared" si="47"/>
        <v>0</v>
      </c>
      <c r="AQN479" s="2204">
        <f>[16]BV!AQY395</f>
        <v>0</v>
      </c>
      <c r="AQO479" s="2204"/>
      <c r="AQP479" s="2204"/>
      <c r="AQQ479" s="2204">
        <f t="shared" si="47"/>
        <v>0</v>
      </c>
      <c r="AQR479" s="2204">
        <f>[16]BV!ARC395</f>
        <v>0</v>
      </c>
      <c r="AQS479" s="2204"/>
      <c r="AQT479" s="2204"/>
      <c r="AQU479" s="2204">
        <f t="shared" si="47"/>
        <v>0</v>
      </c>
      <c r="AQV479" s="2204">
        <f>[16]BV!ARG395</f>
        <v>0</v>
      </c>
      <c r="AQW479" s="2204"/>
      <c r="AQX479" s="2204"/>
      <c r="AQY479" s="2204">
        <f t="shared" si="47"/>
        <v>0</v>
      </c>
      <c r="AQZ479" s="2204">
        <f>[16]BV!ARK395</f>
        <v>0</v>
      </c>
      <c r="ARA479" s="2204"/>
      <c r="ARB479" s="2204"/>
      <c r="ARC479" s="2204">
        <f t="shared" si="47"/>
        <v>0</v>
      </c>
      <c r="ARD479" s="2204">
        <f>[16]BV!ARO395</f>
        <v>0</v>
      </c>
      <c r="ARE479" s="2204"/>
      <c r="ARF479" s="2204"/>
      <c r="ARG479" s="2204">
        <f t="shared" si="47"/>
        <v>0</v>
      </c>
      <c r="ARH479" s="2204">
        <f>[16]BV!ARS395</f>
        <v>0</v>
      </c>
      <c r="ARI479" s="2204"/>
      <c r="ARJ479" s="2204"/>
      <c r="ARK479" s="2204">
        <f t="shared" ref="ARK479:ATS479" si="48">ARH479</f>
        <v>0</v>
      </c>
      <c r="ARL479" s="2204">
        <f>[16]BV!ARW395</f>
        <v>0</v>
      </c>
      <c r="ARM479" s="2204"/>
      <c r="ARN479" s="2204"/>
      <c r="ARO479" s="2204">
        <f t="shared" si="48"/>
        <v>0</v>
      </c>
      <c r="ARP479" s="2204">
        <f>[16]BV!ASA395</f>
        <v>0</v>
      </c>
      <c r="ARQ479" s="2204"/>
      <c r="ARR479" s="2204"/>
      <c r="ARS479" s="2204">
        <f t="shared" si="48"/>
        <v>0</v>
      </c>
      <c r="ART479" s="2204">
        <f>[16]BV!ASE395</f>
        <v>0</v>
      </c>
      <c r="ARU479" s="2204"/>
      <c r="ARV479" s="2204"/>
      <c r="ARW479" s="2204">
        <f t="shared" si="48"/>
        <v>0</v>
      </c>
      <c r="ARX479" s="2204">
        <f>[16]BV!ASI395</f>
        <v>0</v>
      </c>
      <c r="ARY479" s="2204"/>
      <c r="ARZ479" s="2204"/>
      <c r="ASA479" s="2204">
        <f t="shared" si="48"/>
        <v>0</v>
      </c>
      <c r="ASB479" s="2204">
        <f>[16]BV!ASM395</f>
        <v>0</v>
      </c>
      <c r="ASC479" s="2204"/>
      <c r="ASD479" s="2204"/>
      <c r="ASE479" s="2204">
        <f t="shared" si="48"/>
        <v>0</v>
      </c>
      <c r="ASF479" s="2204">
        <f>[16]BV!ASQ395</f>
        <v>0</v>
      </c>
      <c r="ASG479" s="2204"/>
      <c r="ASH479" s="2204"/>
      <c r="ASI479" s="2204">
        <f t="shared" si="48"/>
        <v>0</v>
      </c>
      <c r="ASJ479" s="2204">
        <f>[16]BV!ASU395</f>
        <v>0</v>
      </c>
      <c r="ASK479" s="2204"/>
      <c r="ASL479" s="2204"/>
      <c r="ASM479" s="2204">
        <f t="shared" si="48"/>
        <v>0</v>
      </c>
      <c r="ASN479" s="2204">
        <f>[16]BV!ASY395</f>
        <v>0</v>
      </c>
      <c r="ASO479" s="2204"/>
      <c r="ASP479" s="2204"/>
      <c r="ASQ479" s="2204">
        <f t="shared" si="48"/>
        <v>0</v>
      </c>
      <c r="ASR479" s="2204">
        <f>[16]BV!ATC395</f>
        <v>0</v>
      </c>
      <c r="ASS479" s="2204"/>
      <c r="AST479" s="2204"/>
      <c r="ASU479" s="2204">
        <f t="shared" si="48"/>
        <v>0</v>
      </c>
      <c r="ASV479" s="2204">
        <f>[16]BV!ATG395</f>
        <v>0</v>
      </c>
      <c r="ASW479" s="2204"/>
      <c r="ASX479" s="2204"/>
      <c r="ASY479" s="2204">
        <f t="shared" si="48"/>
        <v>0</v>
      </c>
      <c r="ASZ479" s="2204">
        <f>[16]BV!ATK395</f>
        <v>0</v>
      </c>
      <c r="ATA479" s="2204"/>
      <c r="ATB479" s="2204"/>
      <c r="ATC479" s="2204">
        <f t="shared" si="48"/>
        <v>0</v>
      </c>
      <c r="ATD479" s="2204">
        <f>[16]BV!ATO395</f>
        <v>0</v>
      </c>
      <c r="ATE479" s="2204"/>
      <c r="ATF479" s="2204"/>
      <c r="ATG479" s="2204">
        <f t="shared" si="48"/>
        <v>0</v>
      </c>
      <c r="ATH479" s="2204">
        <f>[16]BV!ATS395</f>
        <v>0</v>
      </c>
      <c r="ATI479" s="2204"/>
      <c r="ATJ479" s="2204"/>
      <c r="ATK479" s="2204">
        <f t="shared" si="48"/>
        <v>0</v>
      </c>
      <c r="ATL479" s="2204">
        <f>[16]BV!ATW395</f>
        <v>0</v>
      </c>
      <c r="ATM479" s="2204"/>
      <c r="ATN479" s="2204"/>
      <c r="ATO479" s="2204">
        <f t="shared" si="48"/>
        <v>0</v>
      </c>
      <c r="ATP479" s="2204">
        <f>[16]BV!AUA395</f>
        <v>0</v>
      </c>
      <c r="ATQ479" s="2204"/>
      <c r="ATR479" s="2204"/>
      <c r="ATS479" s="2204">
        <f t="shared" si="48"/>
        <v>0</v>
      </c>
      <c r="ATT479" s="2204">
        <f>[16]BV!AUE395</f>
        <v>0</v>
      </c>
      <c r="ATU479" s="2204"/>
      <c r="ATV479" s="2204"/>
      <c r="ATW479" s="2204">
        <f t="shared" ref="ATW479:AWE479" si="49">ATT479</f>
        <v>0</v>
      </c>
      <c r="ATX479" s="2204">
        <f>[16]BV!AUI395</f>
        <v>0</v>
      </c>
      <c r="ATY479" s="2204"/>
      <c r="ATZ479" s="2204"/>
      <c r="AUA479" s="2204">
        <f t="shared" si="49"/>
        <v>0</v>
      </c>
      <c r="AUB479" s="2204">
        <f>[16]BV!AUM395</f>
        <v>0</v>
      </c>
      <c r="AUC479" s="2204"/>
      <c r="AUD479" s="2204"/>
      <c r="AUE479" s="2204">
        <f t="shared" si="49"/>
        <v>0</v>
      </c>
      <c r="AUF479" s="2204">
        <f>[16]BV!AUQ395</f>
        <v>0</v>
      </c>
      <c r="AUG479" s="2204"/>
      <c r="AUH479" s="2204"/>
      <c r="AUI479" s="2204">
        <f t="shared" si="49"/>
        <v>0</v>
      </c>
      <c r="AUJ479" s="2204">
        <f>[16]BV!AUU395</f>
        <v>0</v>
      </c>
      <c r="AUK479" s="2204"/>
      <c r="AUL479" s="2204"/>
      <c r="AUM479" s="2204">
        <f t="shared" si="49"/>
        <v>0</v>
      </c>
      <c r="AUN479" s="2204">
        <f>[16]BV!AUY395</f>
        <v>0</v>
      </c>
      <c r="AUO479" s="2204"/>
      <c r="AUP479" s="2204"/>
      <c r="AUQ479" s="2204">
        <f t="shared" si="49"/>
        <v>0</v>
      </c>
      <c r="AUR479" s="2204">
        <f>[16]BV!AVC395</f>
        <v>0</v>
      </c>
      <c r="AUS479" s="2204"/>
      <c r="AUT479" s="2204"/>
      <c r="AUU479" s="2204">
        <f t="shared" si="49"/>
        <v>0</v>
      </c>
      <c r="AUV479" s="2204">
        <f>[16]BV!AVG395</f>
        <v>0</v>
      </c>
      <c r="AUW479" s="2204"/>
      <c r="AUX479" s="2204"/>
      <c r="AUY479" s="2204">
        <f t="shared" si="49"/>
        <v>0</v>
      </c>
      <c r="AUZ479" s="2204">
        <f>[16]BV!AVK395</f>
        <v>0</v>
      </c>
      <c r="AVA479" s="2204"/>
      <c r="AVB479" s="2204"/>
      <c r="AVC479" s="2204">
        <f t="shared" si="49"/>
        <v>0</v>
      </c>
      <c r="AVD479" s="2204">
        <f>[16]BV!AVO395</f>
        <v>0</v>
      </c>
      <c r="AVE479" s="2204"/>
      <c r="AVF479" s="2204"/>
      <c r="AVG479" s="2204">
        <f t="shared" si="49"/>
        <v>0</v>
      </c>
      <c r="AVH479" s="2204">
        <f>[16]BV!AVS395</f>
        <v>0</v>
      </c>
      <c r="AVI479" s="2204"/>
      <c r="AVJ479" s="2204"/>
      <c r="AVK479" s="2204">
        <f t="shared" si="49"/>
        <v>0</v>
      </c>
      <c r="AVL479" s="2204">
        <f>[16]BV!AVW395</f>
        <v>0</v>
      </c>
      <c r="AVM479" s="2204"/>
      <c r="AVN479" s="2204"/>
      <c r="AVO479" s="2204">
        <f t="shared" si="49"/>
        <v>0</v>
      </c>
      <c r="AVP479" s="2204">
        <f>[16]BV!AWA395</f>
        <v>0</v>
      </c>
      <c r="AVQ479" s="2204"/>
      <c r="AVR479" s="2204"/>
      <c r="AVS479" s="2204">
        <f t="shared" si="49"/>
        <v>0</v>
      </c>
      <c r="AVT479" s="2204">
        <f>[16]BV!AWE395</f>
        <v>0</v>
      </c>
      <c r="AVU479" s="2204"/>
      <c r="AVV479" s="2204"/>
      <c r="AVW479" s="2204">
        <f t="shared" si="49"/>
        <v>0</v>
      </c>
      <c r="AVX479" s="2204">
        <f>[16]BV!AWI395</f>
        <v>0</v>
      </c>
      <c r="AVY479" s="2204"/>
      <c r="AVZ479" s="2204"/>
      <c r="AWA479" s="2204">
        <f t="shared" si="49"/>
        <v>0</v>
      </c>
      <c r="AWB479" s="2204">
        <f>[16]BV!AWM395</f>
        <v>0</v>
      </c>
      <c r="AWC479" s="2204"/>
      <c r="AWD479" s="2204"/>
      <c r="AWE479" s="2204">
        <f t="shared" si="49"/>
        <v>0</v>
      </c>
      <c r="AWF479" s="2204">
        <f>[16]BV!AWQ395</f>
        <v>0</v>
      </c>
      <c r="AWG479" s="2204"/>
      <c r="AWH479" s="2204"/>
      <c r="AWI479" s="2204">
        <f t="shared" ref="AWI479:AYQ479" si="50">AWF479</f>
        <v>0</v>
      </c>
      <c r="AWJ479" s="2204">
        <f>[16]BV!AWU395</f>
        <v>0</v>
      </c>
      <c r="AWK479" s="2204"/>
      <c r="AWL479" s="2204"/>
      <c r="AWM479" s="2204">
        <f t="shared" si="50"/>
        <v>0</v>
      </c>
      <c r="AWN479" s="2204">
        <f>[16]BV!AWY395</f>
        <v>0</v>
      </c>
      <c r="AWO479" s="2204"/>
      <c r="AWP479" s="2204"/>
      <c r="AWQ479" s="2204">
        <f t="shared" si="50"/>
        <v>0</v>
      </c>
      <c r="AWR479" s="2204">
        <f>[16]BV!AXC395</f>
        <v>0</v>
      </c>
      <c r="AWS479" s="2204"/>
      <c r="AWT479" s="2204"/>
      <c r="AWU479" s="2204">
        <f t="shared" si="50"/>
        <v>0</v>
      </c>
      <c r="AWV479" s="2204">
        <f>[16]BV!AXG395</f>
        <v>0</v>
      </c>
      <c r="AWW479" s="2204"/>
      <c r="AWX479" s="2204"/>
      <c r="AWY479" s="2204">
        <f t="shared" si="50"/>
        <v>0</v>
      </c>
      <c r="AWZ479" s="2204">
        <f>[16]BV!AXK395</f>
        <v>0</v>
      </c>
      <c r="AXA479" s="2204"/>
      <c r="AXB479" s="2204"/>
      <c r="AXC479" s="2204">
        <f t="shared" si="50"/>
        <v>0</v>
      </c>
      <c r="AXD479" s="2204">
        <f>[16]BV!AXO395</f>
        <v>0</v>
      </c>
      <c r="AXE479" s="2204"/>
      <c r="AXF479" s="2204"/>
      <c r="AXG479" s="2204">
        <f t="shared" si="50"/>
        <v>0</v>
      </c>
      <c r="AXH479" s="2204">
        <f>[16]BV!AXS395</f>
        <v>0</v>
      </c>
      <c r="AXI479" s="2204"/>
      <c r="AXJ479" s="2204"/>
      <c r="AXK479" s="2204">
        <f t="shared" si="50"/>
        <v>0</v>
      </c>
      <c r="AXL479" s="2204">
        <f>[16]BV!AXW395</f>
        <v>0</v>
      </c>
      <c r="AXM479" s="2204"/>
      <c r="AXN479" s="2204"/>
      <c r="AXO479" s="2204">
        <f t="shared" si="50"/>
        <v>0</v>
      </c>
      <c r="AXP479" s="2204">
        <f>[16]BV!AYA395</f>
        <v>0</v>
      </c>
      <c r="AXQ479" s="2204"/>
      <c r="AXR479" s="2204"/>
      <c r="AXS479" s="2204">
        <f t="shared" si="50"/>
        <v>0</v>
      </c>
      <c r="AXT479" s="2204">
        <f>[16]BV!AYE395</f>
        <v>0</v>
      </c>
      <c r="AXU479" s="2204"/>
      <c r="AXV479" s="2204"/>
      <c r="AXW479" s="2204">
        <f t="shared" si="50"/>
        <v>0</v>
      </c>
      <c r="AXX479" s="2204">
        <f>[16]BV!AYI395</f>
        <v>0</v>
      </c>
      <c r="AXY479" s="2204"/>
      <c r="AXZ479" s="2204"/>
      <c r="AYA479" s="2204">
        <f t="shared" si="50"/>
        <v>0</v>
      </c>
      <c r="AYB479" s="2204">
        <f>[16]BV!AYM395</f>
        <v>0</v>
      </c>
      <c r="AYC479" s="2204"/>
      <c r="AYD479" s="2204"/>
      <c r="AYE479" s="2204">
        <f t="shared" si="50"/>
        <v>0</v>
      </c>
      <c r="AYF479" s="2204">
        <f>[16]BV!AYQ395</f>
        <v>0</v>
      </c>
      <c r="AYG479" s="2204"/>
      <c r="AYH479" s="2204"/>
      <c r="AYI479" s="2204">
        <f t="shared" si="50"/>
        <v>0</v>
      </c>
      <c r="AYJ479" s="2204">
        <f>[16]BV!AYU395</f>
        <v>0</v>
      </c>
      <c r="AYK479" s="2204"/>
      <c r="AYL479" s="2204"/>
      <c r="AYM479" s="2204">
        <f t="shared" si="50"/>
        <v>0</v>
      </c>
      <c r="AYN479" s="2204">
        <f>[16]BV!AYY395</f>
        <v>0</v>
      </c>
      <c r="AYO479" s="2204"/>
      <c r="AYP479" s="2204"/>
      <c r="AYQ479" s="2204">
        <f t="shared" si="50"/>
        <v>0</v>
      </c>
      <c r="AYR479" s="2204">
        <f>[16]BV!AZC395</f>
        <v>0</v>
      </c>
      <c r="AYS479" s="2204"/>
      <c r="AYT479" s="2204"/>
      <c r="AYU479" s="2204">
        <f t="shared" ref="AYU479:BBC479" si="51">AYR479</f>
        <v>0</v>
      </c>
      <c r="AYV479" s="2204">
        <f>[16]BV!AZG395</f>
        <v>0</v>
      </c>
      <c r="AYW479" s="2204"/>
      <c r="AYX479" s="2204"/>
      <c r="AYY479" s="2204">
        <f t="shared" si="51"/>
        <v>0</v>
      </c>
      <c r="AYZ479" s="2204">
        <f>[16]BV!AZK395</f>
        <v>0</v>
      </c>
      <c r="AZA479" s="2204"/>
      <c r="AZB479" s="2204"/>
      <c r="AZC479" s="2204">
        <f t="shared" si="51"/>
        <v>0</v>
      </c>
      <c r="AZD479" s="2204">
        <f>[16]BV!AZO395</f>
        <v>0</v>
      </c>
      <c r="AZE479" s="2204"/>
      <c r="AZF479" s="2204"/>
      <c r="AZG479" s="2204">
        <f t="shared" si="51"/>
        <v>0</v>
      </c>
      <c r="AZH479" s="2204">
        <f>[16]BV!AZS395</f>
        <v>0</v>
      </c>
      <c r="AZI479" s="2204"/>
      <c r="AZJ479" s="2204"/>
      <c r="AZK479" s="2204">
        <f t="shared" si="51"/>
        <v>0</v>
      </c>
      <c r="AZL479" s="2204">
        <f>[16]BV!AZW395</f>
        <v>0</v>
      </c>
      <c r="AZM479" s="2204"/>
      <c r="AZN479" s="2204"/>
      <c r="AZO479" s="2204">
        <f t="shared" si="51"/>
        <v>0</v>
      </c>
      <c r="AZP479" s="2204">
        <f>[16]BV!BAA395</f>
        <v>0</v>
      </c>
      <c r="AZQ479" s="2204"/>
      <c r="AZR479" s="2204"/>
      <c r="AZS479" s="2204">
        <f t="shared" si="51"/>
        <v>0</v>
      </c>
      <c r="AZT479" s="2204">
        <f>[16]BV!BAE395</f>
        <v>0</v>
      </c>
      <c r="AZU479" s="2204"/>
      <c r="AZV479" s="2204"/>
      <c r="AZW479" s="2204">
        <f t="shared" si="51"/>
        <v>0</v>
      </c>
      <c r="AZX479" s="2204">
        <f>[16]BV!BAI395</f>
        <v>0</v>
      </c>
      <c r="AZY479" s="2204"/>
      <c r="AZZ479" s="2204"/>
      <c r="BAA479" s="2204">
        <f t="shared" si="51"/>
        <v>0</v>
      </c>
      <c r="BAB479" s="2204">
        <f>[16]BV!BAM395</f>
        <v>0</v>
      </c>
      <c r="BAC479" s="2204"/>
      <c r="BAD479" s="2204"/>
      <c r="BAE479" s="2204">
        <f t="shared" si="51"/>
        <v>0</v>
      </c>
      <c r="BAF479" s="2204">
        <f>[16]BV!BAQ395</f>
        <v>0</v>
      </c>
      <c r="BAG479" s="2204"/>
      <c r="BAH479" s="2204"/>
      <c r="BAI479" s="2204">
        <f t="shared" si="51"/>
        <v>0</v>
      </c>
      <c r="BAJ479" s="2204">
        <f>[16]BV!BAU395</f>
        <v>0</v>
      </c>
      <c r="BAK479" s="2204"/>
      <c r="BAL479" s="2204"/>
      <c r="BAM479" s="2204">
        <f t="shared" si="51"/>
        <v>0</v>
      </c>
      <c r="BAN479" s="2204">
        <f>[16]BV!BAY395</f>
        <v>0</v>
      </c>
      <c r="BAO479" s="2204"/>
      <c r="BAP479" s="2204"/>
      <c r="BAQ479" s="2204">
        <f t="shared" si="51"/>
        <v>0</v>
      </c>
      <c r="BAR479" s="2204">
        <f>[16]BV!BBC395</f>
        <v>0</v>
      </c>
      <c r="BAS479" s="2204"/>
      <c r="BAT479" s="2204"/>
      <c r="BAU479" s="2204">
        <f t="shared" si="51"/>
        <v>0</v>
      </c>
      <c r="BAV479" s="2204">
        <f>[16]BV!BBG395</f>
        <v>0</v>
      </c>
      <c r="BAW479" s="2204"/>
      <c r="BAX479" s="2204"/>
      <c r="BAY479" s="2204">
        <f t="shared" si="51"/>
        <v>0</v>
      </c>
      <c r="BAZ479" s="2204">
        <f>[16]BV!BBK395</f>
        <v>0</v>
      </c>
      <c r="BBA479" s="2204"/>
      <c r="BBB479" s="2204"/>
      <c r="BBC479" s="2204">
        <f t="shared" si="51"/>
        <v>0</v>
      </c>
      <c r="BBD479" s="2204">
        <f>[16]BV!BBO395</f>
        <v>0</v>
      </c>
      <c r="BBE479" s="2204"/>
      <c r="BBF479" s="2204"/>
      <c r="BBG479" s="2204">
        <f t="shared" ref="BBG479:BDO479" si="52">BBD479</f>
        <v>0</v>
      </c>
      <c r="BBH479" s="2204">
        <f>[16]BV!BBS395</f>
        <v>0</v>
      </c>
      <c r="BBI479" s="2204"/>
      <c r="BBJ479" s="2204"/>
      <c r="BBK479" s="2204">
        <f t="shared" si="52"/>
        <v>0</v>
      </c>
      <c r="BBL479" s="2204">
        <f>[16]BV!BBW395</f>
        <v>0</v>
      </c>
      <c r="BBM479" s="2204"/>
      <c r="BBN479" s="2204"/>
      <c r="BBO479" s="2204">
        <f t="shared" si="52"/>
        <v>0</v>
      </c>
      <c r="BBP479" s="2204">
        <f>[16]BV!BCA395</f>
        <v>0</v>
      </c>
      <c r="BBQ479" s="2204"/>
      <c r="BBR479" s="2204"/>
      <c r="BBS479" s="2204">
        <f t="shared" si="52"/>
        <v>0</v>
      </c>
      <c r="BBT479" s="2204">
        <f>[16]BV!BCE395</f>
        <v>0</v>
      </c>
      <c r="BBU479" s="2204"/>
      <c r="BBV479" s="2204"/>
      <c r="BBW479" s="2204">
        <f t="shared" si="52"/>
        <v>0</v>
      </c>
      <c r="BBX479" s="2204">
        <f>[16]BV!BCI395</f>
        <v>0</v>
      </c>
      <c r="BBY479" s="2204"/>
      <c r="BBZ479" s="2204"/>
      <c r="BCA479" s="2204">
        <f t="shared" si="52"/>
        <v>0</v>
      </c>
      <c r="BCB479" s="2204">
        <f>[16]BV!BCM395</f>
        <v>0</v>
      </c>
      <c r="BCC479" s="2204"/>
      <c r="BCD479" s="2204"/>
      <c r="BCE479" s="2204">
        <f t="shared" si="52"/>
        <v>0</v>
      </c>
      <c r="BCF479" s="2204">
        <f>[16]BV!BCQ395</f>
        <v>0</v>
      </c>
      <c r="BCG479" s="2204"/>
      <c r="BCH479" s="2204"/>
      <c r="BCI479" s="2204">
        <f t="shared" si="52"/>
        <v>0</v>
      </c>
      <c r="BCJ479" s="2204">
        <f>[16]BV!BCU395</f>
        <v>0</v>
      </c>
      <c r="BCK479" s="2204"/>
      <c r="BCL479" s="2204"/>
      <c r="BCM479" s="2204">
        <f t="shared" si="52"/>
        <v>0</v>
      </c>
      <c r="BCN479" s="2204">
        <f>[16]BV!BCY395</f>
        <v>0</v>
      </c>
      <c r="BCO479" s="2204"/>
      <c r="BCP479" s="2204"/>
      <c r="BCQ479" s="2204">
        <f t="shared" si="52"/>
        <v>0</v>
      </c>
      <c r="BCR479" s="2204">
        <f>[16]BV!BDC395</f>
        <v>0</v>
      </c>
      <c r="BCS479" s="2204"/>
      <c r="BCT479" s="2204"/>
      <c r="BCU479" s="2204">
        <f t="shared" si="52"/>
        <v>0</v>
      </c>
      <c r="BCV479" s="2204">
        <f>[16]BV!BDG395</f>
        <v>0</v>
      </c>
      <c r="BCW479" s="2204"/>
      <c r="BCX479" s="2204"/>
      <c r="BCY479" s="2204">
        <f t="shared" si="52"/>
        <v>0</v>
      </c>
      <c r="BCZ479" s="2204">
        <f>[16]BV!BDK395</f>
        <v>0</v>
      </c>
      <c r="BDA479" s="2204"/>
      <c r="BDB479" s="2204"/>
      <c r="BDC479" s="2204">
        <f t="shared" si="52"/>
        <v>0</v>
      </c>
      <c r="BDD479" s="2204">
        <f>[16]BV!BDO395</f>
        <v>0</v>
      </c>
      <c r="BDE479" s="2204"/>
      <c r="BDF479" s="2204"/>
      <c r="BDG479" s="2204">
        <f t="shared" si="52"/>
        <v>0</v>
      </c>
      <c r="BDH479" s="2204">
        <f>[16]BV!BDS395</f>
        <v>0</v>
      </c>
      <c r="BDI479" s="2204"/>
      <c r="BDJ479" s="2204"/>
      <c r="BDK479" s="2204">
        <f t="shared" si="52"/>
        <v>0</v>
      </c>
      <c r="BDL479" s="2204">
        <f>[16]BV!BDW395</f>
        <v>0</v>
      </c>
      <c r="BDM479" s="2204"/>
      <c r="BDN479" s="2204"/>
      <c r="BDO479" s="2204">
        <f t="shared" si="52"/>
        <v>0</v>
      </c>
      <c r="BDP479" s="2204">
        <f>[16]BV!BEA395</f>
        <v>0</v>
      </c>
      <c r="BDQ479" s="2204"/>
      <c r="BDR479" s="2204"/>
      <c r="BDS479" s="2204">
        <f t="shared" ref="BDS479:BGA479" si="53">BDP479</f>
        <v>0</v>
      </c>
      <c r="BDT479" s="2204">
        <f>[16]BV!BEE395</f>
        <v>0</v>
      </c>
      <c r="BDU479" s="2204"/>
      <c r="BDV479" s="2204"/>
      <c r="BDW479" s="2204">
        <f t="shared" si="53"/>
        <v>0</v>
      </c>
      <c r="BDX479" s="2204">
        <f>[16]BV!BEI395</f>
        <v>0</v>
      </c>
      <c r="BDY479" s="2204"/>
      <c r="BDZ479" s="2204"/>
      <c r="BEA479" s="2204">
        <f t="shared" si="53"/>
        <v>0</v>
      </c>
      <c r="BEB479" s="2204">
        <f>[16]BV!BEM395</f>
        <v>0</v>
      </c>
      <c r="BEC479" s="2204"/>
      <c r="BED479" s="2204"/>
      <c r="BEE479" s="2204">
        <f t="shared" si="53"/>
        <v>0</v>
      </c>
      <c r="BEF479" s="2204">
        <f>[16]BV!BEQ395</f>
        <v>0</v>
      </c>
      <c r="BEG479" s="2204"/>
      <c r="BEH479" s="2204"/>
      <c r="BEI479" s="2204">
        <f t="shared" si="53"/>
        <v>0</v>
      </c>
      <c r="BEJ479" s="2204">
        <f>[16]BV!BEU395</f>
        <v>0</v>
      </c>
      <c r="BEK479" s="2204"/>
      <c r="BEL479" s="2204"/>
      <c r="BEM479" s="2204">
        <f t="shared" si="53"/>
        <v>0</v>
      </c>
      <c r="BEN479" s="2204">
        <f>[16]BV!BEY395</f>
        <v>0</v>
      </c>
      <c r="BEO479" s="2204"/>
      <c r="BEP479" s="2204"/>
      <c r="BEQ479" s="2204">
        <f t="shared" si="53"/>
        <v>0</v>
      </c>
      <c r="BER479" s="2204">
        <f>[16]BV!BFC395</f>
        <v>0</v>
      </c>
      <c r="BES479" s="2204"/>
      <c r="BET479" s="2204"/>
      <c r="BEU479" s="2204">
        <f t="shared" si="53"/>
        <v>0</v>
      </c>
      <c r="BEV479" s="2204">
        <f>[16]BV!BFG395</f>
        <v>0</v>
      </c>
      <c r="BEW479" s="2204"/>
      <c r="BEX479" s="2204"/>
      <c r="BEY479" s="2204">
        <f t="shared" si="53"/>
        <v>0</v>
      </c>
      <c r="BEZ479" s="2204">
        <f>[16]BV!BFK395</f>
        <v>0</v>
      </c>
      <c r="BFA479" s="2204"/>
      <c r="BFB479" s="2204"/>
      <c r="BFC479" s="2204">
        <f t="shared" si="53"/>
        <v>0</v>
      </c>
      <c r="BFD479" s="2204">
        <f>[16]BV!BFO395</f>
        <v>0</v>
      </c>
      <c r="BFE479" s="2204"/>
      <c r="BFF479" s="2204"/>
      <c r="BFG479" s="2204">
        <f t="shared" si="53"/>
        <v>0</v>
      </c>
      <c r="BFH479" s="2204">
        <f>[16]BV!BFS395</f>
        <v>0</v>
      </c>
      <c r="BFI479" s="2204"/>
      <c r="BFJ479" s="2204"/>
      <c r="BFK479" s="2204">
        <f t="shared" si="53"/>
        <v>0</v>
      </c>
      <c r="BFL479" s="2204">
        <f>[16]BV!BFW395</f>
        <v>0</v>
      </c>
      <c r="BFM479" s="2204"/>
      <c r="BFN479" s="2204"/>
      <c r="BFO479" s="2204">
        <f t="shared" si="53"/>
        <v>0</v>
      </c>
      <c r="BFP479" s="2204">
        <f>[16]BV!BGA395</f>
        <v>0</v>
      </c>
      <c r="BFQ479" s="2204"/>
      <c r="BFR479" s="2204"/>
      <c r="BFS479" s="2204">
        <f t="shared" si="53"/>
        <v>0</v>
      </c>
      <c r="BFT479" s="2204">
        <f>[16]BV!BGE395</f>
        <v>0</v>
      </c>
      <c r="BFU479" s="2204"/>
      <c r="BFV479" s="2204"/>
      <c r="BFW479" s="2204">
        <f t="shared" si="53"/>
        <v>0</v>
      </c>
      <c r="BFX479" s="2204">
        <f>[16]BV!BGI395</f>
        <v>0</v>
      </c>
      <c r="BFY479" s="2204"/>
      <c r="BFZ479" s="2204"/>
      <c r="BGA479" s="2204">
        <f t="shared" si="53"/>
        <v>0</v>
      </c>
      <c r="BGB479" s="2204">
        <f>[16]BV!BGM395</f>
        <v>0</v>
      </c>
      <c r="BGC479" s="2204"/>
      <c r="BGD479" s="2204"/>
      <c r="BGE479" s="2204">
        <f t="shared" ref="BGE479:BIM479" si="54">BGB479</f>
        <v>0</v>
      </c>
      <c r="BGF479" s="2204">
        <f>[16]BV!BGQ395</f>
        <v>0</v>
      </c>
      <c r="BGG479" s="2204"/>
      <c r="BGH479" s="2204"/>
      <c r="BGI479" s="2204">
        <f t="shared" si="54"/>
        <v>0</v>
      </c>
      <c r="BGJ479" s="2204">
        <f>[16]BV!BGU395</f>
        <v>0</v>
      </c>
      <c r="BGK479" s="2204"/>
      <c r="BGL479" s="2204"/>
      <c r="BGM479" s="2204">
        <f t="shared" si="54"/>
        <v>0</v>
      </c>
      <c r="BGN479" s="2204">
        <f>[16]BV!BGY395</f>
        <v>0</v>
      </c>
      <c r="BGO479" s="2204"/>
      <c r="BGP479" s="2204"/>
      <c r="BGQ479" s="2204">
        <f t="shared" si="54"/>
        <v>0</v>
      </c>
      <c r="BGR479" s="2204">
        <f>[16]BV!BHC395</f>
        <v>0</v>
      </c>
      <c r="BGS479" s="2204"/>
      <c r="BGT479" s="2204"/>
      <c r="BGU479" s="2204">
        <f t="shared" si="54"/>
        <v>0</v>
      </c>
      <c r="BGV479" s="2204">
        <f>[16]BV!BHG395</f>
        <v>0</v>
      </c>
      <c r="BGW479" s="2204"/>
      <c r="BGX479" s="2204"/>
      <c r="BGY479" s="2204">
        <f t="shared" si="54"/>
        <v>0</v>
      </c>
      <c r="BGZ479" s="2204">
        <f>[16]BV!BHK395</f>
        <v>0</v>
      </c>
      <c r="BHA479" s="2204"/>
      <c r="BHB479" s="2204"/>
      <c r="BHC479" s="2204">
        <f t="shared" si="54"/>
        <v>0</v>
      </c>
      <c r="BHD479" s="2204">
        <f>[16]BV!BHO395</f>
        <v>0</v>
      </c>
      <c r="BHE479" s="2204"/>
      <c r="BHF479" s="2204"/>
      <c r="BHG479" s="2204">
        <f t="shared" si="54"/>
        <v>0</v>
      </c>
      <c r="BHH479" s="2204">
        <f>[16]BV!BHS395</f>
        <v>0</v>
      </c>
      <c r="BHI479" s="2204"/>
      <c r="BHJ479" s="2204"/>
      <c r="BHK479" s="2204">
        <f t="shared" si="54"/>
        <v>0</v>
      </c>
      <c r="BHL479" s="2204">
        <f>[16]BV!BHW395</f>
        <v>0</v>
      </c>
      <c r="BHM479" s="2204"/>
      <c r="BHN479" s="2204"/>
      <c r="BHO479" s="2204">
        <f t="shared" si="54"/>
        <v>0</v>
      </c>
      <c r="BHP479" s="2204">
        <f>[16]BV!BIA395</f>
        <v>0</v>
      </c>
      <c r="BHQ479" s="2204"/>
      <c r="BHR479" s="2204"/>
      <c r="BHS479" s="2204">
        <f t="shared" si="54"/>
        <v>0</v>
      </c>
      <c r="BHT479" s="2204">
        <f>[16]BV!BIE395</f>
        <v>0</v>
      </c>
      <c r="BHU479" s="2204"/>
      <c r="BHV479" s="2204"/>
      <c r="BHW479" s="2204">
        <f t="shared" si="54"/>
        <v>0</v>
      </c>
      <c r="BHX479" s="2204">
        <f>[16]BV!BII395</f>
        <v>0</v>
      </c>
      <c r="BHY479" s="2204"/>
      <c r="BHZ479" s="2204"/>
      <c r="BIA479" s="2204">
        <f t="shared" si="54"/>
        <v>0</v>
      </c>
      <c r="BIB479" s="2204">
        <f>[16]BV!BIM395</f>
        <v>0</v>
      </c>
      <c r="BIC479" s="2204"/>
      <c r="BID479" s="2204"/>
      <c r="BIE479" s="2204">
        <f t="shared" si="54"/>
        <v>0</v>
      </c>
      <c r="BIF479" s="2204">
        <f>[16]BV!BIQ395</f>
        <v>0</v>
      </c>
      <c r="BIG479" s="2204"/>
      <c r="BIH479" s="2204"/>
      <c r="BII479" s="2204">
        <f t="shared" si="54"/>
        <v>0</v>
      </c>
      <c r="BIJ479" s="2204">
        <f>[16]BV!BIU395</f>
        <v>0</v>
      </c>
      <c r="BIK479" s="2204"/>
      <c r="BIL479" s="2204"/>
      <c r="BIM479" s="2204">
        <f t="shared" si="54"/>
        <v>0</v>
      </c>
      <c r="BIN479" s="2204">
        <f>[16]BV!BIY395</f>
        <v>0</v>
      </c>
      <c r="BIO479" s="2204"/>
      <c r="BIP479" s="2204"/>
      <c r="BIQ479" s="2204">
        <f t="shared" ref="BIQ479:BKY479" si="55">BIN479</f>
        <v>0</v>
      </c>
      <c r="BIR479" s="2204">
        <f>[16]BV!BJC395</f>
        <v>0</v>
      </c>
      <c r="BIS479" s="2204"/>
      <c r="BIT479" s="2204"/>
      <c r="BIU479" s="2204">
        <f t="shared" si="55"/>
        <v>0</v>
      </c>
      <c r="BIV479" s="2204">
        <f>[16]BV!BJG395</f>
        <v>0</v>
      </c>
      <c r="BIW479" s="2204"/>
      <c r="BIX479" s="2204"/>
      <c r="BIY479" s="2204">
        <f t="shared" si="55"/>
        <v>0</v>
      </c>
      <c r="BIZ479" s="2204">
        <f>[16]BV!BJK395</f>
        <v>0</v>
      </c>
      <c r="BJA479" s="2204"/>
      <c r="BJB479" s="2204"/>
      <c r="BJC479" s="2204">
        <f t="shared" si="55"/>
        <v>0</v>
      </c>
      <c r="BJD479" s="2204">
        <f>[16]BV!BJO395</f>
        <v>0</v>
      </c>
      <c r="BJE479" s="2204"/>
      <c r="BJF479" s="2204"/>
      <c r="BJG479" s="2204">
        <f t="shared" si="55"/>
        <v>0</v>
      </c>
      <c r="BJH479" s="2204">
        <f>[16]BV!BJS395</f>
        <v>0</v>
      </c>
      <c r="BJI479" s="2204"/>
      <c r="BJJ479" s="2204"/>
      <c r="BJK479" s="2204">
        <f t="shared" si="55"/>
        <v>0</v>
      </c>
      <c r="BJL479" s="2204">
        <f>[16]BV!BJW395</f>
        <v>0</v>
      </c>
      <c r="BJM479" s="2204"/>
      <c r="BJN479" s="2204"/>
      <c r="BJO479" s="2204">
        <f t="shared" si="55"/>
        <v>0</v>
      </c>
      <c r="BJP479" s="2204">
        <f>[16]BV!BKA395</f>
        <v>0</v>
      </c>
      <c r="BJQ479" s="2204"/>
      <c r="BJR479" s="2204"/>
      <c r="BJS479" s="2204">
        <f t="shared" si="55"/>
        <v>0</v>
      </c>
      <c r="BJT479" s="2204">
        <f>[16]BV!BKE395</f>
        <v>0</v>
      </c>
      <c r="BJU479" s="2204"/>
      <c r="BJV479" s="2204"/>
      <c r="BJW479" s="2204">
        <f t="shared" si="55"/>
        <v>0</v>
      </c>
      <c r="BJX479" s="2204">
        <f>[16]BV!BKI395</f>
        <v>0</v>
      </c>
      <c r="BJY479" s="2204"/>
      <c r="BJZ479" s="2204"/>
      <c r="BKA479" s="2204">
        <f t="shared" si="55"/>
        <v>0</v>
      </c>
      <c r="BKB479" s="2204">
        <f>[16]BV!BKM395</f>
        <v>0</v>
      </c>
      <c r="BKC479" s="2204"/>
      <c r="BKD479" s="2204"/>
      <c r="BKE479" s="2204">
        <f t="shared" si="55"/>
        <v>0</v>
      </c>
      <c r="BKF479" s="2204">
        <f>[16]BV!BKQ395</f>
        <v>0</v>
      </c>
      <c r="BKG479" s="2204"/>
      <c r="BKH479" s="2204"/>
      <c r="BKI479" s="2204">
        <f t="shared" si="55"/>
        <v>0</v>
      </c>
      <c r="BKJ479" s="2204">
        <f>[16]BV!BKU395</f>
        <v>0</v>
      </c>
      <c r="BKK479" s="2204"/>
      <c r="BKL479" s="2204"/>
      <c r="BKM479" s="2204">
        <f t="shared" si="55"/>
        <v>0</v>
      </c>
      <c r="BKN479" s="2204">
        <f>[16]BV!BKY395</f>
        <v>0</v>
      </c>
      <c r="BKO479" s="2204"/>
      <c r="BKP479" s="2204"/>
      <c r="BKQ479" s="2204">
        <f t="shared" si="55"/>
        <v>0</v>
      </c>
      <c r="BKR479" s="2204">
        <f>[16]BV!BLC395</f>
        <v>0</v>
      </c>
      <c r="BKS479" s="2204"/>
      <c r="BKT479" s="2204"/>
      <c r="BKU479" s="2204">
        <f t="shared" si="55"/>
        <v>0</v>
      </c>
      <c r="BKV479" s="2204">
        <f>[16]BV!BLG395</f>
        <v>0</v>
      </c>
      <c r="BKW479" s="2204"/>
      <c r="BKX479" s="2204"/>
      <c r="BKY479" s="2204">
        <f t="shared" si="55"/>
        <v>0</v>
      </c>
      <c r="BKZ479" s="2204">
        <f>[16]BV!BLK395</f>
        <v>0</v>
      </c>
      <c r="BLA479" s="2204"/>
      <c r="BLB479" s="2204"/>
      <c r="BLC479" s="2204">
        <f t="shared" ref="BLC479:BNK479" si="56">BKZ479</f>
        <v>0</v>
      </c>
      <c r="BLD479" s="2204">
        <f>[16]BV!BLO395</f>
        <v>0</v>
      </c>
      <c r="BLE479" s="2204"/>
      <c r="BLF479" s="2204"/>
      <c r="BLG479" s="2204">
        <f t="shared" si="56"/>
        <v>0</v>
      </c>
      <c r="BLH479" s="2204">
        <f>[16]BV!BLS395</f>
        <v>0</v>
      </c>
      <c r="BLI479" s="2204"/>
      <c r="BLJ479" s="2204"/>
      <c r="BLK479" s="2204">
        <f t="shared" si="56"/>
        <v>0</v>
      </c>
      <c r="BLL479" s="2204">
        <f>[16]BV!BLW395</f>
        <v>0</v>
      </c>
      <c r="BLM479" s="2204"/>
      <c r="BLN479" s="2204"/>
      <c r="BLO479" s="2204">
        <f t="shared" si="56"/>
        <v>0</v>
      </c>
      <c r="BLP479" s="2204">
        <f>[16]BV!BMA395</f>
        <v>0</v>
      </c>
      <c r="BLQ479" s="2204"/>
      <c r="BLR479" s="2204"/>
      <c r="BLS479" s="2204">
        <f t="shared" si="56"/>
        <v>0</v>
      </c>
      <c r="BLT479" s="2204">
        <f>[16]BV!BME395</f>
        <v>0</v>
      </c>
      <c r="BLU479" s="2204"/>
      <c r="BLV479" s="2204"/>
      <c r="BLW479" s="2204">
        <f t="shared" si="56"/>
        <v>0</v>
      </c>
      <c r="BLX479" s="2204">
        <f>[16]BV!BMI395</f>
        <v>0</v>
      </c>
      <c r="BLY479" s="2204"/>
      <c r="BLZ479" s="2204"/>
      <c r="BMA479" s="2204">
        <f t="shared" si="56"/>
        <v>0</v>
      </c>
      <c r="BMB479" s="2204">
        <f>[16]BV!BMM395</f>
        <v>0</v>
      </c>
      <c r="BMC479" s="2204"/>
      <c r="BMD479" s="2204"/>
      <c r="BME479" s="2204">
        <f t="shared" si="56"/>
        <v>0</v>
      </c>
      <c r="BMF479" s="2204">
        <f>[16]BV!BMQ395</f>
        <v>0</v>
      </c>
      <c r="BMG479" s="2204"/>
      <c r="BMH479" s="2204"/>
      <c r="BMI479" s="2204">
        <f t="shared" si="56"/>
        <v>0</v>
      </c>
      <c r="BMJ479" s="2204">
        <f>[16]BV!BMU395</f>
        <v>0</v>
      </c>
      <c r="BMK479" s="2204"/>
      <c r="BML479" s="2204"/>
      <c r="BMM479" s="2204">
        <f t="shared" si="56"/>
        <v>0</v>
      </c>
      <c r="BMN479" s="2204">
        <f>[16]BV!BMY395</f>
        <v>0</v>
      </c>
      <c r="BMO479" s="2204"/>
      <c r="BMP479" s="2204"/>
      <c r="BMQ479" s="2204">
        <f t="shared" si="56"/>
        <v>0</v>
      </c>
      <c r="BMR479" s="2204">
        <f>[16]BV!BNC395</f>
        <v>0</v>
      </c>
      <c r="BMS479" s="2204"/>
      <c r="BMT479" s="2204"/>
      <c r="BMU479" s="2204">
        <f t="shared" si="56"/>
        <v>0</v>
      </c>
      <c r="BMV479" s="2204">
        <f>[16]BV!BNG395</f>
        <v>0</v>
      </c>
      <c r="BMW479" s="2204"/>
      <c r="BMX479" s="2204"/>
      <c r="BMY479" s="2204">
        <f t="shared" si="56"/>
        <v>0</v>
      </c>
      <c r="BMZ479" s="2204">
        <f>[16]BV!BNK395</f>
        <v>0</v>
      </c>
      <c r="BNA479" s="2204"/>
      <c r="BNB479" s="2204"/>
      <c r="BNC479" s="2204">
        <f t="shared" si="56"/>
        <v>0</v>
      </c>
      <c r="BND479" s="2204">
        <f>[16]BV!BNO395</f>
        <v>0</v>
      </c>
      <c r="BNE479" s="2204"/>
      <c r="BNF479" s="2204"/>
      <c r="BNG479" s="2204">
        <f t="shared" si="56"/>
        <v>0</v>
      </c>
      <c r="BNH479" s="2204">
        <f>[16]BV!BNS395</f>
        <v>0</v>
      </c>
      <c r="BNI479" s="2204"/>
      <c r="BNJ479" s="2204"/>
      <c r="BNK479" s="2204">
        <f t="shared" si="56"/>
        <v>0</v>
      </c>
      <c r="BNL479" s="2204">
        <f>[16]BV!BNW395</f>
        <v>0</v>
      </c>
      <c r="BNM479" s="2204"/>
      <c r="BNN479" s="2204"/>
      <c r="BNO479" s="2204">
        <f t="shared" ref="BNO479:BPW479" si="57">BNL479</f>
        <v>0</v>
      </c>
      <c r="BNP479" s="2204">
        <f>[16]BV!BOA395</f>
        <v>0</v>
      </c>
      <c r="BNQ479" s="2204"/>
      <c r="BNR479" s="2204"/>
      <c r="BNS479" s="2204">
        <f t="shared" si="57"/>
        <v>0</v>
      </c>
      <c r="BNT479" s="2204">
        <f>[16]BV!BOE395</f>
        <v>0</v>
      </c>
      <c r="BNU479" s="2204"/>
      <c r="BNV479" s="2204"/>
      <c r="BNW479" s="2204">
        <f t="shared" si="57"/>
        <v>0</v>
      </c>
      <c r="BNX479" s="2204">
        <f>[16]BV!BOI395</f>
        <v>0</v>
      </c>
      <c r="BNY479" s="2204"/>
      <c r="BNZ479" s="2204"/>
      <c r="BOA479" s="2204">
        <f t="shared" si="57"/>
        <v>0</v>
      </c>
      <c r="BOB479" s="2204">
        <f>[16]BV!BOM395</f>
        <v>0</v>
      </c>
      <c r="BOC479" s="2204"/>
      <c r="BOD479" s="2204"/>
      <c r="BOE479" s="2204">
        <f t="shared" si="57"/>
        <v>0</v>
      </c>
      <c r="BOF479" s="2204">
        <f>[16]BV!BOQ395</f>
        <v>0</v>
      </c>
      <c r="BOG479" s="2204"/>
      <c r="BOH479" s="2204"/>
      <c r="BOI479" s="2204">
        <f t="shared" si="57"/>
        <v>0</v>
      </c>
      <c r="BOJ479" s="2204">
        <f>[16]BV!BOU395</f>
        <v>0</v>
      </c>
      <c r="BOK479" s="2204"/>
      <c r="BOL479" s="2204"/>
      <c r="BOM479" s="2204">
        <f t="shared" si="57"/>
        <v>0</v>
      </c>
      <c r="BON479" s="2204">
        <f>[16]BV!BOY395</f>
        <v>0</v>
      </c>
      <c r="BOO479" s="2204"/>
      <c r="BOP479" s="2204"/>
      <c r="BOQ479" s="2204">
        <f t="shared" si="57"/>
        <v>0</v>
      </c>
      <c r="BOR479" s="2204">
        <f>[16]BV!BPC395</f>
        <v>0</v>
      </c>
      <c r="BOS479" s="2204"/>
      <c r="BOT479" s="2204"/>
      <c r="BOU479" s="2204">
        <f t="shared" si="57"/>
        <v>0</v>
      </c>
      <c r="BOV479" s="2204">
        <f>[16]BV!BPG395</f>
        <v>0</v>
      </c>
      <c r="BOW479" s="2204"/>
      <c r="BOX479" s="2204"/>
      <c r="BOY479" s="2204">
        <f t="shared" si="57"/>
        <v>0</v>
      </c>
      <c r="BOZ479" s="2204">
        <f>[16]BV!BPK395</f>
        <v>0</v>
      </c>
      <c r="BPA479" s="2204"/>
      <c r="BPB479" s="2204"/>
      <c r="BPC479" s="2204">
        <f t="shared" si="57"/>
        <v>0</v>
      </c>
      <c r="BPD479" s="2204">
        <f>[16]BV!BPO395</f>
        <v>0</v>
      </c>
      <c r="BPE479" s="2204"/>
      <c r="BPF479" s="2204"/>
      <c r="BPG479" s="2204">
        <f t="shared" si="57"/>
        <v>0</v>
      </c>
      <c r="BPH479" s="2204">
        <f>[16]BV!BPS395</f>
        <v>0</v>
      </c>
      <c r="BPI479" s="2204"/>
      <c r="BPJ479" s="2204"/>
      <c r="BPK479" s="2204">
        <f t="shared" si="57"/>
        <v>0</v>
      </c>
      <c r="BPL479" s="2204">
        <f>[16]BV!BPW395</f>
        <v>0</v>
      </c>
      <c r="BPM479" s="2204"/>
      <c r="BPN479" s="2204"/>
      <c r="BPO479" s="2204">
        <f t="shared" si="57"/>
        <v>0</v>
      </c>
      <c r="BPP479" s="2204">
        <f>[16]BV!BQA395</f>
        <v>0</v>
      </c>
      <c r="BPQ479" s="2204"/>
      <c r="BPR479" s="2204"/>
      <c r="BPS479" s="2204">
        <f t="shared" si="57"/>
        <v>0</v>
      </c>
      <c r="BPT479" s="2204">
        <f>[16]BV!BQE395</f>
        <v>0</v>
      </c>
      <c r="BPU479" s="2204"/>
      <c r="BPV479" s="2204"/>
      <c r="BPW479" s="2204">
        <f t="shared" si="57"/>
        <v>0</v>
      </c>
      <c r="BPX479" s="2204">
        <f>[16]BV!BQI395</f>
        <v>0</v>
      </c>
      <c r="BPY479" s="2204"/>
      <c r="BPZ479" s="2204"/>
      <c r="BQA479" s="2204">
        <f t="shared" ref="BQA479:BSI479" si="58">BPX479</f>
        <v>0</v>
      </c>
      <c r="BQB479" s="2204">
        <f>[16]BV!BQM395</f>
        <v>0</v>
      </c>
      <c r="BQC479" s="2204"/>
      <c r="BQD479" s="2204"/>
      <c r="BQE479" s="2204">
        <f t="shared" si="58"/>
        <v>0</v>
      </c>
      <c r="BQF479" s="2204">
        <f>[16]BV!BQQ395</f>
        <v>0</v>
      </c>
      <c r="BQG479" s="2204"/>
      <c r="BQH479" s="2204"/>
      <c r="BQI479" s="2204">
        <f t="shared" si="58"/>
        <v>0</v>
      </c>
      <c r="BQJ479" s="2204">
        <f>[16]BV!BQU395</f>
        <v>0</v>
      </c>
      <c r="BQK479" s="2204"/>
      <c r="BQL479" s="2204"/>
      <c r="BQM479" s="2204">
        <f t="shared" si="58"/>
        <v>0</v>
      </c>
      <c r="BQN479" s="2204">
        <f>[16]BV!BQY395</f>
        <v>0</v>
      </c>
      <c r="BQO479" s="2204"/>
      <c r="BQP479" s="2204"/>
      <c r="BQQ479" s="2204">
        <f t="shared" si="58"/>
        <v>0</v>
      </c>
      <c r="BQR479" s="2204">
        <f>[16]BV!BRC395</f>
        <v>0</v>
      </c>
      <c r="BQS479" s="2204"/>
      <c r="BQT479" s="2204"/>
      <c r="BQU479" s="2204">
        <f t="shared" si="58"/>
        <v>0</v>
      </c>
      <c r="BQV479" s="2204">
        <f>[16]BV!BRG395</f>
        <v>0</v>
      </c>
      <c r="BQW479" s="2204"/>
      <c r="BQX479" s="2204"/>
      <c r="BQY479" s="2204">
        <f t="shared" si="58"/>
        <v>0</v>
      </c>
      <c r="BQZ479" s="2204">
        <f>[16]BV!BRK395</f>
        <v>0</v>
      </c>
      <c r="BRA479" s="2204"/>
      <c r="BRB479" s="2204"/>
      <c r="BRC479" s="2204">
        <f t="shared" si="58"/>
        <v>0</v>
      </c>
      <c r="BRD479" s="2204">
        <f>[16]BV!BRO395</f>
        <v>0</v>
      </c>
      <c r="BRE479" s="2204"/>
      <c r="BRF479" s="2204"/>
      <c r="BRG479" s="2204">
        <f t="shared" si="58"/>
        <v>0</v>
      </c>
      <c r="BRH479" s="2204">
        <f>[16]BV!BRS395</f>
        <v>0</v>
      </c>
      <c r="BRI479" s="2204"/>
      <c r="BRJ479" s="2204"/>
      <c r="BRK479" s="2204">
        <f t="shared" si="58"/>
        <v>0</v>
      </c>
      <c r="BRL479" s="2204">
        <f>[16]BV!BRW395</f>
        <v>0</v>
      </c>
      <c r="BRM479" s="2204"/>
      <c r="BRN479" s="2204"/>
      <c r="BRO479" s="2204">
        <f t="shared" si="58"/>
        <v>0</v>
      </c>
      <c r="BRP479" s="2204">
        <f>[16]BV!BSA395</f>
        <v>0</v>
      </c>
      <c r="BRQ479" s="2204"/>
      <c r="BRR479" s="2204"/>
      <c r="BRS479" s="2204">
        <f t="shared" si="58"/>
        <v>0</v>
      </c>
      <c r="BRT479" s="2204">
        <f>[16]BV!BSE395</f>
        <v>0</v>
      </c>
      <c r="BRU479" s="2204"/>
      <c r="BRV479" s="2204"/>
      <c r="BRW479" s="2204">
        <f t="shared" si="58"/>
        <v>0</v>
      </c>
      <c r="BRX479" s="2204">
        <f>[16]BV!BSI395</f>
        <v>0</v>
      </c>
      <c r="BRY479" s="2204"/>
      <c r="BRZ479" s="2204"/>
      <c r="BSA479" s="2204">
        <f t="shared" si="58"/>
        <v>0</v>
      </c>
      <c r="BSB479" s="2204">
        <f>[16]BV!BSM395</f>
        <v>0</v>
      </c>
      <c r="BSC479" s="2204"/>
      <c r="BSD479" s="2204"/>
      <c r="BSE479" s="2204">
        <f t="shared" si="58"/>
        <v>0</v>
      </c>
      <c r="BSF479" s="2204">
        <f>[16]BV!BSQ395</f>
        <v>0</v>
      </c>
      <c r="BSG479" s="2204"/>
      <c r="BSH479" s="2204"/>
      <c r="BSI479" s="2204">
        <f t="shared" si="58"/>
        <v>0</v>
      </c>
      <c r="BSJ479" s="2204">
        <f>[16]BV!BSU395</f>
        <v>0</v>
      </c>
      <c r="BSK479" s="2204"/>
      <c r="BSL479" s="2204"/>
      <c r="BSM479" s="2204">
        <f t="shared" ref="BSM479:BUU479" si="59">BSJ479</f>
        <v>0</v>
      </c>
      <c r="BSN479" s="2204">
        <f>[16]BV!BSY395</f>
        <v>0</v>
      </c>
      <c r="BSO479" s="2204"/>
      <c r="BSP479" s="2204"/>
      <c r="BSQ479" s="2204">
        <f t="shared" si="59"/>
        <v>0</v>
      </c>
      <c r="BSR479" s="2204">
        <f>[16]BV!BTC395</f>
        <v>0</v>
      </c>
      <c r="BSS479" s="2204"/>
      <c r="BST479" s="2204"/>
      <c r="BSU479" s="2204">
        <f t="shared" si="59"/>
        <v>0</v>
      </c>
      <c r="BSV479" s="2204">
        <f>[16]BV!BTG395</f>
        <v>0</v>
      </c>
      <c r="BSW479" s="2204"/>
      <c r="BSX479" s="2204"/>
      <c r="BSY479" s="2204">
        <f t="shared" si="59"/>
        <v>0</v>
      </c>
      <c r="BSZ479" s="2204">
        <f>[16]BV!BTK395</f>
        <v>0</v>
      </c>
      <c r="BTA479" s="2204"/>
      <c r="BTB479" s="2204"/>
      <c r="BTC479" s="2204">
        <f t="shared" si="59"/>
        <v>0</v>
      </c>
      <c r="BTD479" s="2204">
        <f>[16]BV!BTO395</f>
        <v>0</v>
      </c>
      <c r="BTE479" s="2204"/>
      <c r="BTF479" s="2204"/>
      <c r="BTG479" s="2204">
        <f t="shared" si="59"/>
        <v>0</v>
      </c>
      <c r="BTH479" s="2204">
        <f>[16]BV!BTS395</f>
        <v>0</v>
      </c>
      <c r="BTI479" s="2204"/>
      <c r="BTJ479" s="2204"/>
      <c r="BTK479" s="2204">
        <f t="shared" si="59"/>
        <v>0</v>
      </c>
      <c r="BTL479" s="2204">
        <f>[16]BV!BTW395</f>
        <v>0</v>
      </c>
      <c r="BTM479" s="2204"/>
      <c r="BTN479" s="2204"/>
      <c r="BTO479" s="2204">
        <f t="shared" si="59"/>
        <v>0</v>
      </c>
      <c r="BTP479" s="2204">
        <f>[16]BV!BUA395</f>
        <v>0</v>
      </c>
      <c r="BTQ479" s="2204"/>
      <c r="BTR479" s="2204"/>
      <c r="BTS479" s="2204">
        <f t="shared" si="59"/>
        <v>0</v>
      </c>
      <c r="BTT479" s="2204">
        <f>[16]BV!BUE395</f>
        <v>0</v>
      </c>
      <c r="BTU479" s="2204"/>
      <c r="BTV479" s="2204"/>
      <c r="BTW479" s="2204">
        <f t="shared" si="59"/>
        <v>0</v>
      </c>
      <c r="BTX479" s="2204">
        <f>[16]BV!BUI395</f>
        <v>0</v>
      </c>
      <c r="BTY479" s="2204"/>
      <c r="BTZ479" s="2204"/>
      <c r="BUA479" s="2204">
        <f t="shared" si="59"/>
        <v>0</v>
      </c>
      <c r="BUB479" s="2204">
        <f>[16]BV!BUM395</f>
        <v>0</v>
      </c>
      <c r="BUC479" s="2204"/>
      <c r="BUD479" s="2204"/>
      <c r="BUE479" s="2204">
        <f t="shared" si="59"/>
        <v>0</v>
      </c>
      <c r="BUF479" s="2204">
        <f>[16]BV!BUQ395</f>
        <v>0</v>
      </c>
      <c r="BUG479" s="2204"/>
      <c r="BUH479" s="2204"/>
      <c r="BUI479" s="2204">
        <f t="shared" si="59"/>
        <v>0</v>
      </c>
      <c r="BUJ479" s="2204">
        <f>[16]BV!BUU395</f>
        <v>0</v>
      </c>
      <c r="BUK479" s="2204"/>
      <c r="BUL479" s="2204"/>
      <c r="BUM479" s="2204">
        <f t="shared" si="59"/>
        <v>0</v>
      </c>
      <c r="BUN479" s="2204">
        <f>[16]BV!BUY395</f>
        <v>0</v>
      </c>
      <c r="BUO479" s="2204"/>
      <c r="BUP479" s="2204"/>
      <c r="BUQ479" s="2204">
        <f t="shared" si="59"/>
        <v>0</v>
      </c>
      <c r="BUR479" s="2204">
        <f>[16]BV!BVC395</f>
        <v>0</v>
      </c>
      <c r="BUS479" s="2204"/>
      <c r="BUT479" s="2204"/>
      <c r="BUU479" s="2204">
        <f t="shared" si="59"/>
        <v>0</v>
      </c>
      <c r="BUV479" s="2204">
        <f>[16]BV!BVG395</f>
        <v>0</v>
      </c>
      <c r="BUW479" s="2204"/>
      <c r="BUX479" s="2204"/>
      <c r="BUY479" s="2204">
        <f t="shared" ref="BUY479:BXG479" si="60">BUV479</f>
        <v>0</v>
      </c>
      <c r="BUZ479" s="2204">
        <f>[16]BV!BVK395</f>
        <v>0</v>
      </c>
      <c r="BVA479" s="2204"/>
      <c r="BVB479" s="2204"/>
      <c r="BVC479" s="2204">
        <f t="shared" si="60"/>
        <v>0</v>
      </c>
      <c r="BVD479" s="2204">
        <f>[16]BV!BVO395</f>
        <v>0</v>
      </c>
      <c r="BVE479" s="2204"/>
      <c r="BVF479" s="2204"/>
      <c r="BVG479" s="2204">
        <f t="shared" si="60"/>
        <v>0</v>
      </c>
      <c r="BVH479" s="2204">
        <f>[16]BV!BVS395</f>
        <v>0</v>
      </c>
      <c r="BVI479" s="2204"/>
      <c r="BVJ479" s="2204"/>
      <c r="BVK479" s="2204">
        <f t="shared" si="60"/>
        <v>0</v>
      </c>
      <c r="BVL479" s="2204">
        <f>[16]BV!BVW395</f>
        <v>0</v>
      </c>
      <c r="BVM479" s="2204"/>
      <c r="BVN479" s="2204"/>
      <c r="BVO479" s="2204">
        <f t="shared" si="60"/>
        <v>0</v>
      </c>
      <c r="BVP479" s="2204">
        <f>[16]BV!BWA395</f>
        <v>0</v>
      </c>
      <c r="BVQ479" s="2204"/>
      <c r="BVR479" s="2204"/>
      <c r="BVS479" s="2204">
        <f t="shared" si="60"/>
        <v>0</v>
      </c>
      <c r="BVT479" s="2204">
        <f>[16]BV!BWE395</f>
        <v>0</v>
      </c>
      <c r="BVU479" s="2204"/>
      <c r="BVV479" s="2204"/>
      <c r="BVW479" s="2204">
        <f t="shared" si="60"/>
        <v>0</v>
      </c>
      <c r="BVX479" s="2204">
        <f>[16]BV!BWI395</f>
        <v>0</v>
      </c>
      <c r="BVY479" s="2204"/>
      <c r="BVZ479" s="2204"/>
      <c r="BWA479" s="2204">
        <f t="shared" si="60"/>
        <v>0</v>
      </c>
      <c r="BWB479" s="2204">
        <f>[16]BV!BWM395</f>
        <v>0</v>
      </c>
      <c r="BWC479" s="2204"/>
      <c r="BWD479" s="2204"/>
      <c r="BWE479" s="2204">
        <f t="shared" si="60"/>
        <v>0</v>
      </c>
      <c r="BWF479" s="2204">
        <f>[16]BV!BWQ395</f>
        <v>0</v>
      </c>
      <c r="BWG479" s="2204"/>
      <c r="BWH479" s="2204"/>
      <c r="BWI479" s="2204">
        <f t="shared" si="60"/>
        <v>0</v>
      </c>
      <c r="BWJ479" s="2204">
        <f>[16]BV!BWU395</f>
        <v>0</v>
      </c>
      <c r="BWK479" s="2204"/>
      <c r="BWL479" s="2204"/>
      <c r="BWM479" s="2204">
        <f t="shared" si="60"/>
        <v>0</v>
      </c>
      <c r="BWN479" s="2204">
        <f>[16]BV!BWY395</f>
        <v>0</v>
      </c>
      <c r="BWO479" s="2204"/>
      <c r="BWP479" s="2204"/>
      <c r="BWQ479" s="2204">
        <f t="shared" si="60"/>
        <v>0</v>
      </c>
      <c r="BWR479" s="2204">
        <f>[16]BV!BXC395</f>
        <v>0</v>
      </c>
      <c r="BWS479" s="2204"/>
      <c r="BWT479" s="2204"/>
      <c r="BWU479" s="2204">
        <f t="shared" si="60"/>
        <v>0</v>
      </c>
      <c r="BWV479" s="2204">
        <f>[16]BV!BXG395</f>
        <v>0</v>
      </c>
      <c r="BWW479" s="2204"/>
      <c r="BWX479" s="2204"/>
      <c r="BWY479" s="2204">
        <f t="shared" si="60"/>
        <v>0</v>
      </c>
      <c r="BWZ479" s="2204">
        <f>[16]BV!BXK395</f>
        <v>0</v>
      </c>
      <c r="BXA479" s="2204"/>
      <c r="BXB479" s="2204"/>
      <c r="BXC479" s="2204">
        <f t="shared" si="60"/>
        <v>0</v>
      </c>
      <c r="BXD479" s="2204">
        <f>[16]BV!BXO395</f>
        <v>0</v>
      </c>
      <c r="BXE479" s="2204"/>
      <c r="BXF479" s="2204"/>
      <c r="BXG479" s="2204">
        <f t="shared" si="60"/>
        <v>0</v>
      </c>
      <c r="BXH479" s="2204">
        <f>[16]BV!BXS395</f>
        <v>0</v>
      </c>
      <c r="BXI479" s="2204"/>
      <c r="BXJ479" s="2204"/>
      <c r="BXK479" s="2204">
        <f t="shared" ref="BXK479:BZS479" si="61">BXH479</f>
        <v>0</v>
      </c>
      <c r="BXL479" s="2204">
        <f>[16]BV!BXW395</f>
        <v>0</v>
      </c>
      <c r="BXM479" s="2204"/>
      <c r="BXN479" s="2204"/>
      <c r="BXO479" s="2204">
        <f t="shared" si="61"/>
        <v>0</v>
      </c>
      <c r="BXP479" s="2204">
        <f>[16]BV!BYA395</f>
        <v>0</v>
      </c>
      <c r="BXQ479" s="2204"/>
      <c r="BXR479" s="2204"/>
      <c r="BXS479" s="2204">
        <f t="shared" si="61"/>
        <v>0</v>
      </c>
      <c r="BXT479" s="2204">
        <f>[16]BV!BYE395</f>
        <v>0</v>
      </c>
      <c r="BXU479" s="2204"/>
      <c r="BXV479" s="2204"/>
      <c r="BXW479" s="2204">
        <f t="shared" si="61"/>
        <v>0</v>
      </c>
      <c r="BXX479" s="2204">
        <f>[16]BV!BYI395</f>
        <v>0</v>
      </c>
      <c r="BXY479" s="2204"/>
      <c r="BXZ479" s="2204"/>
      <c r="BYA479" s="2204">
        <f t="shared" si="61"/>
        <v>0</v>
      </c>
      <c r="BYB479" s="2204">
        <f>[16]BV!BYM395</f>
        <v>0</v>
      </c>
      <c r="BYC479" s="2204"/>
      <c r="BYD479" s="2204"/>
      <c r="BYE479" s="2204">
        <f t="shared" si="61"/>
        <v>0</v>
      </c>
      <c r="BYF479" s="2204">
        <f>[16]BV!BYQ395</f>
        <v>0</v>
      </c>
      <c r="BYG479" s="2204"/>
      <c r="BYH479" s="2204"/>
      <c r="BYI479" s="2204">
        <f t="shared" si="61"/>
        <v>0</v>
      </c>
      <c r="BYJ479" s="2204">
        <f>[16]BV!BYU395</f>
        <v>0</v>
      </c>
      <c r="BYK479" s="2204"/>
      <c r="BYL479" s="2204"/>
      <c r="BYM479" s="2204">
        <f t="shared" si="61"/>
        <v>0</v>
      </c>
      <c r="BYN479" s="2204">
        <f>[16]BV!BYY395</f>
        <v>0</v>
      </c>
      <c r="BYO479" s="2204"/>
      <c r="BYP479" s="2204"/>
      <c r="BYQ479" s="2204">
        <f t="shared" si="61"/>
        <v>0</v>
      </c>
      <c r="BYR479" s="2204">
        <f>[16]BV!BZC395</f>
        <v>0</v>
      </c>
      <c r="BYS479" s="2204"/>
      <c r="BYT479" s="2204"/>
      <c r="BYU479" s="2204">
        <f t="shared" si="61"/>
        <v>0</v>
      </c>
      <c r="BYV479" s="2204">
        <f>[16]BV!BZG395</f>
        <v>0</v>
      </c>
      <c r="BYW479" s="2204"/>
      <c r="BYX479" s="2204"/>
      <c r="BYY479" s="2204">
        <f t="shared" si="61"/>
        <v>0</v>
      </c>
      <c r="BYZ479" s="2204">
        <f>[16]BV!BZK395</f>
        <v>0</v>
      </c>
      <c r="BZA479" s="2204"/>
      <c r="BZB479" s="2204"/>
      <c r="BZC479" s="2204">
        <f t="shared" si="61"/>
        <v>0</v>
      </c>
      <c r="BZD479" s="2204">
        <f>[16]BV!BZO395</f>
        <v>0</v>
      </c>
      <c r="BZE479" s="2204"/>
      <c r="BZF479" s="2204"/>
      <c r="BZG479" s="2204">
        <f t="shared" si="61"/>
        <v>0</v>
      </c>
      <c r="BZH479" s="2204">
        <f>[16]BV!BZS395</f>
        <v>0</v>
      </c>
      <c r="BZI479" s="2204"/>
      <c r="BZJ479" s="2204"/>
      <c r="BZK479" s="2204">
        <f t="shared" si="61"/>
        <v>0</v>
      </c>
      <c r="BZL479" s="2204">
        <f>[16]BV!BZW395</f>
        <v>0</v>
      </c>
      <c r="BZM479" s="2204"/>
      <c r="BZN479" s="2204"/>
      <c r="BZO479" s="2204">
        <f t="shared" si="61"/>
        <v>0</v>
      </c>
      <c r="BZP479" s="2204">
        <f>[16]BV!CAA395</f>
        <v>0</v>
      </c>
      <c r="BZQ479" s="2204"/>
      <c r="BZR479" s="2204"/>
      <c r="BZS479" s="2204">
        <f t="shared" si="61"/>
        <v>0</v>
      </c>
      <c r="BZT479" s="2204">
        <f>[16]BV!CAE395</f>
        <v>0</v>
      </c>
      <c r="BZU479" s="2204"/>
      <c r="BZV479" s="2204"/>
      <c r="BZW479" s="2204">
        <f t="shared" ref="BZW479:CCE479" si="62">BZT479</f>
        <v>0</v>
      </c>
      <c r="BZX479" s="2204">
        <f>[16]BV!CAI395</f>
        <v>0</v>
      </c>
      <c r="BZY479" s="2204"/>
      <c r="BZZ479" s="2204"/>
      <c r="CAA479" s="2204">
        <f t="shared" si="62"/>
        <v>0</v>
      </c>
      <c r="CAB479" s="2204">
        <f>[16]BV!CAM395</f>
        <v>0</v>
      </c>
      <c r="CAC479" s="2204"/>
      <c r="CAD479" s="2204"/>
      <c r="CAE479" s="2204">
        <f t="shared" si="62"/>
        <v>0</v>
      </c>
      <c r="CAF479" s="2204">
        <f>[16]BV!CAQ395</f>
        <v>0</v>
      </c>
      <c r="CAG479" s="2204"/>
      <c r="CAH479" s="2204"/>
      <c r="CAI479" s="2204">
        <f t="shared" si="62"/>
        <v>0</v>
      </c>
      <c r="CAJ479" s="2204">
        <f>[16]BV!CAU395</f>
        <v>0</v>
      </c>
      <c r="CAK479" s="2204"/>
      <c r="CAL479" s="2204"/>
      <c r="CAM479" s="2204">
        <f t="shared" si="62"/>
        <v>0</v>
      </c>
      <c r="CAN479" s="2204">
        <f>[16]BV!CAY395</f>
        <v>0</v>
      </c>
      <c r="CAO479" s="2204"/>
      <c r="CAP479" s="2204"/>
      <c r="CAQ479" s="2204">
        <f t="shared" si="62"/>
        <v>0</v>
      </c>
      <c r="CAR479" s="2204">
        <f>[16]BV!CBC395</f>
        <v>0</v>
      </c>
      <c r="CAS479" s="2204"/>
      <c r="CAT479" s="2204"/>
      <c r="CAU479" s="2204">
        <f t="shared" si="62"/>
        <v>0</v>
      </c>
      <c r="CAV479" s="2204">
        <f>[16]BV!CBG395</f>
        <v>0</v>
      </c>
      <c r="CAW479" s="2204"/>
      <c r="CAX479" s="2204"/>
      <c r="CAY479" s="2204">
        <f t="shared" si="62"/>
        <v>0</v>
      </c>
      <c r="CAZ479" s="2204">
        <f>[16]BV!CBK395</f>
        <v>0</v>
      </c>
      <c r="CBA479" s="2204"/>
      <c r="CBB479" s="2204"/>
      <c r="CBC479" s="2204">
        <f t="shared" si="62"/>
        <v>0</v>
      </c>
      <c r="CBD479" s="2204">
        <f>[16]BV!CBO395</f>
        <v>0</v>
      </c>
      <c r="CBE479" s="2204"/>
      <c r="CBF479" s="2204"/>
      <c r="CBG479" s="2204">
        <f t="shared" si="62"/>
        <v>0</v>
      </c>
      <c r="CBH479" s="2204">
        <f>[16]BV!CBS395</f>
        <v>0</v>
      </c>
      <c r="CBI479" s="2204"/>
      <c r="CBJ479" s="2204"/>
      <c r="CBK479" s="2204">
        <f t="shared" si="62"/>
        <v>0</v>
      </c>
      <c r="CBL479" s="2204">
        <f>[16]BV!CBW395</f>
        <v>0</v>
      </c>
      <c r="CBM479" s="2204"/>
      <c r="CBN479" s="2204"/>
      <c r="CBO479" s="2204">
        <f t="shared" si="62"/>
        <v>0</v>
      </c>
      <c r="CBP479" s="2204">
        <f>[16]BV!CCA395</f>
        <v>0</v>
      </c>
      <c r="CBQ479" s="2204"/>
      <c r="CBR479" s="2204"/>
      <c r="CBS479" s="2204">
        <f t="shared" si="62"/>
        <v>0</v>
      </c>
      <c r="CBT479" s="2204">
        <f>[16]BV!CCE395</f>
        <v>0</v>
      </c>
      <c r="CBU479" s="2204"/>
      <c r="CBV479" s="2204"/>
      <c r="CBW479" s="2204">
        <f t="shared" si="62"/>
        <v>0</v>
      </c>
      <c r="CBX479" s="2204">
        <f>[16]BV!CCI395</f>
        <v>0</v>
      </c>
      <c r="CBY479" s="2204"/>
      <c r="CBZ479" s="2204"/>
      <c r="CCA479" s="2204">
        <f t="shared" si="62"/>
        <v>0</v>
      </c>
      <c r="CCB479" s="2204">
        <f>[16]BV!CCM395</f>
        <v>0</v>
      </c>
      <c r="CCC479" s="2204"/>
      <c r="CCD479" s="2204"/>
      <c r="CCE479" s="2204">
        <f t="shared" si="62"/>
        <v>0</v>
      </c>
      <c r="CCF479" s="2204">
        <f>[16]BV!CCQ395</f>
        <v>0</v>
      </c>
      <c r="CCG479" s="2204"/>
      <c r="CCH479" s="2204"/>
      <c r="CCI479" s="2204">
        <f t="shared" ref="CCI479:CEQ479" si="63">CCF479</f>
        <v>0</v>
      </c>
      <c r="CCJ479" s="2204">
        <f>[16]BV!CCU395</f>
        <v>0</v>
      </c>
      <c r="CCK479" s="2204"/>
      <c r="CCL479" s="2204"/>
      <c r="CCM479" s="2204">
        <f t="shared" si="63"/>
        <v>0</v>
      </c>
      <c r="CCN479" s="2204">
        <f>[16]BV!CCY395</f>
        <v>0</v>
      </c>
      <c r="CCO479" s="2204"/>
      <c r="CCP479" s="2204"/>
      <c r="CCQ479" s="2204">
        <f t="shared" si="63"/>
        <v>0</v>
      </c>
      <c r="CCR479" s="2204">
        <f>[16]BV!CDC395</f>
        <v>0</v>
      </c>
      <c r="CCS479" s="2204"/>
      <c r="CCT479" s="2204"/>
      <c r="CCU479" s="2204">
        <f t="shared" si="63"/>
        <v>0</v>
      </c>
      <c r="CCV479" s="2204">
        <f>[16]BV!CDG395</f>
        <v>0</v>
      </c>
      <c r="CCW479" s="2204"/>
      <c r="CCX479" s="2204"/>
      <c r="CCY479" s="2204">
        <f t="shared" si="63"/>
        <v>0</v>
      </c>
      <c r="CCZ479" s="2204">
        <f>[16]BV!CDK395</f>
        <v>0</v>
      </c>
      <c r="CDA479" s="2204"/>
      <c r="CDB479" s="2204"/>
      <c r="CDC479" s="2204">
        <f t="shared" si="63"/>
        <v>0</v>
      </c>
      <c r="CDD479" s="2204">
        <f>[16]BV!CDO395</f>
        <v>0</v>
      </c>
      <c r="CDE479" s="2204"/>
      <c r="CDF479" s="2204"/>
      <c r="CDG479" s="2204">
        <f t="shared" si="63"/>
        <v>0</v>
      </c>
      <c r="CDH479" s="2204">
        <f>[16]BV!CDS395</f>
        <v>0</v>
      </c>
      <c r="CDI479" s="2204"/>
      <c r="CDJ479" s="2204"/>
      <c r="CDK479" s="2204">
        <f t="shared" si="63"/>
        <v>0</v>
      </c>
      <c r="CDL479" s="2204">
        <f>[16]BV!CDW395</f>
        <v>0</v>
      </c>
      <c r="CDM479" s="2204"/>
      <c r="CDN479" s="2204"/>
      <c r="CDO479" s="2204">
        <f t="shared" si="63"/>
        <v>0</v>
      </c>
      <c r="CDP479" s="2204">
        <f>[16]BV!CEA395</f>
        <v>0</v>
      </c>
      <c r="CDQ479" s="2204"/>
      <c r="CDR479" s="2204"/>
      <c r="CDS479" s="2204">
        <f t="shared" si="63"/>
        <v>0</v>
      </c>
      <c r="CDT479" s="2204">
        <f>[16]BV!CEE395</f>
        <v>0</v>
      </c>
      <c r="CDU479" s="2204"/>
      <c r="CDV479" s="2204"/>
      <c r="CDW479" s="2204">
        <f t="shared" si="63"/>
        <v>0</v>
      </c>
      <c r="CDX479" s="2204">
        <f>[16]BV!CEI395</f>
        <v>0</v>
      </c>
      <c r="CDY479" s="2204"/>
      <c r="CDZ479" s="2204"/>
      <c r="CEA479" s="2204">
        <f t="shared" si="63"/>
        <v>0</v>
      </c>
      <c r="CEB479" s="2204">
        <f>[16]BV!CEM395</f>
        <v>0</v>
      </c>
      <c r="CEC479" s="2204"/>
      <c r="CED479" s="2204"/>
      <c r="CEE479" s="2204">
        <f t="shared" si="63"/>
        <v>0</v>
      </c>
      <c r="CEF479" s="2204">
        <f>[16]BV!CEQ395</f>
        <v>0</v>
      </c>
      <c r="CEG479" s="2204"/>
      <c r="CEH479" s="2204"/>
      <c r="CEI479" s="2204">
        <f t="shared" si="63"/>
        <v>0</v>
      </c>
      <c r="CEJ479" s="2204">
        <f>[16]BV!CEU395</f>
        <v>0</v>
      </c>
      <c r="CEK479" s="2204"/>
      <c r="CEL479" s="2204"/>
      <c r="CEM479" s="2204">
        <f t="shared" si="63"/>
        <v>0</v>
      </c>
      <c r="CEN479" s="2204">
        <f>[16]BV!CEY395</f>
        <v>0</v>
      </c>
      <c r="CEO479" s="2204"/>
      <c r="CEP479" s="2204"/>
      <c r="CEQ479" s="2204">
        <f t="shared" si="63"/>
        <v>0</v>
      </c>
      <c r="CER479" s="2204">
        <f>[16]BV!CFC395</f>
        <v>0</v>
      </c>
      <c r="CES479" s="2204"/>
      <c r="CET479" s="2204"/>
      <c r="CEU479" s="2204">
        <f t="shared" ref="CEU479:CHC479" si="64">CER479</f>
        <v>0</v>
      </c>
      <c r="CEV479" s="2204">
        <f>[16]BV!CFG395</f>
        <v>0</v>
      </c>
      <c r="CEW479" s="2204"/>
      <c r="CEX479" s="2204"/>
      <c r="CEY479" s="2204">
        <f t="shared" si="64"/>
        <v>0</v>
      </c>
      <c r="CEZ479" s="2204">
        <f>[16]BV!CFK395</f>
        <v>0</v>
      </c>
      <c r="CFA479" s="2204"/>
      <c r="CFB479" s="2204"/>
      <c r="CFC479" s="2204">
        <f t="shared" si="64"/>
        <v>0</v>
      </c>
      <c r="CFD479" s="2204">
        <f>[16]BV!CFO395</f>
        <v>0</v>
      </c>
      <c r="CFE479" s="2204"/>
      <c r="CFF479" s="2204"/>
      <c r="CFG479" s="2204">
        <f t="shared" si="64"/>
        <v>0</v>
      </c>
      <c r="CFH479" s="2204">
        <f>[16]BV!CFS395</f>
        <v>0</v>
      </c>
      <c r="CFI479" s="2204"/>
      <c r="CFJ479" s="2204"/>
      <c r="CFK479" s="2204">
        <f t="shared" si="64"/>
        <v>0</v>
      </c>
      <c r="CFL479" s="2204">
        <f>[16]BV!CFW395</f>
        <v>0</v>
      </c>
      <c r="CFM479" s="2204"/>
      <c r="CFN479" s="2204"/>
      <c r="CFO479" s="2204">
        <f t="shared" si="64"/>
        <v>0</v>
      </c>
      <c r="CFP479" s="2204">
        <f>[16]BV!CGA395</f>
        <v>0</v>
      </c>
      <c r="CFQ479" s="2204"/>
      <c r="CFR479" s="2204"/>
      <c r="CFS479" s="2204">
        <f t="shared" si="64"/>
        <v>0</v>
      </c>
      <c r="CFT479" s="2204">
        <f>[16]BV!CGE395</f>
        <v>0</v>
      </c>
      <c r="CFU479" s="2204"/>
      <c r="CFV479" s="2204"/>
      <c r="CFW479" s="2204">
        <f t="shared" si="64"/>
        <v>0</v>
      </c>
      <c r="CFX479" s="2204">
        <f>[16]BV!CGI395</f>
        <v>0</v>
      </c>
      <c r="CFY479" s="2204"/>
      <c r="CFZ479" s="2204"/>
      <c r="CGA479" s="2204">
        <f t="shared" si="64"/>
        <v>0</v>
      </c>
      <c r="CGB479" s="2204">
        <f>[16]BV!CGM395</f>
        <v>0</v>
      </c>
      <c r="CGC479" s="2204"/>
      <c r="CGD479" s="2204"/>
      <c r="CGE479" s="2204">
        <f t="shared" si="64"/>
        <v>0</v>
      </c>
      <c r="CGF479" s="2204">
        <f>[16]BV!CGQ395</f>
        <v>0</v>
      </c>
      <c r="CGG479" s="2204"/>
      <c r="CGH479" s="2204"/>
      <c r="CGI479" s="2204">
        <f t="shared" si="64"/>
        <v>0</v>
      </c>
      <c r="CGJ479" s="2204">
        <f>[16]BV!CGU395</f>
        <v>0</v>
      </c>
      <c r="CGK479" s="2204"/>
      <c r="CGL479" s="2204"/>
      <c r="CGM479" s="2204">
        <f t="shared" si="64"/>
        <v>0</v>
      </c>
      <c r="CGN479" s="2204">
        <f>[16]BV!CGY395</f>
        <v>0</v>
      </c>
      <c r="CGO479" s="2204"/>
      <c r="CGP479" s="2204"/>
      <c r="CGQ479" s="2204">
        <f t="shared" si="64"/>
        <v>0</v>
      </c>
      <c r="CGR479" s="2204">
        <f>[16]BV!CHC395</f>
        <v>0</v>
      </c>
      <c r="CGS479" s="2204"/>
      <c r="CGT479" s="2204"/>
      <c r="CGU479" s="2204">
        <f t="shared" si="64"/>
        <v>0</v>
      </c>
      <c r="CGV479" s="2204">
        <f>[16]BV!CHG395</f>
        <v>0</v>
      </c>
      <c r="CGW479" s="2204"/>
      <c r="CGX479" s="2204"/>
      <c r="CGY479" s="2204">
        <f t="shared" si="64"/>
        <v>0</v>
      </c>
      <c r="CGZ479" s="2204">
        <f>[16]BV!CHK395</f>
        <v>0</v>
      </c>
      <c r="CHA479" s="2204"/>
      <c r="CHB479" s="2204"/>
      <c r="CHC479" s="2204">
        <f t="shared" si="64"/>
        <v>0</v>
      </c>
      <c r="CHD479" s="2204">
        <f>[16]BV!CHO395</f>
        <v>0</v>
      </c>
      <c r="CHE479" s="2204"/>
      <c r="CHF479" s="2204"/>
      <c r="CHG479" s="2204">
        <f t="shared" ref="CHG479:CJO479" si="65">CHD479</f>
        <v>0</v>
      </c>
      <c r="CHH479" s="2204">
        <f>[16]BV!CHS395</f>
        <v>0</v>
      </c>
      <c r="CHI479" s="2204"/>
      <c r="CHJ479" s="2204"/>
      <c r="CHK479" s="2204">
        <f t="shared" si="65"/>
        <v>0</v>
      </c>
      <c r="CHL479" s="2204">
        <f>[16]BV!CHW395</f>
        <v>0</v>
      </c>
      <c r="CHM479" s="2204"/>
      <c r="CHN479" s="2204"/>
      <c r="CHO479" s="2204">
        <f t="shared" si="65"/>
        <v>0</v>
      </c>
      <c r="CHP479" s="2204">
        <f>[16]BV!CIA395</f>
        <v>0</v>
      </c>
      <c r="CHQ479" s="2204"/>
      <c r="CHR479" s="2204"/>
      <c r="CHS479" s="2204">
        <f t="shared" si="65"/>
        <v>0</v>
      </c>
      <c r="CHT479" s="2204">
        <f>[16]BV!CIE395</f>
        <v>0</v>
      </c>
      <c r="CHU479" s="2204"/>
      <c r="CHV479" s="2204"/>
      <c r="CHW479" s="2204">
        <f t="shared" si="65"/>
        <v>0</v>
      </c>
      <c r="CHX479" s="2204">
        <f>[16]BV!CII395</f>
        <v>0</v>
      </c>
      <c r="CHY479" s="2204"/>
      <c r="CHZ479" s="2204"/>
      <c r="CIA479" s="2204">
        <f t="shared" si="65"/>
        <v>0</v>
      </c>
      <c r="CIB479" s="2204">
        <f>[16]BV!CIM395</f>
        <v>0</v>
      </c>
      <c r="CIC479" s="2204"/>
      <c r="CID479" s="2204"/>
      <c r="CIE479" s="2204">
        <f t="shared" si="65"/>
        <v>0</v>
      </c>
      <c r="CIF479" s="2204">
        <f>[16]BV!CIQ395</f>
        <v>0</v>
      </c>
      <c r="CIG479" s="2204"/>
      <c r="CIH479" s="2204"/>
      <c r="CII479" s="2204">
        <f t="shared" si="65"/>
        <v>0</v>
      </c>
      <c r="CIJ479" s="2204">
        <f>[16]BV!CIU395</f>
        <v>0</v>
      </c>
      <c r="CIK479" s="2204"/>
      <c r="CIL479" s="2204"/>
      <c r="CIM479" s="2204">
        <f t="shared" si="65"/>
        <v>0</v>
      </c>
      <c r="CIN479" s="2204">
        <f>[16]BV!CIY395</f>
        <v>0</v>
      </c>
      <c r="CIO479" s="2204"/>
      <c r="CIP479" s="2204"/>
      <c r="CIQ479" s="2204">
        <f t="shared" si="65"/>
        <v>0</v>
      </c>
      <c r="CIR479" s="2204">
        <f>[16]BV!CJC395</f>
        <v>0</v>
      </c>
      <c r="CIS479" s="2204"/>
      <c r="CIT479" s="2204"/>
      <c r="CIU479" s="2204">
        <f t="shared" si="65"/>
        <v>0</v>
      </c>
      <c r="CIV479" s="2204">
        <f>[16]BV!CJG395</f>
        <v>0</v>
      </c>
      <c r="CIW479" s="2204"/>
      <c r="CIX479" s="2204"/>
      <c r="CIY479" s="2204">
        <f t="shared" si="65"/>
        <v>0</v>
      </c>
      <c r="CIZ479" s="2204">
        <f>[16]BV!CJK395</f>
        <v>0</v>
      </c>
      <c r="CJA479" s="2204"/>
      <c r="CJB479" s="2204"/>
      <c r="CJC479" s="2204">
        <f t="shared" si="65"/>
        <v>0</v>
      </c>
      <c r="CJD479" s="2204">
        <f>[16]BV!CJO395</f>
        <v>0</v>
      </c>
      <c r="CJE479" s="2204"/>
      <c r="CJF479" s="2204"/>
      <c r="CJG479" s="2204">
        <f t="shared" si="65"/>
        <v>0</v>
      </c>
      <c r="CJH479" s="2204">
        <f>[16]BV!CJS395</f>
        <v>0</v>
      </c>
      <c r="CJI479" s="2204"/>
      <c r="CJJ479" s="2204"/>
      <c r="CJK479" s="2204">
        <f t="shared" si="65"/>
        <v>0</v>
      </c>
      <c r="CJL479" s="2204">
        <f>[16]BV!CJW395</f>
        <v>0</v>
      </c>
      <c r="CJM479" s="2204"/>
      <c r="CJN479" s="2204"/>
      <c r="CJO479" s="2204">
        <f t="shared" si="65"/>
        <v>0</v>
      </c>
      <c r="CJP479" s="2204">
        <f>[16]BV!CKA395</f>
        <v>0</v>
      </c>
      <c r="CJQ479" s="2204"/>
      <c r="CJR479" s="2204"/>
      <c r="CJS479" s="2204">
        <f t="shared" ref="CJS479:CMA479" si="66">CJP479</f>
        <v>0</v>
      </c>
      <c r="CJT479" s="2204">
        <f>[16]BV!CKE395</f>
        <v>0</v>
      </c>
      <c r="CJU479" s="2204"/>
      <c r="CJV479" s="2204"/>
      <c r="CJW479" s="2204">
        <f t="shared" si="66"/>
        <v>0</v>
      </c>
      <c r="CJX479" s="2204">
        <f>[16]BV!CKI395</f>
        <v>0</v>
      </c>
      <c r="CJY479" s="2204"/>
      <c r="CJZ479" s="2204"/>
      <c r="CKA479" s="2204">
        <f t="shared" si="66"/>
        <v>0</v>
      </c>
      <c r="CKB479" s="2204">
        <f>[16]BV!CKM395</f>
        <v>0</v>
      </c>
      <c r="CKC479" s="2204"/>
      <c r="CKD479" s="2204"/>
      <c r="CKE479" s="2204">
        <f t="shared" si="66"/>
        <v>0</v>
      </c>
      <c r="CKF479" s="2204">
        <f>[16]BV!CKQ395</f>
        <v>0</v>
      </c>
      <c r="CKG479" s="2204"/>
      <c r="CKH479" s="2204"/>
      <c r="CKI479" s="2204">
        <f t="shared" si="66"/>
        <v>0</v>
      </c>
      <c r="CKJ479" s="2204">
        <f>[16]BV!CKU395</f>
        <v>0</v>
      </c>
      <c r="CKK479" s="2204"/>
      <c r="CKL479" s="2204"/>
      <c r="CKM479" s="2204">
        <f t="shared" si="66"/>
        <v>0</v>
      </c>
      <c r="CKN479" s="2204">
        <f>[16]BV!CKY395</f>
        <v>0</v>
      </c>
      <c r="CKO479" s="2204"/>
      <c r="CKP479" s="2204"/>
      <c r="CKQ479" s="2204">
        <f t="shared" si="66"/>
        <v>0</v>
      </c>
      <c r="CKR479" s="2204">
        <f>[16]BV!CLC395</f>
        <v>0</v>
      </c>
      <c r="CKS479" s="2204"/>
      <c r="CKT479" s="2204"/>
      <c r="CKU479" s="2204">
        <f t="shared" si="66"/>
        <v>0</v>
      </c>
      <c r="CKV479" s="2204">
        <f>[16]BV!CLG395</f>
        <v>0</v>
      </c>
      <c r="CKW479" s="2204"/>
      <c r="CKX479" s="2204"/>
      <c r="CKY479" s="2204">
        <f t="shared" si="66"/>
        <v>0</v>
      </c>
      <c r="CKZ479" s="2204">
        <f>[16]BV!CLK395</f>
        <v>0</v>
      </c>
      <c r="CLA479" s="2204"/>
      <c r="CLB479" s="2204"/>
      <c r="CLC479" s="2204">
        <f t="shared" si="66"/>
        <v>0</v>
      </c>
      <c r="CLD479" s="2204">
        <f>[16]BV!CLO395</f>
        <v>0</v>
      </c>
      <c r="CLE479" s="2204"/>
      <c r="CLF479" s="2204"/>
      <c r="CLG479" s="2204">
        <f t="shared" si="66"/>
        <v>0</v>
      </c>
      <c r="CLH479" s="2204">
        <f>[16]BV!CLS395</f>
        <v>0</v>
      </c>
      <c r="CLI479" s="2204"/>
      <c r="CLJ479" s="2204"/>
      <c r="CLK479" s="2204">
        <f t="shared" si="66"/>
        <v>0</v>
      </c>
      <c r="CLL479" s="2204">
        <f>[16]BV!CLW395</f>
        <v>0</v>
      </c>
      <c r="CLM479" s="2204"/>
      <c r="CLN479" s="2204"/>
      <c r="CLO479" s="2204">
        <f t="shared" si="66"/>
        <v>0</v>
      </c>
      <c r="CLP479" s="2204">
        <f>[16]BV!CMA395</f>
        <v>0</v>
      </c>
      <c r="CLQ479" s="2204"/>
      <c r="CLR479" s="2204"/>
      <c r="CLS479" s="2204">
        <f t="shared" si="66"/>
        <v>0</v>
      </c>
      <c r="CLT479" s="2204">
        <f>[16]BV!CME395</f>
        <v>0</v>
      </c>
      <c r="CLU479" s="2204"/>
      <c r="CLV479" s="2204"/>
      <c r="CLW479" s="2204">
        <f t="shared" si="66"/>
        <v>0</v>
      </c>
      <c r="CLX479" s="2204">
        <f>[16]BV!CMI395</f>
        <v>0</v>
      </c>
      <c r="CLY479" s="2204"/>
      <c r="CLZ479" s="2204"/>
      <c r="CMA479" s="2204">
        <f t="shared" si="66"/>
        <v>0</v>
      </c>
      <c r="CMB479" s="2204">
        <f>[16]BV!CMM395</f>
        <v>0</v>
      </c>
      <c r="CMC479" s="2204"/>
      <c r="CMD479" s="2204"/>
      <c r="CME479" s="2204">
        <f t="shared" ref="CME479:COM479" si="67">CMB479</f>
        <v>0</v>
      </c>
      <c r="CMF479" s="2204">
        <f>[16]BV!CMQ395</f>
        <v>0</v>
      </c>
      <c r="CMG479" s="2204"/>
      <c r="CMH479" s="2204"/>
      <c r="CMI479" s="2204">
        <f t="shared" si="67"/>
        <v>0</v>
      </c>
      <c r="CMJ479" s="2204">
        <f>[16]BV!CMU395</f>
        <v>0</v>
      </c>
      <c r="CMK479" s="2204"/>
      <c r="CML479" s="2204"/>
      <c r="CMM479" s="2204">
        <f t="shared" si="67"/>
        <v>0</v>
      </c>
      <c r="CMN479" s="2204">
        <f>[16]BV!CMY395</f>
        <v>0</v>
      </c>
      <c r="CMO479" s="2204"/>
      <c r="CMP479" s="2204"/>
      <c r="CMQ479" s="2204">
        <f t="shared" si="67"/>
        <v>0</v>
      </c>
      <c r="CMR479" s="2204">
        <f>[16]BV!CNC395</f>
        <v>0</v>
      </c>
      <c r="CMS479" s="2204"/>
      <c r="CMT479" s="2204"/>
      <c r="CMU479" s="2204">
        <f t="shared" si="67"/>
        <v>0</v>
      </c>
      <c r="CMV479" s="2204">
        <f>[16]BV!CNG395</f>
        <v>0</v>
      </c>
      <c r="CMW479" s="2204"/>
      <c r="CMX479" s="2204"/>
      <c r="CMY479" s="2204">
        <f t="shared" si="67"/>
        <v>0</v>
      </c>
      <c r="CMZ479" s="2204">
        <f>[16]BV!CNK395</f>
        <v>0</v>
      </c>
      <c r="CNA479" s="2204"/>
      <c r="CNB479" s="2204"/>
      <c r="CNC479" s="2204">
        <f t="shared" si="67"/>
        <v>0</v>
      </c>
      <c r="CND479" s="2204">
        <f>[16]BV!CNO395</f>
        <v>0</v>
      </c>
      <c r="CNE479" s="2204"/>
      <c r="CNF479" s="2204"/>
      <c r="CNG479" s="2204">
        <f t="shared" si="67"/>
        <v>0</v>
      </c>
      <c r="CNH479" s="2204">
        <f>[16]BV!CNS395</f>
        <v>0</v>
      </c>
      <c r="CNI479" s="2204"/>
      <c r="CNJ479" s="2204"/>
      <c r="CNK479" s="2204">
        <f t="shared" si="67"/>
        <v>0</v>
      </c>
      <c r="CNL479" s="2204">
        <f>[16]BV!CNW395</f>
        <v>0</v>
      </c>
      <c r="CNM479" s="2204"/>
      <c r="CNN479" s="2204"/>
      <c r="CNO479" s="2204">
        <f t="shared" si="67"/>
        <v>0</v>
      </c>
      <c r="CNP479" s="2204">
        <f>[16]BV!COA395</f>
        <v>0</v>
      </c>
      <c r="CNQ479" s="2204"/>
      <c r="CNR479" s="2204"/>
      <c r="CNS479" s="2204">
        <f t="shared" si="67"/>
        <v>0</v>
      </c>
      <c r="CNT479" s="2204">
        <f>[16]BV!COE395</f>
        <v>0</v>
      </c>
      <c r="CNU479" s="2204"/>
      <c r="CNV479" s="2204"/>
      <c r="CNW479" s="2204">
        <f t="shared" si="67"/>
        <v>0</v>
      </c>
      <c r="CNX479" s="2204">
        <f>[16]BV!COI395</f>
        <v>0</v>
      </c>
      <c r="CNY479" s="2204"/>
      <c r="CNZ479" s="2204"/>
      <c r="COA479" s="2204">
        <f t="shared" si="67"/>
        <v>0</v>
      </c>
      <c r="COB479" s="2204">
        <f>[16]BV!COM395</f>
        <v>0</v>
      </c>
      <c r="COC479" s="2204"/>
      <c r="COD479" s="2204"/>
      <c r="COE479" s="2204">
        <f t="shared" si="67"/>
        <v>0</v>
      </c>
      <c r="COF479" s="2204">
        <f>[16]BV!COQ395</f>
        <v>0</v>
      </c>
      <c r="COG479" s="2204"/>
      <c r="COH479" s="2204"/>
      <c r="COI479" s="2204">
        <f t="shared" si="67"/>
        <v>0</v>
      </c>
      <c r="COJ479" s="2204">
        <f>[16]BV!COU395</f>
        <v>0</v>
      </c>
      <c r="COK479" s="2204"/>
      <c r="COL479" s="2204"/>
      <c r="COM479" s="2204">
        <f t="shared" si="67"/>
        <v>0</v>
      </c>
      <c r="CON479" s="2204">
        <f>[16]BV!COY395</f>
        <v>0</v>
      </c>
      <c r="COO479" s="2204"/>
      <c r="COP479" s="2204"/>
      <c r="COQ479" s="2204">
        <f t="shared" ref="COQ479:CQY479" si="68">CON479</f>
        <v>0</v>
      </c>
      <c r="COR479" s="2204">
        <f>[16]BV!CPC395</f>
        <v>0</v>
      </c>
      <c r="COS479" s="2204"/>
      <c r="COT479" s="2204"/>
      <c r="COU479" s="2204">
        <f t="shared" si="68"/>
        <v>0</v>
      </c>
      <c r="COV479" s="2204">
        <f>[16]BV!CPG395</f>
        <v>0</v>
      </c>
      <c r="COW479" s="2204"/>
      <c r="COX479" s="2204"/>
      <c r="COY479" s="2204">
        <f t="shared" si="68"/>
        <v>0</v>
      </c>
      <c r="COZ479" s="2204">
        <f>[16]BV!CPK395</f>
        <v>0</v>
      </c>
      <c r="CPA479" s="2204"/>
      <c r="CPB479" s="2204"/>
      <c r="CPC479" s="2204">
        <f t="shared" si="68"/>
        <v>0</v>
      </c>
      <c r="CPD479" s="2204">
        <f>[16]BV!CPO395</f>
        <v>0</v>
      </c>
      <c r="CPE479" s="2204"/>
      <c r="CPF479" s="2204"/>
      <c r="CPG479" s="2204">
        <f t="shared" si="68"/>
        <v>0</v>
      </c>
      <c r="CPH479" s="2204">
        <f>[16]BV!CPS395</f>
        <v>0</v>
      </c>
      <c r="CPI479" s="2204"/>
      <c r="CPJ479" s="2204"/>
      <c r="CPK479" s="2204">
        <f t="shared" si="68"/>
        <v>0</v>
      </c>
      <c r="CPL479" s="2204">
        <f>[16]BV!CPW395</f>
        <v>0</v>
      </c>
      <c r="CPM479" s="2204"/>
      <c r="CPN479" s="2204"/>
      <c r="CPO479" s="2204">
        <f t="shared" si="68"/>
        <v>0</v>
      </c>
      <c r="CPP479" s="2204">
        <f>[16]BV!CQA395</f>
        <v>0</v>
      </c>
      <c r="CPQ479" s="2204"/>
      <c r="CPR479" s="2204"/>
      <c r="CPS479" s="2204">
        <f t="shared" si="68"/>
        <v>0</v>
      </c>
      <c r="CPT479" s="2204">
        <f>[16]BV!CQE395</f>
        <v>0</v>
      </c>
      <c r="CPU479" s="2204"/>
      <c r="CPV479" s="2204"/>
      <c r="CPW479" s="2204">
        <f t="shared" si="68"/>
        <v>0</v>
      </c>
      <c r="CPX479" s="2204">
        <f>[16]BV!CQI395</f>
        <v>0</v>
      </c>
      <c r="CPY479" s="2204"/>
      <c r="CPZ479" s="2204"/>
      <c r="CQA479" s="2204">
        <f t="shared" si="68"/>
        <v>0</v>
      </c>
      <c r="CQB479" s="2204">
        <f>[16]BV!CQM395</f>
        <v>0</v>
      </c>
      <c r="CQC479" s="2204"/>
      <c r="CQD479" s="2204"/>
      <c r="CQE479" s="2204">
        <f t="shared" si="68"/>
        <v>0</v>
      </c>
      <c r="CQF479" s="2204">
        <f>[16]BV!CQQ395</f>
        <v>0</v>
      </c>
      <c r="CQG479" s="2204"/>
      <c r="CQH479" s="2204"/>
      <c r="CQI479" s="2204">
        <f t="shared" si="68"/>
        <v>0</v>
      </c>
      <c r="CQJ479" s="2204">
        <f>[16]BV!CQU395</f>
        <v>0</v>
      </c>
      <c r="CQK479" s="2204"/>
      <c r="CQL479" s="2204"/>
      <c r="CQM479" s="2204">
        <f t="shared" si="68"/>
        <v>0</v>
      </c>
      <c r="CQN479" s="2204">
        <f>[16]BV!CQY395</f>
        <v>0</v>
      </c>
      <c r="CQO479" s="2204"/>
      <c r="CQP479" s="2204"/>
      <c r="CQQ479" s="2204">
        <f t="shared" si="68"/>
        <v>0</v>
      </c>
      <c r="CQR479" s="2204">
        <f>[16]BV!CRC395</f>
        <v>0</v>
      </c>
      <c r="CQS479" s="2204"/>
      <c r="CQT479" s="2204"/>
      <c r="CQU479" s="2204">
        <f t="shared" si="68"/>
        <v>0</v>
      </c>
      <c r="CQV479" s="2204">
        <f>[16]BV!CRG395</f>
        <v>0</v>
      </c>
      <c r="CQW479" s="2204"/>
      <c r="CQX479" s="2204"/>
      <c r="CQY479" s="2204">
        <f t="shared" si="68"/>
        <v>0</v>
      </c>
      <c r="CQZ479" s="2204">
        <f>[16]BV!CRK395</f>
        <v>0</v>
      </c>
      <c r="CRA479" s="2204"/>
      <c r="CRB479" s="2204"/>
      <c r="CRC479" s="2204">
        <f t="shared" ref="CRC479:CTK479" si="69">CQZ479</f>
        <v>0</v>
      </c>
      <c r="CRD479" s="2204">
        <f>[16]BV!CRO395</f>
        <v>0</v>
      </c>
      <c r="CRE479" s="2204"/>
      <c r="CRF479" s="2204"/>
      <c r="CRG479" s="2204">
        <f t="shared" si="69"/>
        <v>0</v>
      </c>
      <c r="CRH479" s="2204">
        <f>[16]BV!CRS395</f>
        <v>0</v>
      </c>
      <c r="CRI479" s="2204"/>
      <c r="CRJ479" s="2204"/>
      <c r="CRK479" s="2204">
        <f t="shared" si="69"/>
        <v>0</v>
      </c>
      <c r="CRL479" s="2204">
        <f>[16]BV!CRW395</f>
        <v>0</v>
      </c>
      <c r="CRM479" s="2204"/>
      <c r="CRN479" s="2204"/>
      <c r="CRO479" s="2204">
        <f t="shared" si="69"/>
        <v>0</v>
      </c>
      <c r="CRP479" s="2204">
        <f>[16]BV!CSA395</f>
        <v>0</v>
      </c>
      <c r="CRQ479" s="2204"/>
      <c r="CRR479" s="2204"/>
      <c r="CRS479" s="2204">
        <f t="shared" si="69"/>
        <v>0</v>
      </c>
      <c r="CRT479" s="2204">
        <f>[16]BV!CSE395</f>
        <v>0</v>
      </c>
      <c r="CRU479" s="2204"/>
      <c r="CRV479" s="2204"/>
      <c r="CRW479" s="2204">
        <f t="shared" si="69"/>
        <v>0</v>
      </c>
      <c r="CRX479" s="2204">
        <f>[16]BV!CSI395</f>
        <v>0</v>
      </c>
      <c r="CRY479" s="2204"/>
      <c r="CRZ479" s="2204"/>
      <c r="CSA479" s="2204">
        <f t="shared" si="69"/>
        <v>0</v>
      </c>
      <c r="CSB479" s="2204">
        <f>[16]BV!CSM395</f>
        <v>0</v>
      </c>
      <c r="CSC479" s="2204"/>
      <c r="CSD479" s="2204"/>
      <c r="CSE479" s="2204">
        <f t="shared" si="69"/>
        <v>0</v>
      </c>
      <c r="CSF479" s="2204">
        <f>[16]BV!CSQ395</f>
        <v>0</v>
      </c>
      <c r="CSG479" s="2204"/>
      <c r="CSH479" s="2204"/>
      <c r="CSI479" s="2204">
        <f t="shared" si="69"/>
        <v>0</v>
      </c>
      <c r="CSJ479" s="2204">
        <f>[16]BV!CSU395</f>
        <v>0</v>
      </c>
      <c r="CSK479" s="2204"/>
      <c r="CSL479" s="2204"/>
      <c r="CSM479" s="2204">
        <f t="shared" si="69"/>
        <v>0</v>
      </c>
      <c r="CSN479" s="2204">
        <f>[16]BV!CSY395</f>
        <v>0</v>
      </c>
      <c r="CSO479" s="2204"/>
      <c r="CSP479" s="2204"/>
      <c r="CSQ479" s="2204">
        <f t="shared" si="69"/>
        <v>0</v>
      </c>
      <c r="CSR479" s="2204">
        <f>[16]BV!CTC395</f>
        <v>0</v>
      </c>
      <c r="CSS479" s="2204"/>
      <c r="CST479" s="2204"/>
      <c r="CSU479" s="2204">
        <f t="shared" si="69"/>
        <v>0</v>
      </c>
      <c r="CSV479" s="2204">
        <f>[16]BV!CTG395</f>
        <v>0</v>
      </c>
      <c r="CSW479" s="2204"/>
      <c r="CSX479" s="2204"/>
      <c r="CSY479" s="2204">
        <f t="shared" si="69"/>
        <v>0</v>
      </c>
      <c r="CSZ479" s="2204">
        <f>[16]BV!CTK395</f>
        <v>0</v>
      </c>
      <c r="CTA479" s="2204"/>
      <c r="CTB479" s="2204"/>
      <c r="CTC479" s="2204">
        <f t="shared" si="69"/>
        <v>0</v>
      </c>
      <c r="CTD479" s="2204">
        <f>[16]BV!CTO395</f>
        <v>0</v>
      </c>
      <c r="CTE479" s="2204"/>
      <c r="CTF479" s="2204"/>
      <c r="CTG479" s="2204">
        <f t="shared" si="69"/>
        <v>0</v>
      </c>
      <c r="CTH479" s="2204">
        <f>[16]BV!CTS395</f>
        <v>0</v>
      </c>
      <c r="CTI479" s="2204"/>
      <c r="CTJ479" s="2204"/>
      <c r="CTK479" s="2204">
        <f t="shared" si="69"/>
        <v>0</v>
      </c>
      <c r="CTL479" s="2204">
        <f>[16]BV!CTW395</f>
        <v>0</v>
      </c>
      <c r="CTM479" s="2204"/>
      <c r="CTN479" s="2204"/>
      <c r="CTO479" s="2204">
        <f t="shared" ref="CTO479:CVW479" si="70">CTL479</f>
        <v>0</v>
      </c>
      <c r="CTP479" s="2204">
        <f>[16]BV!CUA395</f>
        <v>0</v>
      </c>
      <c r="CTQ479" s="2204"/>
      <c r="CTR479" s="2204"/>
      <c r="CTS479" s="2204">
        <f t="shared" si="70"/>
        <v>0</v>
      </c>
      <c r="CTT479" s="2204">
        <f>[16]BV!CUE395</f>
        <v>0</v>
      </c>
      <c r="CTU479" s="2204"/>
      <c r="CTV479" s="2204"/>
      <c r="CTW479" s="2204">
        <f t="shared" si="70"/>
        <v>0</v>
      </c>
      <c r="CTX479" s="2204">
        <f>[16]BV!CUI395</f>
        <v>0</v>
      </c>
      <c r="CTY479" s="2204"/>
      <c r="CTZ479" s="2204"/>
      <c r="CUA479" s="2204">
        <f t="shared" si="70"/>
        <v>0</v>
      </c>
      <c r="CUB479" s="2204">
        <f>[16]BV!CUM395</f>
        <v>0</v>
      </c>
      <c r="CUC479" s="2204"/>
      <c r="CUD479" s="2204"/>
      <c r="CUE479" s="2204">
        <f t="shared" si="70"/>
        <v>0</v>
      </c>
      <c r="CUF479" s="2204">
        <f>[16]BV!CUQ395</f>
        <v>0</v>
      </c>
      <c r="CUG479" s="2204"/>
      <c r="CUH479" s="2204"/>
      <c r="CUI479" s="2204">
        <f t="shared" si="70"/>
        <v>0</v>
      </c>
      <c r="CUJ479" s="2204">
        <f>[16]BV!CUU395</f>
        <v>0</v>
      </c>
      <c r="CUK479" s="2204"/>
      <c r="CUL479" s="2204"/>
      <c r="CUM479" s="2204">
        <f t="shared" si="70"/>
        <v>0</v>
      </c>
      <c r="CUN479" s="2204">
        <f>[16]BV!CUY395</f>
        <v>0</v>
      </c>
      <c r="CUO479" s="2204"/>
      <c r="CUP479" s="2204"/>
      <c r="CUQ479" s="2204">
        <f t="shared" si="70"/>
        <v>0</v>
      </c>
      <c r="CUR479" s="2204">
        <f>[16]BV!CVC395</f>
        <v>0</v>
      </c>
      <c r="CUS479" s="2204"/>
      <c r="CUT479" s="2204"/>
      <c r="CUU479" s="2204">
        <f t="shared" si="70"/>
        <v>0</v>
      </c>
      <c r="CUV479" s="2204">
        <f>[16]BV!CVG395</f>
        <v>0</v>
      </c>
      <c r="CUW479" s="2204"/>
      <c r="CUX479" s="2204"/>
      <c r="CUY479" s="2204">
        <f t="shared" si="70"/>
        <v>0</v>
      </c>
      <c r="CUZ479" s="2204">
        <f>[16]BV!CVK395</f>
        <v>0</v>
      </c>
      <c r="CVA479" s="2204"/>
      <c r="CVB479" s="2204"/>
      <c r="CVC479" s="2204">
        <f t="shared" si="70"/>
        <v>0</v>
      </c>
      <c r="CVD479" s="2204">
        <f>[16]BV!CVO395</f>
        <v>0</v>
      </c>
      <c r="CVE479" s="2204"/>
      <c r="CVF479" s="2204"/>
      <c r="CVG479" s="2204">
        <f t="shared" si="70"/>
        <v>0</v>
      </c>
      <c r="CVH479" s="2204">
        <f>[16]BV!CVS395</f>
        <v>0</v>
      </c>
      <c r="CVI479" s="2204"/>
      <c r="CVJ479" s="2204"/>
      <c r="CVK479" s="2204">
        <f t="shared" si="70"/>
        <v>0</v>
      </c>
      <c r="CVL479" s="2204">
        <f>[16]BV!CVW395</f>
        <v>0</v>
      </c>
      <c r="CVM479" s="2204"/>
      <c r="CVN479" s="2204"/>
      <c r="CVO479" s="2204">
        <f t="shared" si="70"/>
        <v>0</v>
      </c>
      <c r="CVP479" s="2204">
        <f>[16]BV!CWA395</f>
        <v>0</v>
      </c>
      <c r="CVQ479" s="2204"/>
      <c r="CVR479" s="2204"/>
      <c r="CVS479" s="2204">
        <f t="shared" si="70"/>
        <v>0</v>
      </c>
      <c r="CVT479" s="2204">
        <f>[16]BV!CWE395</f>
        <v>0</v>
      </c>
      <c r="CVU479" s="2204"/>
      <c r="CVV479" s="2204"/>
      <c r="CVW479" s="2204">
        <f t="shared" si="70"/>
        <v>0</v>
      </c>
      <c r="CVX479" s="2204">
        <f>[16]BV!CWI395</f>
        <v>0</v>
      </c>
      <c r="CVY479" s="2204"/>
      <c r="CVZ479" s="2204"/>
      <c r="CWA479" s="2204">
        <f t="shared" ref="CWA479:CYI479" si="71">CVX479</f>
        <v>0</v>
      </c>
      <c r="CWB479" s="2204">
        <f>[16]BV!CWM395</f>
        <v>0</v>
      </c>
      <c r="CWC479" s="2204"/>
      <c r="CWD479" s="2204"/>
      <c r="CWE479" s="2204">
        <f t="shared" si="71"/>
        <v>0</v>
      </c>
      <c r="CWF479" s="2204">
        <f>[16]BV!CWQ395</f>
        <v>0</v>
      </c>
      <c r="CWG479" s="2204"/>
      <c r="CWH479" s="2204"/>
      <c r="CWI479" s="2204">
        <f t="shared" si="71"/>
        <v>0</v>
      </c>
      <c r="CWJ479" s="2204">
        <f>[16]BV!CWU395</f>
        <v>0</v>
      </c>
      <c r="CWK479" s="2204"/>
      <c r="CWL479" s="2204"/>
      <c r="CWM479" s="2204">
        <f t="shared" si="71"/>
        <v>0</v>
      </c>
      <c r="CWN479" s="2204">
        <f>[16]BV!CWY395</f>
        <v>0</v>
      </c>
      <c r="CWO479" s="2204"/>
      <c r="CWP479" s="2204"/>
      <c r="CWQ479" s="2204">
        <f t="shared" si="71"/>
        <v>0</v>
      </c>
      <c r="CWR479" s="2204">
        <f>[16]BV!CXC395</f>
        <v>0</v>
      </c>
      <c r="CWS479" s="2204"/>
      <c r="CWT479" s="2204"/>
      <c r="CWU479" s="2204">
        <f t="shared" si="71"/>
        <v>0</v>
      </c>
      <c r="CWV479" s="2204">
        <f>[16]BV!CXG395</f>
        <v>0</v>
      </c>
      <c r="CWW479" s="2204"/>
      <c r="CWX479" s="2204"/>
      <c r="CWY479" s="2204">
        <f t="shared" si="71"/>
        <v>0</v>
      </c>
      <c r="CWZ479" s="2204">
        <f>[16]BV!CXK395</f>
        <v>0</v>
      </c>
      <c r="CXA479" s="2204"/>
      <c r="CXB479" s="2204"/>
      <c r="CXC479" s="2204">
        <f t="shared" si="71"/>
        <v>0</v>
      </c>
      <c r="CXD479" s="2204">
        <f>[16]BV!CXO395</f>
        <v>0</v>
      </c>
      <c r="CXE479" s="2204"/>
      <c r="CXF479" s="2204"/>
      <c r="CXG479" s="2204">
        <f t="shared" si="71"/>
        <v>0</v>
      </c>
      <c r="CXH479" s="2204">
        <f>[16]BV!CXS395</f>
        <v>0</v>
      </c>
      <c r="CXI479" s="2204"/>
      <c r="CXJ479" s="2204"/>
      <c r="CXK479" s="2204">
        <f t="shared" si="71"/>
        <v>0</v>
      </c>
      <c r="CXL479" s="2204">
        <f>[16]BV!CXW395</f>
        <v>0</v>
      </c>
      <c r="CXM479" s="2204"/>
      <c r="CXN479" s="2204"/>
      <c r="CXO479" s="2204">
        <f t="shared" si="71"/>
        <v>0</v>
      </c>
      <c r="CXP479" s="2204">
        <f>[16]BV!CYA395</f>
        <v>0</v>
      </c>
      <c r="CXQ479" s="2204"/>
      <c r="CXR479" s="2204"/>
      <c r="CXS479" s="2204">
        <f t="shared" si="71"/>
        <v>0</v>
      </c>
      <c r="CXT479" s="2204">
        <f>[16]BV!CYE395</f>
        <v>0</v>
      </c>
      <c r="CXU479" s="2204"/>
      <c r="CXV479" s="2204"/>
      <c r="CXW479" s="2204">
        <f t="shared" si="71"/>
        <v>0</v>
      </c>
      <c r="CXX479" s="2204">
        <f>[16]BV!CYI395</f>
        <v>0</v>
      </c>
      <c r="CXY479" s="2204"/>
      <c r="CXZ479" s="2204"/>
      <c r="CYA479" s="2204">
        <f t="shared" si="71"/>
        <v>0</v>
      </c>
      <c r="CYB479" s="2204">
        <f>[16]BV!CYM395</f>
        <v>0</v>
      </c>
      <c r="CYC479" s="2204"/>
      <c r="CYD479" s="2204"/>
      <c r="CYE479" s="2204">
        <f t="shared" si="71"/>
        <v>0</v>
      </c>
      <c r="CYF479" s="2204">
        <f>[16]BV!CYQ395</f>
        <v>0</v>
      </c>
      <c r="CYG479" s="2204"/>
      <c r="CYH479" s="2204"/>
      <c r="CYI479" s="2204">
        <f t="shared" si="71"/>
        <v>0</v>
      </c>
      <c r="CYJ479" s="2204">
        <f>[16]BV!CYU395</f>
        <v>0</v>
      </c>
      <c r="CYK479" s="2204"/>
      <c r="CYL479" s="2204"/>
      <c r="CYM479" s="2204">
        <f t="shared" ref="CYM479:DAU479" si="72">CYJ479</f>
        <v>0</v>
      </c>
      <c r="CYN479" s="2204">
        <f>[16]BV!CYY395</f>
        <v>0</v>
      </c>
      <c r="CYO479" s="2204"/>
      <c r="CYP479" s="2204"/>
      <c r="CYQ479" s="2204">
        <f t="shared" si="72"/>
        <v>0</v>
      </c>
      <c r="CYR479" s="2204">
        <f>[16]BV!CZC395</f>
        <v>0</v>
      </c>
      <c r="CYS479" s="2204"/>
      <c r="CYT479" s="2204"/>
      <c r="CYU479" s="2204">
        <f t="shared" si="72"/>
        <v>0</v>
      </c>
      <c r="CYV479" s="2204">
        <f>[16]BV!CZG395</f>
        <v>0</v>
      </c>
      <c r="CYW479" s="2204"/>
      <c r="CYX479" s="2204"/>
      <c r="CYY479" s="2204">
        <f t="shared" si="72"/>
        <v>0</v>
      </c>
      <c r="CYZ479" s="2204">
        <f>[16]BV!CZK395</f>
        <v>0</v>
      </c>
      <c r="CZA479" s="2204"/>
      <c r="CZB479" s="2204"/>
      <c r="CZC479" s="2204">
        <f t="shared" si="72"/>
        <v>0</v>
      </c>
      <c r="CZD479" s="2204">
        <f>[16]BV!CZO395</f>
        <v>0</v>
      </c>
      <c r="CZE479" s="2204"/>
      <c r="CZF479" s="2204"/>
      <c r="CZG479" s="2204">
        <f t="shared" si="72"/>
        <v>0</v>
      </c>
      <c r="CZH479" s="2204">
        <f>[16]BV!CZS395</f>
        <v>0</v>
      </c>
      <c r="CZI479" s="2204"/>
      <c r="CZJ479" s="2204"/>
      <c r="CZK479" s="2204">
        <f t="shared" si="72"/>
        <v>0</v>
      </c>
      <c r="CZL479" s="2204">
        <f>[16]BV!CZW395</f>
        <v>0</v>
      </c>
      <c r="CZM479" s="2204"/>
      <c r="CZN479" s="2204"/>
      <c r="CZO479" s="2204">
        <f t="shared" si="72"/>
        <v>0</v>
      </c>
      <c r="CZP479" s="2204">
        <f>[16]BV!DAA395</f>
        <v>0</v>
      </c>
      <c r="CZQ479" s="2204"/>
      <c r="CZR479" s="2204"/>
      <c r="CZS479" s="2204">
        <f t="shared" si="72"/>
        <v>0</v>
      </c>
      <c r="CZT479" s="2204">
        <f>[16]BV!DAE395</f>
        <v>0</v>
      </c>
      <c r="CZU479" s="2204"/>
      <c r="CZV479" s="2204"/>
      <c r="CZW479" s="2204">
        <f t="shared" si="72"/>
        <v>0</v>
      </c>
      <c r="CZX479" s="2204">
        <f>[16]BV!DAI395</f>
        <v>0</v>
      </c>
      <c r="CZY479" s="2204"/>
      <c r="CZZ479" s="2204"/>
      <c r="DAA479" s="2204">
        <f t="shared" si="72"/>
        <v>0</v>
      </c>
      <c r="DAB479" s="2204">
        <f>[16]BV!DAM395</f>
        <v>0</v>
      </c>
      <c r="DAC479" s="2204"/>
      <c r="DAD479" s="2204"/>
      <c r="DAE479" s="2204">
        <f t="shared" si="72"/>
        <v>0</v>
      </c>
      <c r="DAF479" s="2204">
        <f>[16]BV!DAQ395</f>
        <v>0</v>
      </c>
      <c r="DAG479" s="2204"/>
      <c r="DAH479" s="2204"/>
      <c r="DAI479" s="2204">
        <f t="shared" si="72"/>
        <v>0</v>
      </c>
      <c r="DAJ479" s="2204">
        <f>[16]BV!DAU395</f>
        <v>0</v>
      </c>
      <c r="DAK479" s="2204"/>
      <c r="DAL479" s="2204"/>
      <c r="DAM479" s="2204">
        <f t="shared" si="72"/>
        <v>0</v>
      </c>
      <c r="DAN479" s="2204">
        <f>[16]BV!DAY395</f>
        <v>0</v>
      </c>
      <c r="DAO479" s="2204"/>
      <c r="DAP479" s="2204"/>
      <c r="DAQ479" s="2204">
        <f t="shared" si="72"/>
        <v>0</v>
      </c>
      <c r="DAR479" s="2204">
        <f>[16]BV!DBC395</f>
        <v>0</v>
      </c>
      <c r="DAS479" s="2204"/>
      <c r="DAT479" s="2204"/>
      <c r="DAU479" s="2204">
        <f t="shared" si="72"/>
        <v>0</v>
      </c>
      <c r="DAV479" s="2204">
        <f>[16]BV!DBG395</f>
        <v>0</v>
      </c>
      <c r="DAW479" s="2204"/>
      <c r="DAX479" s="2204"/>
      <c r="DAY479" s="2204">
        <f t="shared" ref="DAY479:DDG479" si="73">DAV479</f>
        <v>0</v>
      </c>
      <c r="DAZ479" s="2204">
        <f>[16]BV!DBK395</f>
        <v>0</v>
      </c>
      <c r="DBA479" s="2204"/>
      <c r="DBB479" s="2204"/>
      <c r="DBC479" s="2204">
        <f t="shared" si="73"/>
        <v>0</v>
      </c>
      <c r="DBD479" s="2204">
        <f>[16]BV!DBO395</f>
        <v>0</v>
      </c>
      <c r="DBE479" s="2204"/>
      <c r="DBF479" s="2204"/>
      <c r="DBG479" s="2204">
        <f t="shared" si="73"/>
        <v>0</v>
      </c>
      <c r="DBH479" s="2204">
        <f>[16]BV!DBS395</f>
        <v>0</v>
      </c>
      <c r="DBI479" s="2204"/>
      <c r="DBJ479" s="2204"/>
      <c r="DBK479" s="2204">
        <f t="shared" si="73"/>
        <v>0</v>
      </c>
      <c r="DBL479" s="2204">
        <f>[16]BV!DBW395</f>
        <v>0</v>
      </c>
      <c r="DBM479" s="2204"/>
      <c r="DBN479" s="2204"/>
      <c r="DBO479" s="2204">
        <f t="shared" si="73"/>
        <v>0</v>
      </c>
      <c r="DBP479" s="2204">
        <f>[16]BV!DCA395</f>
        <v>0</v>
      </c>
      <c r="DBQ479" s="2204"/>
      <c r="DBR479" s="2204"/>
      <c r="DBS479" s="2204">
        <f t="shared" si="73"/>
        <v>0</v>
      </c>
      <c r="DBT479" s="2204">
        <f>[16]BV!DCE395</f>
        <v>0</v>
      </c>
      <c r="DBU479" s="2204"/>
      <c r="DBV479" s="2204"/>
      <c r="DBW479" s="2204">
        <f t="shared" si="73"/>
        <v>0</v>
      </c>
      <c r="DBX479" s="2204">
        <f>[16]BV!DCI395</f>
        <v>0</v>
      </c>
      <c r="DBY479" s="2204"/>
      <c r="DBZ479" s="2204"/>
      <c r="DCA479" s="2204">
        <f t="shared" si="73"/>
        <v>0</v>
      </c>
      <c r="DCB479" s="2204">
        <f>[16]BV!DCM395</f>
        <v>0</v>
      </c>
      <c r="DCC479" s="2204"/>
      <c r="DCD479" s="2204"/>
      <c r="DCE479" s="2204">
        <f t="shared" si="73"/>
        <v>0</v>
      </c>
      <c r="DCF479" s="2204">
        <f>[16]BV!DCQ395</f>
        <v>0</v>
      </c>
      <c r="DCG479" s="2204"/>
      <c r="DCH479" s="2204"/>
      <c r="DCI479" s="2204">
        <f t="shared" si="73"/>
        <v>0</v>
      </c>
      <c r="DCJ479" s="2204">
        <f>[16]BV!DCU395</f>
        <v>0</v>
      </c>
      <c r="DCK479" s="2204"/>
      <c r="DCL479" s="2204"/>
      <c r="DCM479" s="2204">
        <f t="shared" si="73"/>
        <v>0</v>
      </c>
      <c r="DCN479" s="2204">
        <f>[16]BV!DCY395</f>
        <v>0</v>
      </c>
      <c r="DCO479" s="2204"/>
      <c r="DCP479" s="2204"/>
      <c r="DCQ479" s="2204">
        <f t="shared" si="73"/>
        <v>0</v>
      </c>
      <c r="DCR479" s="2204">
        <f>[16]BV!DDC395</f>
        <v>0</v>
      </c>
      <c r="DCS479" s="2204"/>
      <c r="DCT479" s="2204"/>
      <c r="DCU479" s="2204">
        <f t="shared" si="73"/>
        <v>0</v>
      </c>
      <c r="DCV479" s="2204">
        <f>[16]BV!DDG395</f>
        <v>0</v>
      </c>
      <c r="DCW479" s="2204"/>
      <c r="DCX479" s="2204"/>
      <c r="DCY479" s="2204">
        <f t="shared" si="73"/>
        <v>0</v>
      </c>
      <c r="DCZ479" s="2204">
        <f>[16]BV!DDK395</f>
        <v>0</v>
      </c>
      <c r="DDA479" s="2204"/>
      <c r="DDB479" s="2204"/>
      <c r="DDC479" s="2204">
        <f t="shared" si="73"/>
        <v>0</v>
      </c>
      <c r="DDD479" s="2204">
        <f>[16]BV!DDO395</f>
        <v>0</v>
      </c>
      <c r="DDE479" s="2204"/>
      <c r="DDF479" s="2204"/>
      <c r="DDG479" s="2204">
        <f t="shared" si="73"/>
        <v>0</v>
      </c>
      <c r="DDH479" s="2204">
        <f>[16]BV!DDS395</f>
        <v>0</v>
      </c>
      <c r="DDI479" s="2204"/>
      <c r="DDJ479" s="2204"/>
      <c r="DDK479" s="2204">
        <f t="shared" ref="DDK479:DFS479" si="74">DDH479</f>
        <v>0</v>
      </c>
      <c r="DDL479" s="2204">
        <f>[16]BV!DDW395</f>
        <v>0</v>
      </c>
      <c r="DDM479" s="2204"/>
      <c r="DDN479" s="2204"/>
      <c r="DDO479" s="2204">
        <f t="shared" si="74"/>
        <v>0</v>
      </c>
      <c r="DDP479" s="2204">
        <f>[16]BV!DEA395</f>
        <v>0</v>
      </c>
      <c r="DDQ479" s="2204"/>
      <c r="DDR479" s="2204"/>
      <c r="DDS479" s="2204">
        <f t="shared" si="74"/>
        <v>0</v>
      </c>
      <c r="DDT479" s="2204">
        <f>[16]BV!DEE395</f>
        <v>0</v>
      </c>
      <c r="DDU479" s="2204"/>
      <c r="DDV479" s="2204"/>
      <c r="DDW479" s="2204">
        <f t="shared" si="74"/>
        <v>0</v>
      </c>
      <c r="DDX479" s="2204">
        <f>[16]BV!DEI395</f>
        <v>0</v>
      </c>
      <c r="DDY479" s="2204"/>
      <c r="DDZ479" s="2204"/>
      <c r="DEA479" s="2204">
        <f t="shared" si="74"/>
        <v>0</v>
      </c>
      <c r="DEB479" s="2204">
        <f>[16]BV!DEM395</f>
        <v>0</v>
      </c>
      <c r="DEC479" s="2204"/>
      <c r="DED479" s="2204"/>
      <c r="DEE479" s="2204">
        <f t="shared" si="74"/>
        <v>0</v>
      </c>
      <c r="DEF479" s="2204">
        <f>[16]BV!DEQ395</f>
        <v>0</v>
      </c>
      <c r="DEG479" s="2204"/>
      <c r="DEH479" s="2204"/>
      <c r="DEI479" s="2204">
        <f t="shared" si="74"/>
        <v>0</v>
      </c>
      <c r="DEJ479" s="2204">
        <f>[16]BV!DEU395</f>
        <v>0</v>
      </c>
      <c r="DEK479" s="2204"/>
      <c r="DEL479" s="2204"/>
      <c r="DEM479" s="2204">
        <f t="shared" si="74"/>
        <v>0</v>
      </c>
      <c r="DEN479" s="2204">
        <f>[16]BV!DEY395</f>
        <v>0</v>
      </c>
      <c r="DEO479" s="2204"/>
      <c r="DEP479" s="2204"/>
      <c r="DEQ479" s="2204">
        <f t="shared" si="74"/>
        <v>0</v>
      </c>
      <c r="DER479" s="2204">
        <f>[16]BV!DFC395</f>
        <v>0</v>
      </c>
      <c r="DES479" s="2204"/>
      <c r="DET479" s="2204"/>
      <c r="DEU479" s="2204">
        <f t="shared" si="74"/>
        <v>0</v>
      </c>
      <c r="DEV479" s="2204">
        <f>[16]BV!DFG395</f>
        <v>0</v>
      </c>
      <c r="DEW479" s="2204"/>
      <c r="DEX479" s="2204"/>
      <c r="DEY479" s="2204">
        <f t="shared" si="74"/>
        <v>0</v>
      </c>
      <c r="DEZ479" s="2204">
        <f>[16]BV!DFK395</f>
        <v>0</v>
      </c>
      <c r="DFA479" s="2204"/>
      <c r="DFB479" s="2204"/>
      <c r="DFC479" s="2204">
        <f t="shared" si="74"/>
        <v>0</v>
      </c>
      <c r="DFD479" s="2204">
        <f>[16]BV!DFO395</f>
        <v>0</v>
      </c>
      <c r="DFE479" s="2204"/>
      <c r="DFF479" s="2204"/>
      <c r="DFG479" s="2204">
        <f t="shared" si="74"/>
        <v>0</v>
      </c>
      <c r="DFH479" s="2204">
        <f>[16]BV!DFS395</f>
        <v>0</v>
      </c>
      <c r="DFI479" s="2204"/>
      <c r="DFJ479" s="2204"/>
      <c r="DFK479" s="2204">
        <f t="shared" si="74"/>
        <v>0</v>
      </c>
      <c r="DFL479" s="2204">
        <f>[16]BV!DFW395</f>
        <v>0</v>
      </c>
      <c r="DFM479" s="2204"/>
      <c r="DFN479" s="2204"/>
      <c r="DFO479" s="2204">
        <f t="shared" si="74"/>
        <v>0</v>
      </c>
      <c r="DFP479" s="2204">
        <f>[16]BV!DGA395</f>
        <v>0</v>
      </c>
      <c r="DFQ479" s="2204"/>
      <c r="DFR479" s="2204"/>
      <c r="DFS479" s="2204">
        <f t="shared" si="74"/>
        <v>0</v>
      </c>
      <c r="DFT479" s="2204">
        <f>[16]BV!DGE395</f>
        <v>0</v>
      </c>
      <c r="DFU479" s="2204"/>
      <c r="DFV479" s="2204"/>
      <c r="DFW479" s="2204">
        <f t="shared" ref="DFW479:DIE479" si="75">DFT479</f>
        <v>0</v>
      </c>
      <c r="DFX479" s="2204">
        <f>[16]BV!DGI395</f>
        <v>0</v>
      </c>
      <c r="DFY479" s="2204"/>
      <c r="DFZ479" s="2204"/>
      <c r="DGA479" s="2204">
        <f t="shared" si="75"/>
        <v>0</v>
      </c>
      <c r="DGB479" s="2204">
        <f>[16]BV!DGM395</f>
        <v>0</v>
      </c>
      <c r="DGC479" s="2204"/>
      <c r="DGD479" s="2204"/>
      <c r="DGE479" s="2204">
        <f t="shared" si="75"/>
        <v>0</v>
      </c>
      <c r="DGF479" s="2204">
        <f>[16]BV!DGQ395</f>
        <v>0</v>
      </c>
      <c r="DGG479" s="2204"/>
      <c r="DGH479" s="2204"/>
      <c r="DGI479" s="2204">
        <f t="shared" si="75"/>
        <v>0</v>
      </c>
      <c r="DGJ479" s="2204">
        <f>[16]BV!DGU395</f>
        <v>0</v>
      </c>
      <c r="DGK479" s="2204"/>
      <c r="DGL479" s="2204"/>
      <c r="DGM479" s="2204">
        <f t="shared" si="75"/>
        <v>0</v>
      </c>
      <c r="DGN479" s="2204">
        <f>[16]BV!DGY395</f>
        <v>0</v>
      </c>
      <c r="DGO479" s="2204"/>
      <c r="DGP479" s="2204"/>
      <c r="DGQ479" s="2204">
        <f t="shared" si="75"/>
        <v>0</v>
      </c>
      <c r="DGR479" s="2204">
        <f>[16]BV!DHC395</f>
        <v>0</v>
      </c>
      <c r="DGS479" s="2204"/>
      <c r="DGT479" s="2204"/>
      <c r="DGU479" s="2204">
        <f t="shared" si="75"/>
        <v>0</v>
      </c>
      <c r="DGV479" s="2204">
        <f>[16]BV!DHG395</f>
        <v>0</v>
      </c>
      <c r="DGW479" s="2204"/>
      <c r="DGX479" s="2204"/>
      <c r="DGY479" s="2204">
        <f t="shared" si="75"/>
        <v>0</v>
      </c>
      <c r="DGZ479" s="2204">
        <f>[16]BV!DHK395</f>
        <v>0</v>
      </c>
      <c r="DHA479" s="2204"/>
      <c r="DHB479" s="2204"/>
      <c r="DHC479" s="2204">
        <f t="shared" si="75"/>
        <v>0</v>
      </c>
      <c r="DHD479" s="2204">
        <f>[16]BV!DHO395</f>
        <v>0</v>
      </c>
      <c r="DHE479" s="2204"/>
      <c r="DHF479" s="2204"/>
      <c r="DHG479" s="2204">
        <f t="shared" si="75"/>
        <v>0</v>
      </c>
      <c r="DHH479" s="2204">
        <f>[16]BV!DHS395</f>
        <v>0</v>
      </c>
      <c r="DHI479" s="2204"/>
      <c r="DHJ479" s="2204"/>
      <c r="DHK479" s="2204">
        <f t="shared" si="75"/>
        <v>0</v>
      </c>
      <c r="DHL479" s="2204">
        <f>[16]BV!DHW395</f>
        <v>0</v>
      </c>
      <c r="DHM479" s="2204"/>
      <c r="DHN479" s="2204"/>
      <c r="DHO479" s="2204">
        <f t="shared" si="75"/>
        <v>0</v>
      </c>
      <c r="DHP479" s="2204">
        <f>[16]BV!DIA395</f>
        <v>0</v>
      </c>
      <c r="DHQ479" s="2204"/>
      <c r="DHR479" s="2204"/>
      <c r="DHS479" s="2204">
        <f t="shared" si="75"/>
        <v>0</v>
      </c>
      <c r="DHT479" s="2204">
        <f>[16]BV!DIE395</f>
        <v>0</v>
      </c>
      <c r="DHU479" s="2204"/>
      <c r="DHV479" s="2204"/>
      <c r="DHW479" s="2204">
        <f t="shared" si="75"/>
        <v>0</v>
      </c>
      <c r="DHX479" s="2204">
        <f>[16]BV!DII395</f>
        <v>0</v>
      </c>
      <c r="DHY479" s="2204"/>
      <c r="DHZ479" s="2204"/>
      <c r="DIA479" s="2204">
        <f t="shared" si="75"/>
        <v>0</v>
      </c>
      <c r="DIB479" s="2204">
        <f>[16]BV!DIM395</f>
        <v>0</v>
      </c>
      <c r="DIC479" s="2204"/>
      <c r="DID479" s="2204"/>
      <c r="DIE479" s="2204">
        <f t="shared" si="75"/>
        <v>0</v>
      </c>
      <c r="DIF479" s="2204">
        <f>[16]BV!DIQ395</f>
        <v>0</v>
      </c>
      <c r="DIG479" s="2204"/>
      <c r="DIH479" s="2204"/>
      <c r="DII479" s="2204">
        <f t="shared" ref="DII479:DKQ479" si="76">DIF479</f>
        <v>0</v>
      </c>
      <c r="DIJ479" s="2204">
        <f>[16]BV!DIU395</f>
        <v>0</v>
      </c>
      <c r="DIK479" s="2204"/>
      <c r="DIL479" s="2204"/>
      <c r="DIM479" s="2204">
        <f t="shared" si="76"/>
        <v>0</v>
      </c>
      <c r="DIN479" s="2204">
        <f>[16]BV!DIY395</f>
        <v>0</v>
      </c>
      <c r="DIO479" s="2204"/>
      <c r="DIP479" s="2204"/>
      <c r="DIQ479" s="2204">
        <f t="shared" si="76"/>
        <v>0</v>
      </c>
      <c r="DIR479" s="2204">
        <f>[16]BV!DJC395</f>
        <v>0</v>
      </c>
      <c r="DIS479" s="2204"/>
      <c r="DIT479" s="2204"/>
      <c r="DIU479" s="2204">
        <f t="shared" si="76"/>
        <v>0</v>
      </c>
      <c r="DIV479" s="2204">
        <f>[16]BV!DJG395</f>
        <v>0</v>
      </c>
      <c r="DIW479" s="2204"/>
      <c r="DIX479" s="2204"/>
      <c r="DIY479" s="2204">
        <f t="shared" si="76"/>
        <v>0</v>
      </c>
      <c r="DIZ479" s="2204">
        <f>[16]BV!DJK395</f>
        <v>0</v>
      </c>
      <c r="DJA479" s="2204"/>
      <c r="DJB479" s="2204"/>
      <c r="DJC479" s="2204">
        <f t="shared" si="76"/>
        <v>0</v>
      </c>
      <c r="DJD479" s="2204">
        <f>[16]BV!DJO395</f>
        <v>0</v>
      </c>
      <c r="DJE479" s="2204"/>
      <c r="DJF479" s="2204"/>
      <c r="DJG479" s="2204">
        <f t="shared" si="76"/>
        <v>0</v>
      </c>
      <c r="DJH479" s="2204">
        <f>[16]BV!DJS395</f>
        <v>0</v>
      </c>
      <c r="DJI479" s="2204"/>
      <c r="DJJ479" s="2204"/>
      <c r="DJK479" s="2204">
        <f t="shared" si="76"/>
        <v>0</v>
      </c>
      <c r="DJL479" s="2204">
        <f>[16]BV!DJW395</f>
        <v>0</v>
      </c>
      <c r="DJM479" s="2204"/>
      <c r="DJN479" s="2204"/>
      <c r="DJO479" s="2204">
        <f t="shared" si="76"/>
        <v>0</v>
      </c>
      <c r="DJP479" s="2204">
        <f>[16]BV!DKA395</f>
        <v>0</v>
      </c>
      <c r="DJQ479" s="2204"/>
      <c r="DJR479" s="2204"/>
      <c r="DJS479" s="2204">
        <f t="shared" si="76"/>
        <v>0</v>
      </c>
      <c r="DJT479" s="2204">
        <f>[16]BV!DKE395</f>
        <v>0</v>
      </c>
      <c r="DJU479" s="2204"/>
      <c r="DJV479" s="2204"/>
      <c r="DJW479" s="2204">
        <f t="shared" si="76"/>
        <v>0</v>
      </c>
      <c r="DJX479" s="2204">
        <f>[16]BV!DKI395</f>
        <v>0</v>
      </c>
      <c r="DJY479" s="2204"/>
      <c r="DJZ479" s="2204"/>
      <c r="DKA479" s="2204">
        <f t="shared" si="76"/>
        <v>0</v>
      </c>
      <c r="DKB479" s="2204">
        <f>[16]BV!DKM395</f>
        <v>0</v>
      </c>
      <c r="DKC479" s="2204"/>
      <c r="DKD479" s="2204"/>
      <c r="DKE479" s="2204">
        <f t="shared" si="76"/>
        <v>0</v>
      </c>
      <c r="DKF479" s="2204">
        <f>[16]BV!DKQ395</f>
        <v>0</v>
      </c>
      <c r="DKG479" s="2204"/>
      <c r="DKH479" s="2204"/>
      <c r="DKI479" s="2204">
        <f t="shared" si="76"/>
        <v>0</v>
      </c>
      <c r="DKJ479" s="2204">
        <f>[16]BV!DKU395</f>
        <v>0</v>
      </c>
      <c r="DKK479" s="2204"/>
      <c r="DKL479" s="2204"/>
      <c r="DKM479" s="2204">
        <f t="shared" si="76"/>
        <v>0</v>
      </c>
      <c r="DKN479" s="2204">
        <f>[16]BV!DKY395</f>
        <v>0</v>
      </c>
      <c r="DKO479" s="2204"/>
      <c r="DKP479" s="2204"/>
      <c r="DKQ479" s="2204">
        <f t="shared" si="76"/>
        <v>0</v>
      </c>
      <c r="DKR479" s="2204">
        <f>[16]BV!DLC395</f>
        <v>0</v>
      </c>
      <c r="DKS479" s="2204"/>
      <c r="DKT479" s="2204"/>
      <c r="DKU479" s="2204">
        <f t="shared" ref="DKU479:DNC479" si="77">DKR479</f>
        <v>0</v>
      </c>
      <c r="DKV479" s="2204">
        <f>[16]BV!DLG395</f>
        <v>0</v>
      </c>
      <c r="DKW479" s="2204"/>
      <c r="DKX479" s="2204"/>
      <c r="DKY479" s="2204">
        <f t="shared" si="77"/>
        <v>0</v>
      </c>
      <c r="DKZ479" s="2204">
        <f>[16]BV!DLK395</f>
        <v>0</v>
      </c>
      <c r="DLA479" s="2204"/>
      <c r="DLB479" s="2204"/>
      <c r="DLC479" s="2204">
        <f t="shared" si="77"/>
        <v>0</v>
      </c>
      <c r="DLD479" s="2204">
        <f>[16]BV!DLO395</f>
        <v>0</v>
      </c>
      <c r="DLE479" s="2204"/>
      <c r="DLF479" s="2204"/>
      <c r="DLG479" s="2204">
        <f t="shared" si="77"/>
        <v>0</v>
      </c>
      <c r="DLH479" s="2204">
        <f>[16]BV!DLS395</f>
        <v>0</v>
      </c>
      <c r="DLI479" s="2204"/>
      <c r="DLJ479" s="2204"/>
      <c r="DLK479" s="2204">
        <f t="shared" si="77"/>
        <v>0</v>
      </c>
      <c r="DLL479" s="2204">
        <f>[16]BV!DLW395</f>
        <v>0</v>
      </c>
      <c r="DLM479" s="2204"/>
      <c r="DLN479" s="2204"/>
      <c r="DLO479" s="2204">
        <f t="shared" si="77"/>
        <v>0</v>
      </c>
      <c r="DLP479" s="2204">
        <f>[16]BV!DMA395</f>
        <v>0</v>
      </c>
      <c r="DLQ479" s="2204"/>
      <c r="DLR479" s="2204"/>
      <c r="DLS479" s="2204">
        <f t="shared" si="77"/>
        <v>0</v>
      </c>
      <c r="DLT479" s="2204">
        <f>[16]BV!DME395</f>
        <v>0</v>
      </c>
      <c r="DLU479" s="2204"/>
      <c r="DLV479" s="2204"/>
      <c r="DLW479" s="2204">
        <f t="shared" si="77"/>
        <v>0</v>
      </c>
      <c r="DLX479" s="2204">
        <f>[16]BV!DMI395</f>
        <v>0</v>
      </c>
      <c r="DLY479" s="2204"/>
      <c r="DLZ479" s="2204"/>
      <c r="DMA479" s="2204">
        <f t="shared" si="77"/>
        <v>0</v>
      </c>
      <c r="DMB479" s="2204">
        <f>[16]BV!DMM395</f>
        <v>0</v>
      </c>
      <c r="DMC479" s="2204"/>
      <c r="DMD479" s="2204"/>
      <c r="DME479" s="2204">
        <f t="shared" si="77"/>
        <v>0</v>
      </c>
      <c r="DMF479" s="2204">
        <f>[16]BV!DMQ395</f>
        <v>0</v>
      </c>
      <c r="DMG479" s="2204"/>
      <c r="DMH479" s="2204"/>
      <c r="DMI479" s="2204">
        <f t="shared" si="77"/>
        <v>0</v>
      </c>
      <c r="DMJ479" s="2204">
        <f>[16]BV!DMU395</f>
        <v>0</v>
      </c>
      <c r="DMK479" s="2204"/>
      <c r="DML479" s="2204"/>
      <c r="DMM479" s="2204">
        <f t="shared" si="77"/>
        <v>0</v>
      </c>
      <c r="DMN479" s="2204">
        <f>[16]BV!DMY395</f>
        <v>0</v>
      </c>
      <c r="DMO479" s="2204"/>
      <c r="DMP479" s="2204"/>
      <c r="DMQ479" s="2204">
        <f t="shared" si="77"/>
        <v>0</v>
      </c>
      <c r="DMR479" s="2204">
        <f>[16]BV!DNC395</f>
        <v>0</v>
      </c>
      <c r="DMS479" s="2204"/>
      <c r="DMT479" s="2204"/>
      <c r="DMU479" s="2204">
        <f t="shared" si="77"/>
        <v>0</v>
      </c>
      <c r="DMV479" s="2204">
        <f>[16]BV!DNG395</f>
        <v>0</v>
      </c>
      <c r="DMW479" s="2204"/>
      <c r="DMX479" s="2204"/>
      <c r="DMY479" s="2204">
        <f t="shared" si="77"/>
        <v>0</v>
      </c>
      <c r="DMZ479" s="2204">
        <f>[16]BV!DNK395</f>
        <v>0</v>
      </c>
      <c r="DNA479" s="2204"/>
      <c r="DNB479" s="2204"/>
      <c r="DNC479" s="2204">
        <f t="shared" si="77"/>
        <v>0</v>
      </c>
      <c r="DND479" s="2204">
        <f>[16]BV!DNO395</f>
        <v>0</v>
      </c>
      <c r="DNE479" s="2204"/>
      <c r="DNF479" s="2204"/>
      <c r="DNG479" s="2204">
        <f t="shared" ref="DNG479:DPO479" si="78">DND479</f>
        <v>0</v>
      </c>
      <c r="DNH479" s="2204">
        <f>[16]BV!DNS395</f>
        <v>0</v>
      </c>
      <c r="DNI479" s="2204"/>
      <c r="DNJ479" s="2204"/>
      <c r="DNK479" s="2204">
        <f t="shared" si="78"/>
        <v>0</v>
      </c>
      <c r="DNL479" s="2204">
        <f>[16]BV!DNW395</f>
        <v>0</v>
      </c>
      <c r="DNM479" s="2204"/>
      <c r="DNN479" s="2204"/>
      <c r="DNO479" s="2204">
        <f t="shared" si="78"/>
        <v>0</v>
      </c>
      <c r="DNP479" s="2204">
        <f>[16]BV!DOA395</f>
        <v>0</v>
      </c>
      <c r="DNQ479" s="2204"/>
      <c r="DNR479" s="2204"/>
      <c r="DNS479" s="2204">
        <f t="shared" si="78"/>
        <v>0</v>
      </c>
      <c r="DNT479" s="2204">
        <f>[16]BV!DOE395</f>
        <v>0</v>
      </c>
      <c r="DNU479" s="2204"/>
      <c r="DNV479" s="2204"/>
      <c r="DNW479" s="2204">
        <f t="shared" si="78"/>
        <v>0</v>
      </c>
      <c r="DNX479" s="2204">
        <f>[16]BV!DOI395</f>
        <v>0</v>
      </c>
      <c r="DNY479" s="2204"/>
      <c r="DNZ479" s="2204"/>
      <c r="DOA479" s="2204">
        <f t="shared" si="78"/>
        <v>0</v>
      </c>
      <c r="DOB479" s="2204">
        <f>[16]BV!DOM395</f>
        <v>0</v>
      </c>
      <c r="DOC479" s="2204"/>
      <c r="DOD479" s="2204"/>
      <c r="DOE479" s="2204">
        <f t="shared" si="78"/>
        <v>0</v>
      </c>
      <c r="DOF479" s="2204">
        <f>[16]BV!DOQ395</f>
        <v>0</v>
      </c>
      <c r="DOG479" s="2204"/>
      <c r="DOH479" s="2204"/>
      <c r="DOI479" s="2204">
        <f t="shared" si="78"/>
        <v>0</v>
      </c>
      <c r="DOJ479" s="2204">
        <f>[16]BV!DOU395</f>
        <v>0</v>
      </c>
      <c r="DOK479" s="2204"/>
      <c r="DOL479" s="2204"/>
      <c r="DOM479" s="2204">
        <f t="shared" si="78"/>
        <v>0</v>
      </c>
      <c r="DON479" s="2204">
        <f>[16]BV!DOY395</f>
        <v>0</v>
      </c>
      <c r="DOO479" s="2204"/>
      <c r="DOP479" s="2204"/>
      <c r="DOQ479" s="2204">
        <f t="shared" si="78"/>
        <v>0</v>
      </c>
      <c r="DOR479" s="2204">
        <f>[16]BV!DPC395</f>
        <v>0</v>
      </c>
      <c r="DOS479" s="2204"/>
      <c r="DOT479" s="2204"/>
      <c r="DOU479" s="2204">
        <f t="shared" si="78"/>
        <v>0</v>
      </c>
      <c r="DOV479" s="2204">
        <f>[16]BV!DPG395</f>
        <v>0</v>
      </c>
      <c r="DOW479" s="2204"/>
      <c r="DOX479" s="2204"/>
      <c r="DOY479" s="2204">
        <f t="shared" si="78"/>
        <v>0</v>
      </c>
      <c r="DOZ479" s="2204">
        <f>[16]BV!DPK395</f>
        <v>0</v>
      </c>
      <c r="DPA479" s="2204"/>
      <c r="DPB479" s="2204"/>
      <c r="DPC479" s="2204">
        <f t="shared" si="78"/>
        <v>0</v>
      </c>
      <c r="DPD479" s="2204">
        <f>[16]BV!DPO395</f>
        <v>0</v>
      </c>
      <c r="DPE479" s="2204"/>
      <c r="DPF479" s="2204"/>
      <c r="DPG479" s="2204">
        <f t="shared" si="78"/>
        <v>0</v>
      </c>
      <c r="DPH479" s="2204">
        <f>[16]BV!DPS395</f>
        <v>0</v>
      </c>
      <c r="DPI479" s="2204"/>
      <c r="DPJ479" s="2204"/>
      <c r="DPK479" s="2204">
        <f t="shared" si="78"/>
        <v>0</v>
      </c>
      <c r="DPL479" s="2204">
        <f>[16]BV!DPW395</f>
        <v>0</v>
      </c>
      <c r="DPM479" s="2204"/>
      <c r="DPN479" s="2204"/>
      <c r="DPO479" s="2204">
        <f t="shared" si="78"/>
        <v>0</v>
      </c>
      <c r="DPP479" s="2204">
        <f>[16]BV!DQA395</f>
        <v>0</v>
      </c>
      <c r="DPQ479" s="2204"/>
      <c r="DPR479" s="2204"/>
      <c r="DPS479" s="2204">
        <f t="shared" ref="DPS479:DSA479" si="79">DPP479</f>
        <v>0</v>
      </c>
      <c r="DPT479" s="2204">
        <f>[16]BV!DQE395</f>
        <v>0</v>
      </c>
      <c r="DPU479" s="2204"/>
      <c r="DPV479" s="2204"/>
      <c r="DPW479" s="2204">
        <f t="shared" si="79"/>
        <v>0</v>
      </c>
      <c r="DPX479" s="2204">
        <f>[16]BV!DQI395</f>
        <v>0</v>
      </c>
      <c r="DPY479" s="2204"/>
      <c r="DPZ479" s="2204"/>
      <c r="DQA479" s="2204">
        <f t="shared" si="79"/>
        <v>0</v>
      </c>
      <c r="DQB479" s="2204">
        <f>[16]BV!DQM395</f>
        <v>0</v>
      </c>
      <c r="DQC479" s="2204"/>
      <c r="DQD479" s="2204"/>
      <c r="DQE479" s="2204">
        <f t="shared" si="79"/>
        <v>0</v>
      </c>
      <c r="DQF479" s="2204">
        <f>[16]BV!DQQ395</f>
        <v>0</v>
      </c>
      <c r="DQG479" s="2204"/>
      <c r="DQH479" s="2204"/>
      <c r="DQI479" s="2204">
        <f t="shared" si="79"/>
        <v>0</v>
      </c>
      <c r="DQJ479" s="2204">
        <f>[16]BV!DQU395</f>
        <v>0</v>
      </c>
      <c r="DQK479" s="2204"/>
      <c r="DQL479" s="2204"/>
      <c r="DQM479" s="2204">
        <f t="shared" si="79"/>
        <v>0</v>
      </c>
      <c r="DQN479" s="2204">
        <f>[16]BV!DQY395</f>
        <v>0</v>
      </c>
      <c r="DQO479" s="2204"/>
      <c r="DQP479" s="2204"/>
      <c r="DQQ479" s="2204">
        <f t="shared" si="79"/>
        <v>0</v>
      </c>
      <c r="DQR479" s="2204">
        <f>[16]BV!DRC395</f>
        <v>0</v>
      </c>
      <c r="DQS479" s="2204"/>
      <c r="DQT479" s="2204"/>
      <c r="DQU479" s="2204">
        <f t="shared" si="79"/>
        <v>0</v>
      </c>
      <c r="DQV479" s="2204">
        <f>[16]BV!DRG395</f>
        <v>0</v>
      </c>
      <c r="DQW479" s="2204"/>
      <c r="DQX479" s="2204"/>
      <c r="DQY479" s="2204">
        <f t="shared" si="79"/>
        <v>0</v>
      </c>
      <c r="DQZ479" s="2204">
        <f>[16]BV!DRK395</f>
        <v>0</v>
      </c>
      <c r="DRA479" s="2204"/>
      <c r="DRB479" s="2204"/>
      <c r="DRC479" s="2204">
        <f t="shared" si="79"/>
        <v>0</v>
      </c>
      <c r="DRD479" s="2204">
        <f>[16]BV!DRO395</f>
        <v>0</v>
      </c>
      <c r="DRE479" s="2204"/>
      <c r="DRF479" s="2204"/>
      <c r="DRG479" s="2204">
        <f t="shared" si="79"/>
        <v>0</v>
      </c>
      <c r="DRH479" s="2204">
        <f>[16]BV!DRS395</f>
        <v>0</v>
      </c>
      <c r="DRI479" s="2204"/>
      <c r="DRJ479" s="2204"/>
      <c r="DRK479" s="2204">
        <f t="shared" si="79"/>
        <v>0</v>
      </c>
      <c r="DRL479" s="2204">
        <f>[16]BV!DRW395</f>
        <v>0</v>
      </c>
      <c r="DRM479" s="2204"/>
      <c r="DRN479" s="2204"/>
      <c r="DRO479" s="2204">
        <f t="shared" si="79"/>
        <v>0</v>
      </c>
      <c r="DRP479" s="2204">
        <f>[16]BV!DSA395</f>
        <v>0</v>
      </c>
      <c r="DRQ479" s="2204"/>
      <c r="DRR479" s="2204"/>
      <c r="DRS479" s="2204">
        <f t="shared" si="79"/>
        <v>0</v>
      </c>
      <c r="DRT479" s="2204">
        <f>[16]BV!DSE395</f>
        <v>0</v>
      </c>
      <c r="DRU479" s="2204"/>
      <c r="DRV479" s="2204"/>
      <c r="DRW479" s="2204">
        <f t="shared" si="79"/>
        <v>0</v>
      </c>
      <c r="DRX479" s="2204">
        <f>[16]BV!DSI395</f>
        <v>0</v>
      </c>
      <c r="DRY479" s="2204"/>
      <c r="DRZ479" s="2204"/>
      <c r="DSA479" s="2204">
        <f t="shared" si="79"/>
        <v>0</v>
      </c>
      <c r="DSB479" s="2204">
        <f>[16]BV!DSM395</f>
        <v>0</v>
      </c>
      <c r="DSC479" s="2204"/>
      <c r="DSD479" s="2204"/>
      <c r="DSE479" s="2204">
        <f t="shared" ref="DSE479:DUM479" si="80">DSB479</f>
        <v>0</v>
      </c>
      <c r="DSF479" s="2204">
        <f>[16]BV!DSQ395</f>
        <v>0</v>
      </c>
      <c r="DSG479" s="2204"/>
      <c r="DSH479" s="2204"/>
      <c r="DSI479" s="2204">
        <f t="shared" si="80"/>
        <v>0</v>
      </c>
      <c r="DSJ479" s="2204">
        <f>[16]BV!DSU395</f>
        <v>0</v>
      </c>
      <c r="DSK479" s="2204"/>
      <c r="DSL479" s="2204"/>
      <c r="DSM479" s="2204">
        <f t="shared" si="80"/>
        <v>0</v>
      </c>
      <c r="DSN479" s="2204">
        <f>[16]BV!DSY395</f>
        <v>0</v>
      </c>
      <c r="DSO479" s="2204"/>
      <c r="DSP479" s="2204"/>
      <c r="DSQ479" s="2204">
        <f t="shared" si="80"/>
        <v>0</v>
      </c>
      <c r="DSR479" s="2204">
        <f>[16]BV!DTC395</f>
        <v>0</v>
      </c>
      <c r="DSS479" s="2204"/>
      <c r="DST479" s="2204"/>
      <c r="DSU479" s="2204">
        <f t="shared" si="80"/>
        <v>0</v>
      </c>
      <c r="DSV479" s="2204">
        <f>[16]BV!DTG395</f>
        <v>0</v>
      </c>
      <c r="DSW479" s="2204"/>
      <c r="DSX479" s="2204"/>
      <c r="DSY479" s="2204">
        <f t="shared" si="80"/>
        <v>0</v>
      </c>
      <c r="DSZ479" s="2204">
        <f>[16]BV!DTK395</f>
        <v>0</v>
      </c>
      <c r="DTA479" s="2204"/>
      <c r="DTB479" s="2204"/>
      <c r="DTC479" s="2204">
        <f t="shared" si="80"/>
        <v>0</v>
      </c>
      <c r="DTD479" s="2204">
        <f>[16]BV!DTO395</f>
        <v>0</v>
      </c>
      <c r="DTE479" s="2204"/>
      <c r="DTF479" s="2204"/>
      <c r="DTG479" s="2204">
        <f t="shared" si="80"/>
        <v>0</v>
      </c>
      <c r="DTH479" s="2204">
        <f>[16]BV!DTS395</f>
        <v>0</v>
      </c>
      <c r="DTI479" s="2204"/>
      <c r="DTJ479" s="2204"/>
      <c r="DTK479" s="2204">
        <f t="shared" si="80"/>
        <v>0</v>
      </c>
      <c r="DTL479" s="2204">
        <f>[16]BV!DTW395</f>
        <v>0</v>
      </c>
      <c r="DTM479" s="2204"/>
      <c r="DTN479" s="2204"/>
      <c r="DTO479" s="2204">
        <f t="shared" si="80"/>
        <v>0</v>
      </c>
      <c r="DTP479" s="2204">
        <f>[16]BV!DUA395</f>
        <v>0</v>
      </c>
      <c r="DTQ479" s="2204"/>
      <c r="DTR479" s="2204"/>
      <c r="DTS479" s="2204">
        <f t="shared" si="80"/>
        <v>0</v>
      </c>
      <c r="DTT479" s="2204">
        <f>[16]BV!DUE395</f>
        <v>0</v>
      </c>
      <c r="DTU479" s="2204"/>
      <c r="DTV479" s="2204"/>
      <c r="DTW479" s="2204">
        <f t="shared" si="80"/>
        <v>0</v>
      </c>
      <c r="DTX479" s="2204">
        <f>[16]BV!DUI395</f>
        <v>0</v>
      </c>
      <c r="DTY479" s="2204"/>
      <c r="DTZ479" s="2204"/>
      <c r="DUA479" s="2204">
        <f t="shared" si="80"/>
        <v>0</v>
      </c>
      <c r="DUB479" s="2204">
        <f>[16]BV!DUM395</f>
        <v>0</v>
      </c>
      <c r="DUC479" s="2204"/>
      <c r="DUD479" s="2204"/>
      <c r="DUE479" s="2204">
        <f t="shared" si="80"/>
        <v>0</v>
      </c>
      <c r="DUF479" s="2204">
        <f>[16]BV!DUQ395</f>
        <v>0</v>
      </c>
      <c r="DUG479" s="2204"/>
      <c r="DUH479" s="2204"/>
      <c r="DUI479" s="2204">
        <f t="shared" si="80"/>
        <v>0</v>
      </c>
      <c r="DUJ479" s="2204">
        <f>[16]BV!DUU395</f>
        <v>0</v>
      </c>
      <c r="DUK479" s="2204"/>
      <c r="DUL479" s="2204"/>
      <c r="DUM479" s="2204">
        <f t="shared" si="80"/>
        <v>0</v>
      </c>
      <c r="DUN479" s="2204">
        <f>[16]BV!DUY395</f>
        <v>0</v>
      </c>
      <c r="DUO479" s="2204"/>
      <c r="DUP479" s="2204"/>
      <c r="DUQ479" s="2204">
        <f t="shared" ref="DUQ479:DWY479" si="81">DUN479</f>
        <v>0</v>
      </c>
      <c r="DUR479" s="2204">
        <f>[16]BV!DVC395</f>
        <v>0</v>
      </c>
      <c r="DUS479" s="2204"/>
      <c r="DUT479" s="2204"/>
      <c r="DUU479" s="2204">
        <f t="shared" si="81"/>
        <v>0</v>
      </c>
      <c r="DUV479" s="2204">
        <f>[16]BV!DVG395</f>
        <v>0</v>
      </c>
      <c r="DUW479" s="2204"/>
      <c r="DUX479" s="2204"/>
      <c r="DUY479" s="2204">
        <f t="shared" si="81"/>
        <v>0</v>
      </c>
      <c r="DUZ479" s="2204">
        <f>[16]BV!DVK395</f>
        <v>0</v>
      </c>
      <c r="DVA479" s="2204"/>
      <c r="DVB479" s="2204"/>
      <c r="DVC479" s="2204">
        <f t="shared" si="81"/>
        <v>0</v>
      </c>
      <c r="DVD479" s="2204">
        <f>[16]BV!DVO395</f>
        <v>0</v>
      </c>
      <c r="DVE479" s="2204"/>
      <c r="DVF479" s="2204"/>
      <c r="DVG479" s="2204">
        <f t="shared" si="81"/>
        <v>0</v>
      </c>
      <c r="DVH479" s="2204">
        <f>[16]BV!DVS395</f>
        <v>0</v>
      </c>
      <c r="DVI479" s="2204"/>
      <c r="DVJ479" s="2204"/>
      <c r="DVK479" s="2204">
        <f t="shared" si="81"/>
        <v>0</v>
      </c>
      <c r="DVL479" s="2204">
        <f>[16]BV!DVW395</f>
        <v>0</v>
      </c>
      <c r="DVM479" s="2204"/>
      <c r="DVN479" s="2204"/>
      <c r="DVO479" s="2204">
        <f t="shared" si="81"/>
        <v>0</v>
      </c>
      <c r="DVP479" s="2204">
        <f>[16]BV!DWA395</f>
        <v>0</v>
      </c>
      <c r="DVQ479" s="2204"/>
      <c r="DVR479" s="2204"/>
      <c r="DVS479" s="2204">
        <f t="shared" si="81"/>
        <v>0</v>
      </c>
      <c r="DVT479" s="2204">
        <f>[16]BV!DWE395</f>
        <v>0</v>
      </c>
      <c r="DVU479" s="2204"/>
      <c r="DVV479" s="2204"/>
      <c r="DVW479" s="2204">
        <f t="shared" si="81"/>
        <v>0</v>
      </c>
      <c r="DVX479" s="2204">
        <f>[16]BV!DWI395</f>
        <v>0</v>
      </c>
      <c r="DVY479" s="2204"/>
      <c r="DVZ479" s="2204"/>
      <c r="DWA479" s="2204">
        <f t="shared" si="81"/>
        <v>0</v>
      </c>
      <c r="DWB479" s="2204">
        <f>[16]BV!DWM395</f>
        <v>0</v>
      </c>
      <c r="DWC479" s="2204"/>
      <c r="DWD479" s="2204"/>
      <c r="DWE479" s="2204">
        <f t="shared" si="81"/>
        <v>0</v>
      </c>
      <c r="DWF479" s="2204">
        <f>[16]BV!DWQ395</f>
        <v>0</v>
      </c>
      <c r="DWG479" s="2204"/>
      <c r="DWH479" s="2204"/>
      <c r="DWI479" s="2204">
        <f t="shared" si="81"/>
        <v>0</v>
      </c>
      <c r="DWJ479" s="2204">
        <f>[16]BV!DWU395</f>
        <v>0</v>
      </c>
      <c r="DWK479" s="2204"/>
      <c r="DWL479" s="2204"/>
      <c r="DWM479" s="2204">
        <f t="shared" si="81"/>
        <v>0</v>
      </c>
      <c r="DWN479" s="2204">
        <f>[16]BV!DWY395</f>
        <v>0</v>
      </c>
      <c r="DWO479" s="2204"/>
      <c r="DWP479" s="2204"/>
      <c r="DWQ479" s="2204">
        <f t="shared" si="81"/>
        <v>0</v>
      </c>
      <c r="DWR479" s="2204">
        <f>[16]BV!DXC395</f>
        <v>0</v>
      </c>
      <c r="DWS479" s="2204"/>
      <c r="DWT479" s="2204"/>
      <c r="DWU479" s="2204">
        <f t="shared" si="81"/>
        <v>0</v>
      </c>
      <c r="DWV479" s="2204">
        <f>[16]BV!DXG395</f>
        <v>0</v>
      </c>
      <c r="DWW479" s="2204"/>
      <c r="DWX479" s="2204"/>
      <c r="DWY479" s="2204">
        <f t="shared" si="81"/>
        <v>0</v>
      </c>
      <c r="DWZ479" s="2204">
        <f>[16]BV!DXK395</f>
        <v>0</v>
      </c>
      <c r="DXA479" s="2204"/>
      <c r="DXB479" s="2204"/>
      <c r="DXC479" s="2204">
        <f t="shared" ref="DXC479:DZK479" si="82">DWZ479</f>
        <v>0</v>
      </c>
      <c r="DXD479" s="2204">
        <f>[16]BV!DXO395</f>
        <v>0</v>
      </c>
      <c r="DXE479" s="2204"/>
      <c r="DXF479" s="2204"/>
      <c r="DXG479" s="2204">
        <f t="shared" si="82"/>
        <v>0</v>
      </c>
      <c r="DXH479" s="2204">
        <f>[16]BV!DXS395</f>
        <v>0</v>
      </c>
      <c r="DXI479" s="2204"/>
      <c r="DXJ479" s="2204"/>
      <c r="DXK479" s="2204">
        <f t="shared" si="82"/>
        <v>0</v>
      </c>
      <c r="DXL479" s="2204">
        <f>[16]BV!DXW395</f>
        <v>0</v>
      </c>
      <c r="DXM479" s="2204"/>
      <c r="DXN479" s="2204"/>
      <c r="DXO479" s="2204">
        <f t="shared" si="82"/>
        <v>0</v>
      </c>
      <c r="DXP479" s="2204">
        <f>[16]BV!DYA395</f>
        <v>0</v>
      </c>
      <c r="DXQ479" s="2204"/>
      <c r="DXR479" s="2204"/>
      <c r="DXS479" s="2204">
        <f t="shared" si="82"/>
        <v>0</v>
      </c>
      <c r="DXT479" s="2204">
        <f>[16]BV!DYE395</f>
        <v>0</v>
      </c>
      <c r="DXU479" s="2204"/>
      <c r="DXV479" s="2204"/>
      <c r="DXW479" s="2204">
        <f t="shared" si="82"/>
        <v>0</v>
      </c>
      <c r="DXX479" s="2204">
        <f>[16]BV!DYI395</f>
        <v>0</v>
      </c>
      <c r="DXY479" s="2204"/>
      <c r="DXZ479" s="2204"/>
      <c r="DYA479" s="2204">
        <f t="shared" si="82"/>
        <v>0</v>
      </c>
      <c r="DYB479" s="2204">
        <f>[16]BV!DYM395</f>
        <v>0</v>
      </c>
      <c r="DYC479" s="2204"/>
      <c r="DYD479" s="2204"/>
      <c r="DYE479" s="2204">
        <f t="shared" si="82"/>
        <v>0</v>
      </c>
      <c r="DYF479" s="2204">
        <f>[16]BV!DYQ395</f>
        <v>0</v>
      </c>
      <c r="DYG479" s="2204"/>
      <c r="DYH479" s="2204"/>
      <c r="DYI479" s="2204">
        <f t="shared" si="82"/>
        <v>0</v>
      </c>
      <c r="DYJ479" s="2204">
        <f>[16]BV!DYU395</f>
        <v>0</v>
      </c>
      <c r="DYK479" s="2204"/>
      <c r="DYL479" s="2204"/>
      <c r="DYM479" s="2204">
        <f t="shared" si="82"/>
        <v>0</v>
      </c>
      <c r="DYN479" s="2204">
        <f>[16]BV!DYY395</f>
        <v>0</v>
      </c>
      <c r="DYO479" s="2204"/>
      <c r="DYP479" s="2204"/>
      <c r="DYQ479" s="2204">
        <f t="shared" si="82"/>
        <v>0</v>
      </c>
      <c r="DYR479" s="2204">
        <f>[16]BV!DZC395</f>
        <v>0</v>
      </c>
      <c r="DYS479" s="2204"/>
      <c r="DYT479" s="2204"/>
      <c r="DYU479" s="2204">
        <f t="shared" si="82"/>
        <v>0</v>
      </c>
      <c r="DYV479" s="2204">
        <f>[16]BV!DZG395</f>
        <v>0</v>
      </c>
      <c r="DYW479" s="2204"/>
      <c r="DYX479" s="2204"/>
      <c r="DYY479" s="2204">
        <f t="shared" si="82"/>
        <v>0</v>
      </c>
      <c r="DYZ479" s="2204">
        <f>[16]BV!DZK395</f>
        <v>0</v>
      </c>
      <c r="DZA479" s="2204"/>
      <c r="DZB479" s="2204"/>
      <c r="DZC479" s="2204">
        <f t="shared" si="82"/>
        <v>0</v>
      </c>
      <c r="DZD479" s="2204">
        <f>[16]BV!DZO395</f>
        <v>0</v>
      </c>
      <c r="DZE479" s="2204"/>
      <c r="DZF479" s="2204"/>
      <c r="DZG479" s="2204">
        <f t="shared" si="82"/>
        <v>0</v>
      </c>
      <c r="DZH479" s="2204">
        <f>[16]BV!DZS395</f>
        <v>0</v>
      </c>
      <c r="DZI479" s="2204"/>
      <c r="DZJ479" s="2204"/>
      <c r="DZK479" s="2204">
        <f t="shared" si="82"/>
        <v>0</v>
      </c>
      <c r="DZL479" s="2204">
        <f>[16]BV!DZW395</f>
        <v>0</v>
      </c>
      <c r="DZM479" s="2204"/>
      <c r="DZN479" s="2204"/>
      <c r="DZO479" s="2204">
        <f t="shared" ref="DZO479:EBW479" si="83">DZL479</f>
        <v>0</v>
      </c>
      <c r="DZP479" s="2204">
        <f>[16]BV!EAA395</f>
        <v>0</v>
      </c>
      <c r="DZQ479" s="2204"/>
      <c r="DZR479" s="2204"/>
      <c r="DZS479" s="2204">
        <f t="shared" si="83"/>
        <v>0</v>
      </c>
      <c r="DZT479" s="2204">
        <f>[16]BV!EAE395</f>
        <v>0</v>
      </c>
      <c r="DZU479" s="2204"/>
      <c r="DZV479" s="2204"/>
      <c r="DZW479" s="2204">
        <f t="shared" si="83"/>
        <v>0</v>
      </c>
      <c r="DZX479" s="2204">
        <f>[16]BV!EAI395</f>
        <v>0</v>
      </c>
      <c r="DZY479" s="2204"/>
      <c r="DZZ479" s="2204"/>
      <c r="EAA479" s="2204">
        <f t="shared" si="83"/>
        <v>0</v>
      </c>
      <c r="EAB479" s="2204">
        <f>[16]BV!EAM395</f>
        <v>0</v>
      </c>
      <c r="EAC479" s="2204"/>
      <c r="EAD479" s="2204"/>
      <c r="EAE479" s="2204">
        <f t="shared" si="83"/>
        <v>0</v>
      </c>
      <c r="EAF479" s="2204">
        <f>[16]BV!EAQ395</f>
        <v>0</v>
      </c>
      <c r="EAG479" s="2204"/>
      <c r="EAH479" s="2204"/>
      <c r="EAI479" s="2204">
        <f t="shared" si="83"/>
        <v>0</v>
      </c>
      <c r="EAJ479" s="2204">
        <f>[16]BV!EAU395</f>
        <v>0</v>
      </c>
      <c r="EAK479" s="2204"/>
      <c r="EAL479" s="2204"/>
      <c r="EAM479" s="2204">
        <f t="shared" si="83"/>
        <v>0</v>
      </c>
      <c r="EAN479" s="2204">
        <f>[16]BV!EAY395</f>
        <v>0</v>
      </c>
      <c r="EAO479" s="2204"/>
      <c r="EAP479" s="2204"/>
      <c r="EAQ479" s="2204">
        <f t="shared" si="83"/>
        <v>0</v>
      </c>
      <c r="EAR479" s="2204">
        <f>[16]BV!EBC395</f>
        <v>0</v>
      </c>
      <c r="EAS479" s="2204"/>
      <c r="EAT479" s="2204"/>
      <c r="EAU479" s="2204">
        <f t="shared" si="83"/>
        <v>0</v>
      </c>
      <c r="EAV479" s="2204">
        <f>[16]BV!EBG395</f>
        <v>0</v>
      </c>
      <c r="EAW479" s="2204"/>
      <c r="EAX479" s="2204"/>
      <c r="EAY479" s="2204">
        <f t="shared" si="83"/>
        <v>0</v>
      </c>
      <c r="EAZ479" s="2204">
        <f>[16]BV!EBK395</f>
        <v>0</v>
      </c>
      <c r="EBA479" s="2204"/>
      <c r="EBB479" s="2204"/>
      <c r="EBC479" s="2204">
        <f t="shared" si="83"/>
        <v>0</v>
      </c>
      <c r="EBD479" s="2204">
        <f>[16]BV!EBO395</f>
        <v>0</v>
      </c>
      <c r="EBE479" s="2204"/>
      <c r="EBF479" s="2204"/>
      <c r="EBG479" s="2204">
        <f t="shared" si="83"/>
        <v>0</v>
      </c>
      <c r="EBH479" s="2204">
        <f>[16]BV!EBS395</f>
        <v>0</v>
      </c>
      <c r="EBI479" s="2204"/>
      <c r="EBJ479" s="2204"/>
      <c r="EBK479" s="2204">
        <f t="shared" si="83"/>
        <v>0</v>
      </c>
      <c r="EBL479" s="2204">
        <f>[16]BV!EBW395</f>
        <v>0</v>
      </c>
      <c r="EBM479" s="2204"/>
      <c r="EBN479" s="2204"/>
      <c r="EBO479" s="2204">
        <f t="shared" si="83"/>
        <v>0</v>
      </c>
      <c r="EBP479" s="2204">
        <f>[16]BV!ECA395</f>
        <v>0</v>
      </c>
      <c r="EBQ479" s="2204"/>
      <c r="EBR479" s="2204"/>
      <c r="EBS479" s="2204">
        <f t="shared" si="83"/>
        <v>0</v>
      </c>
      <c r="EBT479" s="2204">
        <f>[16]BV!ECE395</f>
        <v>0</v>
      </c>
      <c r="EBU479" s="2204"/>
      <c r="EBV479" s="2204"/>
      <c r="EBW479" s="2204">
        <f t="shared" si="83"/>
        <v>0</v>
      </c>
      <c r="EBX479" s="2204">
        <f>[16]BV!ECI395</f>
        <v>0</v>
      </c>
      <c r="EBY479" s="2204"/>
      <c r="EBZ479" s="2204"/>
      <c r="ECA479" s="2204">
        <f t="shared" ref="ECA479:EEI479" si="84">EBX479</f>
        <v>0</v>
      </c>
      <c r="ECB479" s="2204">
        <f>[16]BV!ECM395</f>
        <v>0</v>
      </c>
      <c r="ECC479" s="2204"/>
      <c r="ECD479" s="2204"/>
      <c r="ECE479" s="2204">
        <f t="shared" si="84"/>
        <v>0</v>
      </c>
      <c r="ECF479" s="2204">
        <f>[16]BV!ECQ395</f>
        <v>0</v>
      </c>
      <c r="ECG479" s="2204"/>
      <c r="ECH479" s="2204"/>
      <c r="ECI479" s="2204">
        <f t="shared" si="84"/>
        <v>0</v>
      </c>
      <c r="ECJ479" s="2204">
        <f>[16]BV!ECU395</f>
        <v>0</v>
      </c>
      <c r="ECK479" s="2204"/>
      <c r="ECL479" s="2204"/>
      <c r="ECM479" s="2204">
        <f t="shared" si="84"/>
        <v>0</v>
      </c>
      <c r="ECN479" s="2204">
        <f>[16]BV!ECY395</f>
        <v>0</v>
      </c>
      <c r="ECO479" s="2204"/>
      <c r="ECP479" s="2204"/>
      <c r="ECQ479" s="2204">
        <f t="shared" si="84"/>
        <v>0</v>
      </c>
      <c r="ECR479" s="2204">
        <f>[16]BV!EDC395</f>
        <v>0</v>
      </c>
      <c r="ECS479" s="2204"/>
      <c r="ECT479" s="2204"/>
      <c r="ECU479" s="2204">
        <f t="shared" si="84"/>
        <v>0</v>
      </c>
      <c r="ECV479" s="2204">
        <f>[16]BV!EDG395</f>
        <v>0</v>
      </c>
      <c r="ECW479" s="2204"/>
      <c r="ECX479" s="2204"/>
      <c r="ECY479" s="2204">
        <f t="shared" si="84"/>
        <v>0</v>
      </c>
      <c r="ECZ479" s="2204">
        <f>[16]BV!EDK395</f>
        <v>0</v>
      </c>
      <c r="EDA479" s="2204"/>
      <c r="EDB479" s="2204"/>
      <c r="EDC479" s="2204">
        <f t="shared" si="84"/>
        <v>0</v>
      </c>
      <c r="EDD479" s="2204">
        <f>[16]BV!EDO395</f>
        <v>0</v>
      </c>
      <c r="EDE479" s="2204"/>
      <c r="EDF479" s="2204"/>
      <c r="EDG479" s="2204">
        <f t="shared" si="84"/>
        <v>0</v>
      </c>
      <c r="EDH479" s="2204">
        <f>[16]BV!EDS395</f>
        <v>0</v>
      </c>
      <c r="EDI479" s="2204"/>
      <c r="EDJ479" s="2204"/>
      <c r="EDK479" s="2204">
        <f t="shared" si="84"/>
        <v>0</v>
      </c>
      <c r="EDL479" s="2204">
        <f>[16]BV!EDW395</f>
        <v>0</v>
      </c>
      <c r="EDM479" s="2204"/>
      <c r="EDN479" s="2204"/>
      <c r="EDO479" s="2204">
        <f t="shared" si="84"/>
        <v>0</v>
      </c>
      <c r="EDP479" s="2204">
        <f>[16]BV!EEA395</f>
        <v>0</v>
      </c>
      <c r="EDQ479" s="2204"/>
      <c r="EDR479" s="2204"/>
      <c r="EDS479" s="2204">
        <f t="shared" si="84"/>
        <v>0</v>
      </c>
      <c r="EDT479" s="2204">
        <f>[16]BV!EEE395</f>
        <v>0</v>
      </c>
      <c r="EDU479" s="2204"/>
      <c r="EDV479" s="2204"/>
      <c r="EDW479" s="2204">
        <f t="shared" si="84"/>
        <v>0</v>
      </c>
      <c r="EDX479" s="2204">
        <f>[16]BV!EEI395</f>
        <v>0</v>
      </c>
      <c r="EDY479" s="2204"/>
      <c r="EDZ479" s="2204"/>
      <c r="EEA479" s="2204">
        <f t="shared" si="84"/>
        <v>0</v>
      </c>
      <c r="EEB479" s="2204">
        <f>[16]BV!EEM395</f>
        <v>0</v>
      </c>
      <c r="EEC479" s="2204"/>
      <c r="EED479" s="2204"/>
      <c r="EEE479" s="2204">
        <f t="shared" si="84"/>
        <v>0</v>
      </c>
      <c r="EEF479" s="2204">
        <f>[16]BV!EEQ395</f>
        <v>0</v>
      </c>
      <c r="EEG479" s="2204"/>
      <c r="EEH479" s="2204"/>
      <c r="EEI479" s="2204">
        <f t="shared" si="84"/>
        <v>0</v>
      </c>
      <c r="EEJ479" s="2204">
        <f>[16]BV!EEU395</f>
        <v>0</v>
      </c>
      <c r="EEK479" s="2204"/>
      <c r="EEL479" s="2204"/>
      <c r="EEM479" s="2204">
        <f t="shared" ref="EEM479:EGU479" si="85">EEJ479</f>
        <v>0</v>
      </c>
      <c r="EEN479" s="2204">
        <f>[16]BV!EEY395</f>
        <v>0</v>
      </c>
      <c r="EEO479" s="2204"/>
      <c r="EEP479" s="2204"/>
      <c r="EEQ479" s="2204">
        <f t="shared" si="85"/>
        <v>0</v>
      </c>
      <c r="EER479" s="2204">
        <f>[16]BV!EFC395</f>
        <v>0</v>
      </c>
      <c r="EES479" s="2204"/>
      <c r="EET479" s="2204"/>
      <c r="EEU479" s="2204">
        <f t="shared" si="85"/>
        <v>0</v>
      </c>
      <c r="EEV479" s="2204">
        <f>[16]BV!EFG395</f>
        <v>0</v>
      </c>
      <c r="EEW479" s="2204"/>
      <c r="EEX479" s="2204"/>
      <c r="EEY479" s="2204">
        <f t="shared" si="85"/>
        <v>0</v>
      </c>
      <c r="EEZ479" s="2204">
        <f>[16]BV!EFK395</f>
        <v>0</v>
      </c>
      <c r="EFA479" s="2204"/>
      <c r="EFB479" s="2204"/>
      <c r="EFC479" s="2204">
        <f t="shared" si="85"/>
        <v>0</v>
      </c>
      <c r="EFD479" s="2204">
        <f>[16]BV!EFO395</f>
        <v>0</v>
      </c>
      <c r="EFE479" s="2204"/>
      <c r="EFF479" s="2204"/>
      <c r="EFG479" s="2204">
        <f t="shared" si="85"/>
        <v>0</v>
      </c>
      <c r="EFH479" s="2204">
        <f>[16]BV!EFS395</f>
        <v>0</v>
      </c>
      <c r="EFI479" s="2204"/>
      <c r="EFJ479" s="2204"/>
      <c r="EFK479" s="2204">
        <f t="shared" si="85"/>
        <v>0</v>
      </c>
      <c r="EFL479" s="2204">
        <f>[16]BV!EFW395</f>
        <v>0</v>
      </c>
      <c r="EFM479" s="2204"/>
      <c r="EFN479" s="2204"/>
      <c r="EFO479" s="2204">
        <f t="shared" si="85"/>
        <v>0</v>
      </c>
      <c r="EFP479" s="2204">
        <f>[16]BV!EGA395</f>
        <v>0</v>
      </c>
      <c r="EFQ479" s="2204"/>
      <c r="EFR479" s="2204"/>
      <c r="EFS479" s="2204">
        <f t="shared" si="85"/>
        <v>0</v>
      </c>
      <c r="EFT479" s="2204">
        <f>[16]BV!EGE395</f>
        <v>0</v>
      </c>
      <c r="EFU479" s="2204"/>
      <c r="EFV479" s="2204"/>
      <c r="EFW479" s="2204">
        <f t="shared" si="85"/>
        <v>0</v>
      </c>
      <c r="EFX479" s="2204">
        <f>[16]BV!EGI395</f>
        <v>0</v>
      </c>
      <c r="EFY479" s="2204"/>
      <c r="EFZ479" s="2204"/>
      <c r="EGA479" s="2204">
        <f t="shared" si="85"/>
        <v>0</v>
      </c>
      <c r="EGB479" s="2204">
        <f>[16]BV!EGM395</f>
        <v>0</v>
      </c>
      <c r="EGC479" s="2204"/>
      <c r="EGD479" s="2204"/>
      <c r="EGE479" s="2204">
        <f t="shared" si="85"/>
        <v>0</v>
      </c>
      <c r="EGF479" s="2204">
        <f>[16]BV!EGQ395</f>
        <v>0</v>
      </c>
      <c r="EGG479" s="2204"/>
      <c r="EGH479" s="2204"/>
      <c r="EGI479" s="2204">
        <f t="shared" si="85"/>
        <v>0</v>
      </c>
      <c r="EGJ479" s="2204">
        <f>[16]BV!EGU395</f>
        <v>0</v>
      </c>
      <c r="EGK479" s="2204"/>
      <c r="EGL479" s="2204"/>
      <c r="EGM479" s="2204">
        <f t="shared" si="85"/>
        <v>0</v>
      </c>
      <c r="EGN479" s="2204">
        <f>[16]BV!EGY395</f>
        <v>0</v>
      </c>
      <c r="EGO479" s="2204"/>
      <c r="EGP479" s="2204"/>
      <c r="EGQ479" s="2204">
        <f t="shared" si="85"/>
        <v>0</v>
      </c>
      <c r="EGR479" s="2204">
        <f>[16]BV!EHC395</f>
        <v>0</v>
      </c>
      <c r="EGS479" s="2204"/>
      <c r="EGT479" s="2204"/>
      <c r="EGU479" s="2204">
        <f t="shared" si="85"/>
        <v>0</v>
      </c>
      <c r="EGV479" s="2204">
        <f>[16]BV!EHG395</f>
        <v>0</v>
      </c>
      <c r="EGW479" s="2204"/>
      <c r="EGX479" s="2204"/>
      <c r="EGY479" s="2204">
        <f t="shared" ref="EGY479:EJG479" si="86">EGV479</f>
        <v>0</v>
      </c>
      <c r="EGZ479" s="2204">
        <f>[16]BV!EHK395</f>
        <v>0</v>
      </c>
      <c r="EHA479" s="2204"/>
      <c r="EHB479" s="2204"/>
      <c r="EHC479" s="2204">
        <f t="shared" si="86"/>
        <v>0</v>
      </c>
      <c r="EHD479" s="2204">
        <f>[16]BV!EHO395</f>
        <v>0</v>
      </c>
      <c r="EHE479" s="2204"/>
      <c r="EHF479" s="2204"/>
      <c r="EHG479" s="2204">
        <f t="shared" si="86"/>
        <v>0</v>
      </c>
      <c r="EHH479" s="2204">
        <f>[16]BV!EHS395</f>
        <v>0</v>
      </c>
      <c r="EHI479" s="2204"/>
      <c r="EHJ479" s="2204"/>
      <c r="EHK479" s="2204">
        <f t="shared" si="86"/>
        <v>0</v>
      </c>
      <c r="EHL479" s="2204">
        <f>[16]BV!EHW395</f>
        <v>0</v>
      </c>
      <c r="EHM479" s="2204"/>
      <c r="EHN479" s="2204"/>
      <c r="EHO479" s="2204">
        <f t="shared" si="86"/>
        <v>0</v>
      </c>
      <c r="EHP479" s="2204">
        <f>[16]BV!EIA395</f>
        <v>0</v>
      </c>
      <c r="EHQ479" s="2204"/>
      <c r="EHR479" s="2204"/>
      <c r="EHS479" s="2204">
        <f t="shared" si="86"/>
        <v>0</v>
      </c>
      <c r="EHT479" s="2204">
        <f>[16]BV!EIE395</f>
        <v>0</v>
      </c>
      <c r="EHU479" s="2204"/>
      <c r="EHV479" s="2204"/>
      <c r="EHW479" s="2204">
        <f t="shared" si="86"/>
        <v>0</v>
      </c>
      <c r="EHX479" s="2204">
        <f>[16]BV!EII395</f>
        <v>0</v>
      </c>
      <c r="EHY479" s="2204"/>
      <c r="EHZ479" s="2204"/>
      <c r="EIA479" s="2204">
        <f t="shared" si="86"/>
        <v>0</v>
      </c>
      <c r="EIB479" s="2204">
        <f>[16]BV!EIM395</f>
        <v>0</v>
      </c>
      <c r="EIC479" s="2204"/>
      <c r="EID479" s="2204"/>
      <c r="EIE479" s="2204">
        <f t="shared" si="86"/>
        <v>0</v>
      </c>
      <c r="EIF479" s="2204">
        <f>[16]BV!EIQ395</f>
        <v>0</v>
      </c>
      <c r="EIG479" s="2204"/>
      <c r="EIH479" s="2204"/>
      <c r="EII479" s="2204">
        <f t="shared" si="86"/>
        <v>0</v>
      </c>
      <c r="EIJ479" s="2204">
        <f>[16]BV!EIU395</f>
        <v>0</v>
      </c>
      <c r="EIK479" s="2204"/>
      <c r="EIL479" s="2204"/>
      <c r="EIM479" s="2204">
        <f t="shared" si="86"/>
        <v>0</v>
      </c>
      <c r="EIN479" s="2204">
        <f>[16]BV!EIY395</f>
        <v>0</v>
      </c>
      <c r="EIO479" s="2204"/>
      <c r="EIP479" s="2204"/>
      <c r="EIQ479" s="2204">
        <f t="shared" si="86"/>
        <v>0</v>
      </c>
      <c r="EIR479" s="2204">
        <f>[16]BV!EJC395</f>
        <v>0</v>
      </c>
      <c r="EIS479" s="2204"/>
      <c r="EIT479" s="2204"/>
      <c r="EIU479" s="2204">
        <f t="shared" si="86"/>
        <v>0</v>
      </c>
      <c r="EIV479" s="2204">
        <f>[16]BV!EJG395</f>
        <v>0</v>
      </c>
      <c r="EIW479" s="2204"/>
      <c r="EIX479" s="2204"/>
      <c r="EIY479" s="2204">
        <f t="shared" si="86"/>
        <v>0</v>
      </c>
      <c r="EIZ479" s="2204">
        <f>[16]BV!EJK395</f>
        <v>0</v>
      </c>
      <c r="EJA479" s="2204"/>
      <c r="EJB479" s="2204"/>
      <c r="EJC479" s="2204">
        <f t="shared" si="86"/>
        <v>0</v>
      </c>
      <c r="EJD479" s="2204">
        <f>[16]BV!EJO395</f>
        <v>0</v>
      </c>
      <c r="EJE479" s="2204"/>
      <c r="EJF479" s="2204"/>
      <c r="EJG479" s="2204">
        <f t="shared" si="86"/>
        <v>0</v>
      </c>
      <c r="EJH479" s="2204">
        <f>[16]BV!EJS395</f>
        <v>0</v>
      </c>
      <c r="EJI479" s="2204"/>
      <c r="EJJ479" s="2204"/>
      <c r="EJK479" s="2204">
        <f t="shared" ref="EJK479:ELS479" si="87">EJH479</f>
        <v>0</v>
      </c>
      <c r="EJL479" s="2204">
        <f>[16]BV!EJW395</f>
        <v>0</v>
      </c>
      <c r="EJM479" s="2204"/>
      <c r="EJN479" s="2204"/>
      <c r="EJO479" s="2204">
        <f t="shared" si="87"/>
        <v>0</v>
      </c>
      <c r="EJP479" s="2204">
        <f>[16]BV!EKA395</f>
        <v>0</v>
      </c>
      <c r="EJQ479" s="2204"/>
      <c r="EJR479" s="2204"/>
      <c r="EJS479" s="2204">
        <f t="shared" si="87"/>
        <v>0</v>
      </c>
      <c r="EJT479" s="2204">
        <f>[16]BV!EKE395</f>
        <v>0</v>
      </c>
      <c r="EJU479" s="2204"/>
      <c r="EJV479" s="2204"/>
      <c r="EJW479" s="2204">
        <f t="shared" si="87"/>
        <v>0</v>
      </c>
      <c r="EJX479" s="2204">
        <f>[16]BV!EKI395</f>
        <v>0</v>
      </c>
      <c r="EJY479" s="2204"/>
      <c r="EJZ479" s="2204"/>
      <c r="EKA479" s="2204">
        <f t="shared" si="87"/>
        <v>0</v>
      </c>
      <c r="EKB479" s="2204">
        <f>[16]BV!EKM395</f>
        <v>0</v>
      </c>
      <c r="EKC479" s="2204"/>
      <c r="EKD479" s="2204"/>
      <c r="EKE479" s="2204">
        <f t="shared" si="87"/>
        <v>0</v>
      </c>
      <c r="EKF479" s="2204">
        <f>[16]BV!EKQ395</f>
        <v>0</v>
      </c>
      <c r="EKG479" s="2204"/>
      <c r="EKH479" s="2204"/>
      <c r="EKI479" s="2204">
        <f t="shared" si="87"/>
        <v>0</v>
      </c>
      <c r="EKJ479" s="2204">
        <f>[16]BV!EKU395</f>
        <v>0</v>
      </c>
      <c r="EKK479" s="2204"/>
      <c r="EKL479" s="2204"/>
      <c r="EKM479" s="2204">
        <f t="shared" si="87"/>
        <v>0</v>
      </c>
      <c r="EKN479" s="2204">
        <f>[16]BV!EKY395</f>
        <v>0</v>
      </c>
      <c r="EKO479" s="2204"/>
      <c r="EKP479" s="2204"/>
      <c r="EKQ479" s="2204">
        <f t="shared" si="87"/>
        <v>0</v>
      </c>
      <c r="EKR479" s="2204">
        <f>[16]BV!ELC395</f>
        <v>0</v>
      </c>
      <c r="EKS479" s="2204"/>
      <c r="EKT479" s="2204"/>
      <c r="EKU479" s="2204">
        <f t="shared" si="87"/>
        <v>0</v>
      </c>
      <c r="EKV479" s="2204">
        <f>[16]BV!ELG395</f>
        <v>0</v>
      </c>
      <c r="EKW479" s="2204"/>
      <c r="EKX479" s="2204"/>
      <c r="EKY479" s="2204">
        <f t="shared" si="87"/>
        <v>0</v>
      </c>
      <c r="EKZ479" s="2204">
        <f>[16]BV!ELK395</f>
        <v>0</v>
      </c>
      <c r="ELA479" s="2204"/>
      <c r="ELB479" s="2204"/>
      <c r="ELC479" s="2204">
        <f t="shared" si="87"/>
        <v>0</v>
      </c>
      <c r="ELD479" s="2204">
        <f>[16]BV!ELO395</f>
        <v>0</v>
      </c>
      <c r="ELE479" s="2204"/>
      <c r="ELF479" s="2204"/>
      <c r="ELG479" s="2204">
        <f t="shared" si="87"/>
        <v>0</v>
      </c>
      <c r="ELH479" s="2204">
        <f>[16]BV!ELS395</f>
        <v>0</v>
      </c>
      <c r="ELI479" s="2204"/>
      <c r="ELJ479" s="2204"/>
      <c r="ELK479" s="2204">
        <f t="shared" si="87"/>
        <v>0</v>
      </c>
      <c r="ELL479" s="2204">
        <f>[16]BV!ELW395</f>
        <v>0</v>
      </c>
      <c r="ELM479" s="2204"/>
      <c r="ELN479" s="2204"/>
      <c r="ELO479" s="2204">
        <f t="shared" si="87"/>
        <v>0</v>
      </c>
      <c r="ELP479" s="2204">
        <f>[16]BV!EMA395</f>
        <v>0</v>
      </c>
      <c r="ELQ479" s="2204"/>
      <c r="ELR479" s="2204"/>
      <c r="ELS479" s="2204">
        <f t="shared" si="87"/>
        <v>0</v>
      </c>
      <c r="ELT479" s="2204">
        <f>[16]BV!EME395</f>
        <v>0</v>
      </c>
      <c r="ELU479" s="2204"/>
      <c r="ELV479" s="2204"/>
      <c r="ELW479" s="2204">
        <f t="shared" ref="ELW479:EOE479" si="88">ELT479</f>
        <v>0</v>
      </c>
      <c r="ELX479" s="2204">
        <f>[16]BV!EMI395</f>
        <v>0</v>
      </c>
      <c r="ELY479" s="2204"/>
      <c r="ELZ479" s="2204"/>
      <c r="EMA479" s="2204">
        <f t="shared" si="88"/>
        <v>0</v>
      </c>
      <c r="EMB479" s="2204">
        <f>[16]BV!EMM395</f>
        <v>0</v>
      </c>
      <c r="EMC479" s="2204"/>
      <c r="EMD479" s="2204"/>
      <c r="EME479" s="2204">
        <f t="shared" si="88"/>
        <v>0</v>
      </c>
      <c r="EMF479" s="2204">
        <f>[16]BV!EMQ395</f>
        <v>0</v>
      </c>
      <c r="EMG479" s="2204"/>
      <c r="EMH479" s="2204"/>
      <c r="EMI479" s="2204">
        <f t="shared" si="88"/>
        <v>0</v>
      </c>
      <c r="EMJ479" s="2204">
        <f>[16]BV!EMU395</f>
        <v>0</v>
      </c>
      <c r="EMK479" s="2204"/>
      <c r="EML479" s="2204"/>
      <c r="EMM479" s="2204">
        <f t="shared" si="88"/>
        <v>0</v>
      </c>
      <c r="EMN479" s="2204">
        <f>[16]BV!EMY395</f>
        <v>0</v>
      </c>
      <c r="EMO479" s="2204"/>
      <c r="EMP479" s="2204"/>
      <c r="EMQ479" s="2204">
        <f t="shared" si="88"/>
        <v>0</v>
      </c>
      <c r="EMR479" s="2204">
        <f>[16]BV!ENC395</f>
        <v>0</v>
      </c>
      <c r="EMS479" s="2204"/>
      <c r="EMT479" s="2204"/>
      <c r="EMU479" s="2204">
        <f t="shared" si="88"/>
        <v>0</v>
      </c>
      <c r="EMV479" s="2204">
        <f>[16]BV!ENG395</f>
        <v>0</v>
      </c>
      <c r="EMW479" s="2204"/>
      <c r="EMX479" s="2204"/>
      <c r="EMY479" s="2204">
        <f t="shared" si="88"/>
        <v>0</v>
      </c>
      <c r="EMZ479" s="2204">
        <f>[16]BV!ENK395</f>
        <v>0</v>
      </c>
      <c r="ENA479" s="2204"/>
      <c r="ENB479" s="2204"/>
      <c r="ENC479" s="2204">
        <f t="shared" si="88"/>
        <v>0</v>
      </c>
      <c r="END479" s="2204">
        <f>[16]BV!ENO395</f>
        <v>0</v>
      </c>
      <c r="ENE479" s="2204"/>
      <c r="ENF479" s="2204"/>
      <c r="ENG479" s="2204">
        <f t="shared" si="88"/>
        <v>0</v>
      </c>
      <c r="ENH479" s="2204">
        <f>[16]BV!ENS395</f>
        <v>0</v>
      </c>
      <c r="ENI479" s="2204"/>
      <c r="ENJ479" s="2204"/>
      <c r="ENK479" s="2204">
        <f t="shared" si="88"/>
        <v>0</v>
      </c>
      <c r="ENL479" s="2204">
        <f>[16]BV!ENW395</f>
        <v>0</v>
      </c>
      <c r="ENM479" s="2204"/>
      <c r="ENN479" s="2204"/>
      <c r="ENO479" s="2204">
        <f t="shared" si="88"/>
        <v>0</v>
      </c>
      <c r="ENP479" s="2204">
        <f>[16]BV!EOA395</f>
        <v>0</v>
      </c>
      <c r="ENQ479" s="2204"/>
      <c r="ENR479" s="2204"/>
      <c r="ENS479" s="2204">
        <f t="shared" si="88"/>
        <v>0</v>
      </c>
      <c r="ENT479" s="2204">
        <f>[16]BV!EOE395</f>
        <v>0</v>
      </c>
      <c r="ENU479" s="2204"/>
      <c r="ENV479" s="2204"/>
      <c r="ENW479" s="2204">
        <f t="shared" si="88"/>
        <v>0</v>
      </c>
      <c r="ENX479" s="2204">
        <f>[16]BV!EOI395</f>
        <v>0</v>
      </c>
      <c r="ENY479" s="2204"/>
      <c r="ENZ479" s="2204"/>
      <c r="EOA479" s="2204">
        <f t="shared" si="88"/>
        <v>0</v>
      </c>
      <c r="EOB479" s="2204">
        <f>[16]BV!EOM395</f>
        <v>0</v>
      </c>
      <c r="EOC479" s="2204"/>
      <c r="EOD479" s="2204"/>
      <c r="EOE479" s="2204">
        <f t="shared" si="88"/>
        <v>0</v>
      </c>
      <c r="EOF479" s="2204">
        <f>[16]BV!EOQ395</f>
        <v>0</v>
      </c>
      <c r="EOG479" s="2204"/>
      <c r="EOH479" s="2204"/>
      <c r="EOI479" s="2204">
        <f t="shared" ref="EOI479:EQQ479" si="89">EOF479</f>
        <v>0</v>
      </c>
      <c r="EOJ479" s="2204">
        <f>[16]BV!EOU395</f>
        <v>0</v>
      </c>
      <c r="EOK479" s="2204"/>
      <c r="EOL479" s="2204"/>
      <c r="EOM479" s="2204">
        <f t="shared" si="89"/>
        <v>0</v>
      </c>
      <c r="EON479" s="2204">
        <f>[16]BV!EOY395</f>
        <v>0</v>
      </c>
      <c r="EOO479" s="2204"/>
      <c r="EOP479" s="2204"/>
      <c r="EOQ479" s="2204">
        <f t="shared" si="89"/>
        <v>0</v>
      </c>
      <c r="EOR479" s="2204">
        <f>[16]BV!EPC395</f>
        <v>0</v>
      </c>
      <c r="EOS479" s="2204"/>
      <c r="EOT479" s="2204"/>
      <c r="EOU479" s="2204">
        <f t="shared" si="89"/>
        <v>0</v>
      </c>
      <c r="EOV479" s="2204">
        <f>[16]BV!EPG395</f>
        <v>0</v>
      </c>
      <c r="EOW479" s="2204"/>
      <c r="EOX479" s="2204"/>
      <c r="EOY479" s="2204">
        <f t="shared" si="89"/>
        <v>0</v>
      </c>
      <c r="EOZ479" s="2204">
        <f>[16]BV!EPK395</f>
        <v>0</v>
      </c>
      <c r="EPA479" s="2204"/>
      <c r="EPB479" s="2204"/>
      <c r="EPC479" s="2204">
        <f t="shared" si="89"/>
        <v>0</v>
      </c>
      <c r="EPD479" s="2204">
        <f>[16]BV!EPO395</f>
        <v>0</v>
      </c>
      <c r="EPE479" s="2204"/>
      <c r="EPF479" s="2204"/>
      <c r="EPG479" s="2204">
        <f t="shared" si="89"/>
        <v>0</v>
      </c>
      <c r="EPH479" s="2204">
        <f>[16]BV!EPS395</f>
        <v>0</v>
      </c>
      <c r="EPI479" s="2204"/>
      <c r="EPJ479" s="2204"/>
      <c r="EPK479" s="2204">
        <f t="shared" si="89"/>
        <v>0</v>
      </c>
      <c r="EPL479" s="2204">
        <f>[16]BV!EPW395</f>
        <v>0</v>
      </c>
      <c r="EPM479" s="2204"/>
      <c r="EPN479" s="2204"/>
      <c r="EPO479" s="2204">
        <f t="shared" si="89"/>
        <v>0</v>
      </c>
      <c r="EPP479" s="2204">
        <f>[16]BV!EQA395</f>
        <v>0</v>
      </c>
      <c r="EPQ479" s="2204"/>
      <c r="EPR479" s="2204"/>
      <c r="EPS479" s="2204">
        <f t="shared" si="89"/>
        <v>0</v>
      </c>
      <c r="EPT479" s="2204">
        <f>[16]BV!EQE395</f>
        <v>0</v>
      </c>
      <c r="EPU479" s="2204"/>
      <c r="EPV479" s="2204"/>
      <c r="EPW479" s="2204">
        <f t="shared" si="89"/>
        <v>0</v>
      </c>
      <c r="EPX479" s="2204">
        <f>[16]BV!EQI395</f>
        <v>0</v>
      </c>
      <c r="EPY479" s="2204"/>
      <c r="EPZ479" s="2204"/>
      <c r="EQA479" s="2204">
        <f t="shared" si="89"/>
        <v>0</v>
      </c>
      <c r="EQB479" s="2204">
        <f>[16]BV!EQM395</f>
        <v>0</v>
      </c>
      <c r="EQC479" s="2204"/>
      <c r="EQD479" s="2204"/>
      <c r="EQE479" s="2204">
        <f t="shared" si="89"/>
        <v>0</v>
      </c>
      <c r="EQF479" s="2204">
        <f>[16]BV!EQQ395</f>
        <v>0</v>
      </c>
      <c r="EQG479" s="2204"/>
      <c r="EQH479" s="2204"/>
      <c r="EQI479" s="2204">
        <f t="shared" si="89"/>
        <v>0</v>
      </c>
      <c r="EQJ479" s="2204">
        <f>[16]BV!EQU395</f>
        <v>0</v>
      </c>
      <c r="EQK479" s="2204"/>
      <c r="EQL479" s="2204"/>
      <c r="EQM479" s="2204">
        <f t="shared" si="89"/>
        <v>0</v>
      </c>
      <c r="EQN479" s="2204">
        <f>[16]BV!EQY395</f>
        <v>0</v>
      </c>
      <c r="EQO479" s="2204"/>
      <c r="EQP479" s="2204"/>
      <c r="EQQ479" s="2204">
        <f t="shared" si="89"/>
        <v>0</v>
      </c>
      <c r="EQR479" s="2204">
        <f>[16]BV!ERC395</f>
        <v>0</v>
      </c>
      <c r="EQS479" s="2204"/>
      <c r="EQT479" s="2204"/>
      <c r="EQU479" s="2204">
        <f t="shared" ref="EQU479:ETC479" si="90">EQR479</f>
        <v>0</v>
      </c>
      <c r="EQV479" s="2204">
        <f>[16]BV!ERG395</f>
        <v>0</v>
      </c>
      <c r="EQW479" s="2204"/>
      <c r="EQX479" s="2204"/>
      <c r="EQY479" s="2204">
        <f t="shared" si="90"/>
        <v>0</v>
      </c>
      <c r="EQZ479" s="2204">
        <f>[16]BV!ERK395</f>
        <v>0</v>
      </c>
      <c r="ERA479" s="2204"/>
      <c r="ERB479" s="2204"/>
      <c r="ERC479" s="2204">
        <f t="shared" si="90"/>
        <v>0</v>
      </c>
      <c r="ERD479" s="2204">
        <f>[16]BV!ERO395</f>
        <v>0</v>
      </c>
      <c r="ERE479" s="2204"/>
      <c r="ERF479" s="2204"/>
      <c r="ERG479" s="2204">
        <f t="shared" si="90"/>
        <v>0</v>
      </c>
      <c r="ERH479" s="2204">
        <f>[16]BV!ERS395</f>
        <v>0</v>
      </c>
      <c r="ERI479" s="2204"/>
      <c r="ERJ479" s="2204"/>
      <c r="ERK479" s="2204">
        <f t="shared" si="90"/>
        <v>0</v>
      </c>
      <c r="ERL479" s="2204">
        <f>[16]BV!ERW395</f>
        <v>0</v>
      </c>
      <c r="ERM479" s="2204"/>
      <c r="ERN479" s="2204"/>
      <c r="ERO479" s="2204">
        <f t="shared" si="90"/>
        <v>0</v>
      </c>
      <c r="ERP479" s="2204">
        <f>[16]BV!ESA395</f>
        <v>0</v>
      </c>
      <c r="ERQ479" s="2204"/>
      <c r="ERR479" s="2204"/>
      <c r="ERS479" s="2204">
        <f t="shared" si="90"/>
        <v>0</v>
      </c>
      <c r="ERT479" s="2204">
        <f>[16]BV!ESE395</f>
        <v>0</v>
      </c>
      <c r="ERU479" s="2204"/>
      <c r="ERV479" s="2204"/>
      <c r="ERW479" s="2204">
        <f t="shared" si="90"/>
        <v>0</v>
      </c>
      <c r="ERX479" s="2204">
        <f>[16]BV!ESI395</f>
        <v>0</v>
      </c>
      <c r="ERY479" s="2204"/>
      <c r="ERZ479" s="2204"/>
      <c r="ESA479" s="2204">
        <f t="shared" si="90"/>
        <v>0</v>
      </c>
      <c r="ESB479" s="2204">
        <f>[16]BV!ESM395</f>
        <v>0</v>
      </c>
      <c r="ESC479" s="2204"/>
      <c r="ESD479" s="2204"/>
      <c r="ESE479" s="2204">
        <f t="shared" si="90"/>
        <v>0</v>
      </c>
      <c r="ESF479" s="2204">
        <f>[16]BV!ESQ395</f>
        <v>0</v>
      </c>
      <c r="ESG479" s="2204"/>
      <c r="ESH479" s="2204"/>
      <c r="ESI479" s="2204">
        <f t="shared" si="90"/>
        <v>0</v>
      </c>
      <c r="ESJ479" s="2204">
        <f>[16]BV!ESU395</f>
        <v>0</v>
      </c>
      <c r="ESK479" s="2204"/>
      <c r="ESL479" s="2204"/>
      <c r="ESM479" s="2204">
        <f t="shared" si="90"/>
        <v>0</v>
      </c>
      <c r="ESN479" s="2204">
        <f>[16]BV!ESY395</f>
        <v>0</v>
      </c>
      <c r="ESO479" s="2204"/>
      <c r="ESP479" s="2204"/>
      <c r="ESQ479" s="2204">
        <f t="shared" si="90"/>
        <v>0</v>
      </c>
      <c r="ESR479" s="2204">
        <f>[16]BV!ETC395</f>
        <v>0</v>
      </c>
      <c r="ESS479" s="2204"/>
      <c r="EST479" s="2204"/>
      <c r="ESU479" s="2204">
        <f t="shared" si="90"/>
        <v>0</v>
      </c>
      <c r="ESV479" s="2204">
        <f>[16]BV!ETG395</f>
        <v>0</v>
      </c>
      <c r="ESW479" s="2204"/>
      <c r="ESX479" s="2204"/>
      <c r="ESY479" s="2204">
        <f t="shared" si="90"/>
        <v>0</v>
      </c>
      <c r="ESZ479" s="2204">
        <f>[16]BV!ETK395</f>
        <v>0</v>
      </c>
      <c r="ETA479" s="2204"/>
      <c r="ETB479" s="2204"/>
      <c r="ETC479" s="2204">
        <f t="shared" si="90"/>
        <v>0</v>
      </c>
      <c r="ETD479" s="2204">
        <f>[16]BV!ETO395</f>
        <v>0</v>
      </c>
      <c r="ETE479" s="2204"/>
      <c r="ETF479" s="2204"/>
      <c r="ETG479" s="2204">
        <f t="shared" ref="ETG479:EVO479" si="91">ETD479</f>
        <v>0</v>
      </c>
      <c r="ETH479" s="2204">
        <f>[16]BV!ETS395</f>
        <v>0</v>
      </c>
      <c r="ETI479" s="2204"/>
      <c r="ETJ479" s="2204"/>
      <c r="ETK479" s="2204">
        <f t="shared" si="91"/>
        <v>0</v>
      </c>
      <c r="ETL479" s="2204">
        <f>[16]BV!ETW395</f>
        <v>0</v>
      </c>
      <c r="ETM479" s="2204"/>
      <c r="ETN479" s="2204"/>
      <c r="ETO479" s="2204">
        <f t="shared" si="91"/>
        <v>0</v>
      </c>
      <c r="ETP479" s="2204">
        <f>[16]BV!EUA395</f>
        <v>0</v>
      </c>
      <c r="ETQ479" s="2204"/>
      <c r="ETR479" s="2204"/>
      <c r="ETS479" s="2204">
        <f t="shared" si="91"/>
        <v>0</v>
      </c>
      <c r="ETT479" s="2204">
        <f>[16]BV!EUE395</f>
        <v>0</v>
      </c>
      <c r="ETU479" s="2204"/>
      <c r="ETV479" s="2204"/>
      <c r="ETW479" s="2204">
        <f t="shared" si="91"/>
        <v>0</v>
      </c>
      <c r="ETX479" s="2204">
        <f>[16]BV!EUI395</f>
        <v>0</v>
      </c>
      <c r="ETY479" s="2204"/>
      <c r="ETZ479" s="2204"/>
      <c r="EUA479" s="2204">
        <f t="shared" si="91"/>
        <v>0</v>
      </c>
      <c r="EUB479" s="2204">
        <f>[16]BV!EUM395</f>
        <v>0</v>
      </c>
      <c r="EUC479" s="2204"/>
      <c r="EUD479" s="2204"/>
      <c r="EUE479" s="2204">
        <f t="shared" si="91"/>
        <v>0</v>
      </c>
      <c r="EUF479" s="2204">
        <f>[16]BV!EUQ395</f>
        <v>0</v>
      </c>
      <c r="EUG479" s="2204"/>
      <c r="EUH479" s="2204"/>
      <c r="EUI479" s="2204">
        <f t="shared" si="91"/>
        <v>0</v>
      </c>
      <c r="EUJ479" s="2204">
        <f>[16]BV!EUU395</f>
        <v>0</v>
      </c>
      <c r="EUK479" s="2204"/>
      <c r="EUL479" s="2204"/>
      <c r="EUM479" s="2204">
        <f t="shared" si="91"/>
        <v>0</v>
      </c>
      <c r="EUN479" s="2204">
        <f>[16]BV!EUY395</f>
        <v>0</v>
      </c>
      <c r="EUO479" s="2204"/>
      <c r="EUP479" s="2204"/>
      <c r="EUQ479" s="2204">
        <f t="shared" si="91"/>
        <v>0</v>
      </c>
      <c r="EUR479" s="2204">
        <f>[16]BV!EVC395</f>
        <v>0</v>
      </c>
      <c r="EUS479" s="2204"/>
      <c r="EUT479" s="2204"/>
      <c r="EUU479" s="2204">
        <f t="shared" si="91"/>
        <v>0</v>
      </c>
      <c r="EUV479" s="2204">
        <f>[16]BV!EVG395</f>
        <v>0</v>
      </c>
      <c r="EUW479" s="2204"/>
      <c r="EUX479" s="2204"/>
      <c r="EUY479" s="2204">
        <f t="shared" si="91"/>
        <v>0</v>
      </c>
      <c r="EUZ479" s="2204">
        <f>[16]BV!EVK395</f>
        <v>0</v>
      </c>
      <c r="EVA479" s="2204"/>
      <c r="EVB479" s="2204"/>
      <c r="EVC479" s="2204">
        <f t="shared" si="91"/>
        <v>0</v>
      </c>
      <c r="EVD479" s="2204">
        <f>[16]BV!EVO395</f>
        <v>0</v>
      </c>
      <c r="EVE479" s="2204"/>
      <c r="EVF479" s="2204"/>
      <c r="EVG479" s="2204">
        <f t="shared" si="91"/>
        <v>0</v>
      </c>
      <c r="EVH479" s="2204">
        <f>[16]BV!EVS395</f>
        <v>0</v>
      </c>
      <c r="EVI479" s="2204"/>
      <c r="EVJ479" s="2204"/>
      <c r="EVK479" s="2204">
        <f t="shared" si="91"/>
        <v>0</v>
      </c>
      <c r="EVL479" s="2204">
        <f>[16]BV!EVW395</f>
        <v>0</v>
      </c>
      <c r="EVM479" s="2204"/>
      <c r="EVN479" s="2204"/>
      <c r="EVO479" s="2204">
        <f t="shared" si="91"/>
        <v>0</v>
      </c>
      <c r="EVP479" s="2204">
        <f>[16]BV!EWA395</f>
        <v>0</v>
      </c>
      <c r="EVQ479" s="2204"/>
      <c r="EVR479" s="2204"/>
      <c r="EVS479" s="2204">
        <f t="shared" ref="EVS479:EYA479" si="92">EVP479</f>
        <v>0</v>
      </c>
      <c r="EVT479" s="2204">
        <f>[16]BV!EWE395</f>
        <v>0</v>
      </c>
      <c r="EVU479" s="2204"/>
      <c r="EVV479" s="2204"/>
      <c r="EVW479" s="2204">
        <f t="shared" si="92"/>
        <v>0</v>
      </c>
      <c r="EVX479" s="2204">
        <f>[16]BV!EWI395</f>
        <v>0</v>
      </c>
      <c r="EVY479" s="2204"/>
      <c r="EVZ479" s="2204"/>
      <c r="EWA479" s="2204">
        <f t="shared" si="92"/>
        <v>0</v>
      </c>
      <c r="EWB479" s="2204">
        <f>[16]BV!EWM395</f>
        <v>0</v>
      </c>
      <c r="EWC479" s="2204"/>
      <c r="EWD479" s="2204"/>
      <c r="EWE479" s="2204">
        <f t="shared" si="92"/>
        <v>0</v>
      </c>
      <c r="EWF479" s="2204">
        <f>[16]BV!EWQ395</f>
        <v>0</v>
      </c>
      <c r="EWG479" s="2204"/>
      <c r="EWH479" s="2204"/>
      <c r="EWI479" s="2204">
        <f t="shared" si="92"/>
        <v>0</v>
      </c>
      <c r="EWJ479" s="2204">
        <f>[16]BV!EWU395</f>
        <v>0</v>
      </c>
      <c r="EWK479" s="2204"/>
      <c r="EWL479" s="2204"/>
      <c r="EWM479" s="2204">
        <f t="shared" si="92"/>
        <v>0</v>
      </c>
      <c r="EWN479" s="2204">
        <f>[16]BV!EWY395</f>
        <v>0</v>
      </c>
      <c r="EWO479" s="2204"/>
      <c r="EWP479" s="2204"/>
      <c r="EWQ479" s="2204">
        <f t="shared" si="92"/>
        <v>0</v>
      </c>
      <c r="EWR479" s="2204">
        <f>[16]BV!EXC395</f>
        <v>0</v>
      </c>
      <c r="EWS479" s="2204"/>
      <c r="EWT479" s="2204"/>
      <c r="EWU479" s="2204">
        <f t="shared" si="92"/>
        <v>0</v>
      </c>
      <c r="EWV479" s="2204">
        <f>[16]BV!EXG395</f>
        <v>0</v>
      </c>
      <c r="EWW479" s="2204"/>
      <c r="EWX479" s="2204"/>
      <c r="EWY479" s="2204">
        <f t="shared" si="92"/>
        <v>0</v>
      </c>
      <c r="EWZ479" s="2204">
        <f>[16]BV!EXK395</f>
        <v>0</v>
      </c>
      <c r="EXA479" s="2204"/>
      <c r="EXB479" s="2204"/>
      <c r="EXC479" s="2204">
        <f t="shared" si="92"/>
        <v>0</v>
      </c>
      <c r="EXD479" s="2204">
        <f>[16]BV!EXO395</f>
        <v>0</v>
      </c>
      <c r="EXE479" s="2204"/>
      <c r="EXF479" s="2204"/>
      <c r="EXG479" s="2204">
        <f t="shared" si="92"/>
        <v>0</v>
      </c>
      <c r="EXH479" s="2204">
        <f>[16]BV!EXS395</f>
        <v>0</v>
      </c>
      <c r="EXI479" s="2204"/>
      <c r="EXJ479" s="2204"/>
      <c r="EXK479" s="2204">
        <f t="shared" si="92"/>
        <v>0</v>
      </c>
      <c r="EXL479" s="2204">
        <f>[16]BV!EXW395</f>
        <v>0</v>
      </c>
      <c r="EXM479" s="2204"/>
      <c r="EXN479" s="2204"/>
      <c r="EXO479" s="2204">
        <f t="shared" si="92"/>
        <v>0</v>
      </c>
      <c r="EXP479" s="2204">
        <f>[16]BV!EYA395</f>
        <v>0</v>
      </c>
      <c r="EXQ479" s="2204"/>
      <c r="EXR479" s="2204"/>
      <c r="EXS479" s="2204">
        <f t="shared" si="92"/>
        <v>0</v>
      </c>
      <c r="EXT479" s="2204">
        <f>[16]BV!EYE395</f>
        <v>0</v>
      </c>
      <c r="EXU479" s="2204"/>
      <c r="EXV479" s="2204"/>
      <c r="EXW479" s="2204">
        <f t="shared" si="92"/>
        <v>0</v>
      </c>
      <c r="EXX479" s="2204">
        <f>[16]BV!EYI395</f>
        <v>0</v>
      </c>
      <c r="EXY479" s="2204"/>
      <c r="EXZ479" s="2204"/>
      <c r="EYA479" s="2204">
        <f t="shared" si="92"/>
        <v>0</v>
      </c>
      <c r="EYB479" s="2204">
        <f>[16]BV!EYM395</f>
        <v>0</v>
      </c>
      <c r="EYC479" s="2204"/>
      <c r="EYD479" s="2204"/>
      <c r="EYE479" s="2204">
        <f t="shared" ref="EYE479:FAM479" si="93">EYB479</f>
        <v>0</v>
      </c>
      <c r="EYF479" s="2204">
        <f>[16]BV!EYQ395</f>
        <v>0</v>
      </c>
      <c r="EYG479" s="2204"/>
      <c r="EYH479" s="2204"/>
      <c r="EYI479" s="2204">
        <f t="shared" si="93"/>
        <v>0</v>
      </c>
      <c r="EYJ479" s="2204">
        <f>[16]BV!EYU395</f>
        <v>0</v>
      </c>
      <c r="EYK479" s="2204"/>
      <c r="EYL479" s="2204"/>
      <c r="EYM479" s="2204">
        <f t="shared" si="93"/>
        <v>0</v>
      </c>
      <c r="EYN479" s="2204">
        <f>[16]BV!EYY395</f>
        <v>0</v>
      </c>
      <c r="EYO479" s="2204"/>
      <c r="EYP479" s="2204"/>
      <c r="EYQ479" s="2204">
        <f t="shared" si="93"/>
        <v>0</v>
      </c>
      <c r="EYR479" s="2204">
        <f>[16]BV!EZC395</f>
        <v>0</v>
      </c>
      <c r="EYS479" s="2204"/>
      <c r="EYT479" s="2204"/>
      <c r="EYU479" s="2204">
        <f t="shared" si="93"/>
        <v>0</v>
      </c>
      <c r="EYV479" s="2204">
        <f>[16]BV!EZG395</f>
        <v>0</v>
      </c>
      <c r="EYW479" s="2204"/>
      <c r="EYX479" s="2204"/>
      <c r="EYY479" s="2204">
        <f t="shared" si="93"/>
        <v>0</v>
      </c>
      <c r="EYZ479" s="2204">
        <f>[16]BV!EZK395</f>
        <v>0</v>
      </c>
      <c r="EZA479" s="2204"/>
      <c r="EZB479" s="2204"/>
      <c r="EZC479" s="2204">
        <f t="shared" si="93"/>
        <v>0</v>
      </c>
      <c r="EZD479" s="2204">
        <f>[16]BV!EZO395</f>
        <v>0</v>
      </c>
      <c r="EZE479" s="2204"/>
      <c r="EZF479" s="2204"/>
      <c r="EZG479" s="2204">
        <f t="shared" si="93"/>
        <v>0</v>
      </c>
      <c r="EZH479" s="2204">
        <f>[16]BV!EZS395</f>
        <v>0</v>
      </c>
      <c r="EZI479" s="2204"/>
      <c r="EZJ479" s="2204"/>
      <c r="EZK479" s="2204">
        <f t="shared" si="93"/>
        <v>0</v>
      </c>
      <c r="EZL479" s="2204">
        <f>[16]BV!EZW395</f>
        <v>0</v>
      </c>
      <c r="EZM479" s="2204"/>
      <c r="EZN479" s="2204"/>
      <c r="EZO479" s="2204">
        <f t="shared" si="93"/>
        <v>0</v>
      </c>
      <c r="EZP479" s="2204">
        <f>[16]BV!FAA395</f>
        <v>0</v>
      </c>
      <c r="EZQ479" s="2204"/>
      <c r="EZR479" s="2204"/>
      <c r="EZS479" s="2204">
        <f t="shared" si="93"/>
        <v>0</v>
      </c>
      <c r="EZT479" s="2204">
        <f>[16]BV!FAE395</f>
        <v>0</v>
      </c>
      <c r="EZU479" s="2204"/>
      <c r="EZV479" s="2204"/>
      <c r="EZW479" s="2204">
        <f t="shared" si="93"/>
        <v>0</v>
      </c>
      <c r="EZX479" s="2204">
        <f>[16]BV!FAI395</f>
        <v>0</v>
      </c>
      <c r="EZY479" s="2204"/>
      <c r="EZZ479" s="2204"/>
      <c r="FAA479" s="2204">
        <f t="shared" si="93"/>
        <v>0</v>
      </c>
      <c r="FAB479" s="2204">
        <f>[16]BV!FAM395</f>
        <v>0</v>
      </c>
      <c r="FAC479" s="2204"/>
      <c r="FAD479" s="2204"/>
      <c r="FAE479" s="2204">
        <f t="shared" si="93"/>
        <v>0</v>
      </c>
      <c r="FAF479" s="2204">
        <f>[16]BV!FAQ395</f>
        <v>0</v>
      </c>
      <c r="FAG479" s="2204"/>
      <c r="FAH479" s="2204"/>
      <c r="FAI479" s="2204">
        <f t="shared" si="93"/>
        <v>0</v>
      </c>
      <c r="FAJ479" s="2204">
        <f>[16]BV!FAU395</f>
        <v>0</v>
      </c>
      <c r="FAK479" s="2204"/>
      <c r="FAL479" s="2204"/>
      <c r="FAM479" s="2204">
        <f t="shared" si="93"/>
        <v>0</v>
      </c>
      <c r="FAN479" s="2204">
        <f>[16]BV!FAY395</f>
        <v>0</v>
      </c>
      <c r="FAO479" s="2204"/>
      <c r="FAP479" s="2204"/>
      <c r="FAQ479" s="2204">
        <f t="shared" ref="FAQ479:FCY479" si="94">FAN479</f>
        <v>0</v>
      </c>
      <c r="FAR479" s="2204">
        <f>[16]BV!FBC395</f>
        <v>0</v>
      </c>
      <c r="FAS479" s="2204"/>
      <c r="FAT479" s="2204"/>
      <c r="FAU479" s="2204">
        <f t="shared" si="94"/>
        <v>0</v>
      </c>
      <c r="FAV479" s="2204">
        <f>[16]BV!FBG395</f>
        <v>0</v>
      </c>
      <c r="FAW479" s="2204"/>
      <c r="FAX479" s="2204"/>
      <c r="FAY479" s="2204">
        <f t="shared" si="94"/>
        <v>0</v>
      </c>
      <c r="FAZ479" s="2204">
        <f>[16]BV!FBK395</f>
        <v>0</v>
      </c>
      <c r="FBA479" s="2204"/>
      <c r="FBB479" s="2204"/>
      <c r="FBC479" s="2204">
        <f t="shared" si="94"/>
        <v>0</v>
      </c>
      <c r="FBD479" s="2204">
        <f>[16]BV!FBO395</f>
        <v>0</v>
      </c>
      <c r="FBE479" s="2204"/>
      <c r="FBF479" s="2204"/>
      <c r="FBG479" s="2204">
        <f t="shared" si="94"/>
        <v>0</v>
      </c>
      <c r="FBH479" s="2204">
        <f>[16]BV!FBS395</f>
        <v>0</v>
      </c>
      <c r="FBI479" s="2204"/>
      <c r="FBJ479" s="2204"/>
      <c r="FBK479" s="2204">
        <f t="shared" si="94"/>
        <v>0</v>
      </c>
      <c r="FBL479" s="2204">
        <f>[16]BV!FBW395</f>
        <v>0</v>
      </c>
      <c r="FBM479" s="2204"/>
      <c r="FBN479" s="2204"/>
      <c r="FBO479" s="2204">
        <f t="shared" si="94"/>
        <v>0</v>
      </c>
      <c r="FBP479" s="2204">
        <f>[16]BV!FCA395</f>
        <v>0</v>
      </c>
      <c r="FBQ479" s="2204"/>
      <c r="FBR479" s="2204"/>
      <c r="FBS479" s="2204">
        <f t="shared" si="94"/>
        <v>0</v>
      </c>
      <c r="FBT479" s="2204">
        <f>[16]BV!FCE395</f>
        <v>0</v>
      </c>
      <c r="FBU479" s="2204"/>
      <c r="FBV479" s="2204"/>
      <c r="FBW479" s="2204">
        <f t="shared" si="94"/>
        <v>0</v>
      </c>
      <c r="FBX479" s="2204">
        <f>[16]BV!FCI395</f>
        <v>0</v>
      </c>
      <c r="FBY479" s="2204"/>
      <c r="FBZ479" s="2204"/>
      <c r="FCA479" s="2204">
        <f t="shared" si="94"/>
        <v>0</v>
      </c>
      <c r="FCB479" s="2204">
        <f>[16]BV!FCM395</f>
        <v>0</v>
      </c>
      <c r="FCC479" s="2204"/>
      <c r="FCD479" s="2204"/>
      <c r="FCE479" s="2204">
        <f t="shared" si="94"/>
        <v>0</v>
      </c>
      <c r="FCF479" s="2204">
        <f>[16]BV!FCQ395</f>
        <v>0</v>
      </c>
      <c r="FCG479" s="2204"/>
      <c r="FCH479" s="2204"/>
      <c r="FCI479" s="2204">
        <f t="shared" si="94"/>
        <v>0</v>
      </c>
      <c r="FCJ479" s="2204">
        <f>[16]BV!FCU395</f>
        <v>0</v>
      </c>
      <c r="FCK479" s="2204"/>
      <c r="FCL479" s="2204"/>
      <c r="FCM479" s="2204">
        <f t="shared" si="94"/>
        <v>0</v>
      </c>
      <c r="FCN479" s="2204">
        <f>[16]BV!FCY395</f>
        <v>0</v>
      </c>
      <c r="FCO479" s="2204"/>
      <c r="FCP479" s="2204"/>
      <c r="FCQ479" s="2204">
        <f t="shared" si="94"/>
        <v>0</v>
      </c>
      <c r="FCR479" s="2204">
        <f>[16]BV!FDC395</f>
        <v>0</v>
      </c>
      <c r="FCS479" s="2204"/>
      <c r="FCT479" s="2204"/>
      <c r="FCU479" s="2204">
        <f t="shared" si="94"/>
        <v>0</v>
      </c>
      <c r="FCV479" s="2204">
        <f>[16]BV!FDG395</f>
        <v>0</v>
      </c>
      <c r="FCW479" s="2204"/>
      <c r="FCX479" s="2204"/>
      <c r="FCY479" s="2204">
        <f t="shared" si="94"/>
        <v>0</v>
      </c>
      <c r="FCZ479" s="2204">
        <f>[16]BV!FDK395</f>
        <v>0</v>
      </c>
      <c r="FDA479" s="2204"/>
      <c r="FDB479" s="2204"/>
      <c r="FDC479" s="2204">
        <f t="shared" ref="FDC479:FFK479" si="95">FCZ479</f>
        <v>0</v>
      </c>
      <c r="FDD479" s="2204">
        <f>[16]BV!FDO395</f>
        <v>0</v>
      </c>
      <c r="FDE479" s="2204"/>
      <c r="FDF479" s="2204"/>
      <c r="FDG479" s="2204">
        <f t="shared" si="95"/>
        <v>0</v>
      </c>
      <c r="FDH479" s="2204">
        <f>[16]BV!FDS395</f>
        <v>0</v>
      </c>
      <c r="FDI479" s="2204"/>
      <c r="FDJ479" s="2204"/>
      <c r="FDK479" s="2204">
        <f t="shared" si="95"/>
        <v>0</v>
      </c>
      <c r="FDL479" s="2204">
        <f>[16]BV!FDW395</f>
        <v>0</v>
      </c>
      <c r="FDM479" s="2204"/>
      <c r="FDN479" s="2204"/>
      <c r="FDO479" s="2204">
        <f t="shared" si="95"/>
        <v>0</v>
      </c>
      <c r="FDP479" s="2204">
        <f>[16]BV!FEA395</f>
        <v>0</v>
      </c>
      <c r="FDQ479" s="2204"/>
      <c r="FDR479" s="2204"/>
      <c r="FDS479" s="2204">
        <f t="shared" si="95"/>
        <v>0</v>
      </c>
      <c r="FDT479" s="2204">
        <f>[16]BV!FEE395</f>
        <v>0</v>
      </c>
      <c r="FDU479" s="2204"/>
      <c r="FDV479" s="2204"/>
      <c r="FDW479" s="2204">
        <f t="shared" si="95"/>
        <v>0</v>
      </c>
      <c r="FDX479" s="2204">
        <f>[16]BV!FEI395</f>
        <v>0</v>
      </c>
      <c r="FDY479" s="2204"/>
      <c r="FDZ479" s="2204"/>
      <c r="FEA479" s="2204">
        <f t="shared" si="95"/>
        <v>0</v>
      </c>
      <c r="FEB479" s="2204">
        <f>[16]BV!FEM395</f>
        <v>0</v>
      </c>
      <c r="FEC479" s="2204"/>
      <c r="FED479" s="2204"/>
      <c r="FEE479" s="2204">
        <f t="shared" si="95"/>
        <v>0</v>
      </c>
      <c r="FEF479" s="2204">
        <f>[16]BV!FEQ395</f>
        <v>0</v>
      </c>
      <c r="FEG479" s="2204"/>
      <c r="FEH479" s="2204"/>
      <c r="FEI479" s="2204">
        <f t="shared" si="95"/>
        <v>0</v>
      </c>
      <c r="FEJ479" s="2204">
        <f>[16]BV!FEU395</f>
        <v>0</v>
      </c>
      <c r="FEK479" s="2204"/>
      <c r="FEL479" s="2204"/>
      <c r="FEM479" s="2204">
        <f t="shared" si="95"/>
        <v>0</v>
      </c>
      <c r="FEN479" s="2204">
        <f>[16]BV!FEY395</f>
        <v>0</v>
      </c>
      <c r="FEO479" s="2204"/>
      <c r="FEP479" s="2204"/>
      <c r="FEQ479" s="2204">
        <f t="shared" si="95"/>
        <v>0</v>
      </c>
      <c r="FER479" s="2204">
        <f>[16]BV!FFC395</f>
        <v>0</v>
      </c>
      <c r="FES479" s="2204"/>
      <c r="FET479" s="2204"/>
      <c r="FEU479" s="2204">
        <f t="shared" si="95"/>
        <v>0</v>
      </c>
      <c r="FEV479" s="2204">
        <f>[16]BV!FFG395</f>
        <v>0</v>
      </c>
      <c r="FEW479" s="2204"/>
      <c r="FEX479" s="2204"/>
      <c r="FEY479" s="2204">
        <f t="shared" si="95"/>
        <v>0</v>
      </c>
      <c r="FEZ479" s="2204">
        <f>[16]BV!FFK395</f>
        <v>0</v>
      </c>
      <c r="FFA479" s="2204"/>
      <c r="FFB479" s="2204"/>
      <c r="FFC479" s="2204">
        <f t="shared" si="95"/>
        <v>0</v>
      </c>
      <c r="FFD479" s="2204">
        <f>[16]BV!FFO395</f>
        <v>0</v>
      </c>
      <c r="FFE479" s="2204"/>
      <c r="FFF479" s="2204"/>
      <c r="FFG479" s="2204">
        <f t="shared" si="95"/>
        <v>0</v>
      </c>
      <c r="FFH479" s="2204">
        <f>[16]BV!FFS395</f>
        <v>0</v>
      </c>
      <c r="FFI479" s="2204"/>
      <c r="FFJ479" s="2204"/>
      <c r="FFK479" s="2204">
        <f t="shared" si="95"/>
        <v>0</v>
      </c>
      <c r="FFL479" s="2204">
        <f>[16]BV!FFW395</f>
        <v>0</v>
      </c>
      <c r="FFM479" s="2204"/>
      <c r="FFN479" s="2204"/>
      <c r="FFO479" s="2204">
        <f t="shared" ref="FFO479:FHW479" si="96">FFL479</f>
        <v>0</v>
      </c>
      <c r="FFP479" s="2204">
        <f>[16]BV!FGA395</f>
        <v>0</v>
      </c>
      <c r="FFQ479" s="2204"/>
      <c r="FFR479" s="2204"/>
      <c r="FFS479" s="2204">
        <f t="shared" si="96"/>
        <v>0</v>
      </c>
      <c r="FFT479" s="2204">
        <f>[16]BV!FGE395</f>
        <v>0</v>
      </c>
      <c r="FFU479" s="2204"/>
      <c r="FFV479" s="2204"/>
      <c r="FFW479" s="2204">
        <f t="shared" si="96"/>
        <v>0</v>
      </c>
      <c r="FFX479" s="2204">
        <f>[16]BV!FGI395</f>
        <v>0</v>
      </c>
      <c r="FFY479" s="2204"/>
      <c r="FFZ479" s="2204"/>
      <c r="FGA479" s="2204">
        <f t="shared" si="96"/>
        <v>0</v>
      </c>
      <c r="FGB479" s="2204">
        <f>[16]BV!FGM395</f>
        <v>0</v>
      </c>
      <c r="FGC479" s="2204"/>
      <c r="FGD479" s="2204"/>
      <c r="FGE479" s="2204">
        <f t="shared" si="96"/>
        <v>0</v>
      </c>
      <c r="FGF479" s="2204">
        <f>[16]BV!FGQ395</f>
        <v>0</v>
      </c>
      <c r="FGG479" s="2204"/>
      <c r="FGH479" s="2204"/>
      <c r="FGI479" s="2204">
        <f t="shared" si="96"/>
        <v>0</v>
      </c>
      <c r="FGJ479" s="2204">
        <f>[16]BV!FGU395</f>
        <v>0</v>
      </c>
      <c r="FGK479" s="2204"/>
      <c r="FGL479" s="2204"/>
      <c r="FGM479" s="2204">
        <f t="shared" si="96"/>
        <v>0</v>
      </c>
      <c r="FGN479" s="2204">
        <f>[16]BV!FGY395</f>
        <v>0</v>
      </c>
      <c r="FGO479" s="2204"/>
      <c r="FGP479" s="2204"/>
      <c r="FGQ479" s="2204">
        <f t="shared" si="96"/>
        <v>0</v>
      </c>
      <c r="FGR479" s="2204">
        <f>[16]BV!FHC395</f>
        <v>0</v>
      </c>
      <c r="FGS479" s="2204"/>
      <c r="FGT479" s="2204"/>
      <c r="FGU479" s="2204">
        <f t="shared" si="96"/>
        <v>0</v>
      </c>
      <c r="FGV479" s="2204">
        <f>[16]BV!FHG395</f>
        <v>0</v>
      </c>
      <c r="FGW479" s="2204"/>
      <c r="FGX479" s="2204"/>
      <c r="FGY479" s="2204">
        <f t="shared" si="96"/>
        <v>0</v>
      </c>
      <c r="FGZ479" s="2204">
        <f>[16]BV!FHK395</f>
        <v>0</v>
      </c>
      <c r="FHA479" s="2204"/>
      <c r="FHB479" s="2204"/>
      <c r="FHC479" s="2204">
        <f t="shared" si="96"/>
        <v>0</v>
      </c>
      <c r="FHD479" s="2204">
        <f>[16]BV!FHO395</f>
        <v>0</v>
      </c>
      <c r="FHE479" s="2204"/>
      <c r="FHF479" s="2204"/>
      <c r="FHG479" s="2204">
        <f t="shared" si="96"/>
        <v>0</v>
      </c>
      <c r="FHH479" s="2204">
        <f>[16]BV!FHS395</f>
        <v>0</v>
      </c>
      <c r="FHI479" s="2204"/>
      <c r="FHJ479" s="2204"/>
      <c r="FHK479" s="2204">
        <f t="shared" si="96"/>
        <v>0</v>
      </c>
      <c r="FHL479" s="2204">
        <f>[16]BV!FHW395</f>
        <v>0</v>
      </c>
      <c r="FHM479" s="2204"/>
      <c r="FHN479" s="2204"/>
      <c r="FHO479" s="2204">
        <f t="shared" si="96"/>
        <v>0</v>
      </c>
      <c r="FHP479" s="2204">
        <f>[16]BV!FIA395</f>
        <v>0</v>
      </c>
      <c r="FHQ479" s="2204"/>
      <c r="FHR479" s="2204"/>
      <c r="FHS479" s="2204">
        <f t="shared" si="96"/>
        <v>0</v>
      </c>
      <c r="FHT479" s="2204">
        <f>[16]BV!FIE395</f>
        <v>0</v>
      </c>
      <c r="FHU479" s="2204"/>
      <c r="FHV479" s="2204"/>
      <c r="FHW479" s="2204">
        <f t="shared" si="96"/>
        <v>0</v>
      </c>
      <c r="FHX479" s="2204">
        <f>[16]BV!FII395</f>
        <v>0</v>
      </c>
      <c r="FHY479" s="2204"/>
      <c r="FHZ479" s="2204"/>
      <c r="FIA479" s="2204">
        <f t="shared" ref="FIA479:FKI479" si="97">FHX479</f>
        <v>0</v>
      </c>
      <c r="FIB479" s="2204">
        <f>[16]BV!FIM395</f>
        <v>0</v>
      </c>
      <c r="FIC479" s="2204"/>
      <c r="FID479" s="2204"/>
      <c r="FIE479" s="2204">
        <f t="shared" si="97"/>
        <v>0</v>
      </c>
      <c r="FIF479" s="2204">
        <f>[16]BV!FIQ395</f>
        <v>0</v>
      </c>
      <c r="FIG479" s="2204"/>
      <c r="FIH479" s="2204"/>
      <c r="FII479" s="2204">
        <f t="shared" si="97"/>
        <v>0</v>
      </c>
      <c r="FIJ479" s="2204">
        <f>[16]BV!FIU395</f>
        <v>0</v>
      </c>
      <c r="FIK479" s="2204"/>
      <c r="FIL479" s="2204"/>
      <c r="FIM479" s="2204">
        <f t="shared" si="97"/>
        <v>0</v>
      </c>
      <c r="FIN479" s="2204">
        <f>[16]BV!FIY395</f>
        <v>0</v>
      </c>
      <c r="FIO479" s="2204"/>
      <c r="FIP479" s="2204"/>
      <c r="FIQ479" s="2204">
        <f t="shared" si="97"/>
        <v>0</v>
      </c>
      <c r="FIR479" s="2204">
        <f>[16]BV!FJC395</f>
        <v>0</v>
      </c>
      <c r="FIS479" s="2204"/>
      <c r="FIT479" s="2204"/>
      <c r="FIU479" s="2204">
        <f t="shared" si="97"/>
        <v>0</v>
      </c>
      <c r="FIV479" s="2204">
        <f>[16]BV!FJG395</f>
        <v>0</v>
      </c>
      <c r="FIW479" s="2204"/>
      <c r="FIX479" s="2204"/>
      <c r="FIY479" s="2204">
        <f t="shared" si="97"/>
        <v>0</v>
      </c>
      <c r="FIZ479" s="2204">
        <f>[16]BV!FJK395</f>
        <v>0</v>
      </c>
      <c r="FJA479" s="2204"/>
      <c r="FJB479" s="2204"/>
      <c r="FJC479" s="2204">
        <f t="shared" si="97"/>
        <v>0</v>
      </c>
      <c r="FJD479" s="2204">
        <f>[16]BV!FJO395</f>
        <v>0</v>
      </c>
      <c r="FJE479" s="2204"/>
      <c r="FJF479" s="2204"/>
      <c r="FJG479" s="2204">
        <f t="shared" si="97"/>
        <v>0</v>
      </c>
      <c r="FJH479" s="2204">
        <f>[16]BV!FJS395</f>
        <v>0</v>
      </c>
      <c r="FJI479" s="2204"/>
      <c r="FJJ479" s="2204"/>
      <c r="FJK479" s="2204">
        <f t="shared" si="97"/>
        <v>0</v>
      </c>
      <c r="FJL479" s="2204">
        <f>[16]BV!FJW395</f>
        <v>0</v>
      </c>
      <c r="FJM479" s="2204"/>
      <c r="FJN479" s="2204"/>
      <c r="FJO479" s="2204">
        <f t="shared" si="97"/>
        <v>0</v>
      </c>
      <c r="FJP479" s="2204">
        <f>[16]BV!FKA395</f>
        <v>0</v>
      </c>
      <c r="FJQ479" s="2204"/>
      <c r="FJR479" s="2204"/>
      <c r="FJS479" s="2204">
        <f t="shared" si="97"/>
        <v>0</v>
      </c>
      <c r="FJT479" s="2204">
        <f>[16]BV!FKE395</f>
        <v>0</v>
      </c>
      <c r="FJU479" s="2204"/>
      <c r="FJV479" s="2204"/>
      <c r="FJW479" s="2204">
        <f t="shared" si="97"/>
        <v>0</v>
      </c>
      <c r="FJX479" s="2204">
        <f>[16]BV!FKI395</f>
        <v>0</v>
      </c>
      <c r="FJY479" s="2204"/>
      <c r="FJZ479" s="2204"/>
      <c r="FKA479" s="2204">
        <f t="shared" si="97"/>
        <v>0</v>
      </c>
      <c r="FKB479" s="2204">
        <f>[16]BV!FKM395</f>
        <v>0</v>
      </c>
      <c r="FKC479" s="2204"/>
      <c r="FKD479" s="2204"/>
      <c r="FKE479" s="2204">
        <f t="shared" si="97"/>
        <v>0</v>
      </c>
      <c r="FKF479" s="2204">
        <f>[16]BV!FKQ395</f>
        <v>0</v>
      </c>
      <c r="FKG479" s="2204"/>
      <c r="FKH479" s="2204"/>
      <c r="FKI479" s="2204">
        <f t="shared" si="97"/>
        <v>0</v>
      </c>
      <c r="FKJ479" s="2204">
        <f>[16]BV!FKU395</f>
        <v>0</v>
      </c>
      <c r="FKK479" s="2204"/>
      <c r="FKL479" s="2204"/>
      <c r="FKM479" s="2204">
        <f t="shared" ref="FKM479:FMU479" si="98">FKJ479</f>
        <v>0</v>
      </c>
      <c r="FKN479" s="2204">
        <f>[16]BV!FKY395</f>
        <v>0</v>
      </c>
      <c r="FKO479" s="2204"/>
      <c r="FKP479" s="2204"/>
      <c r="FKQ479" s="2204">
        <f t="shared" si="98"/>
        <v>0</v>
      </c>
      <c r="FKR479" s="2204">
        <f>[16]BV!FLC395</f>
        <v>0</v>
      </c>
      <c r="FKS479" s="2204"/>
      <c r="FKT479" s="2204"/>
      <c r="FKU479" s="2204">
        <f t="shared" si="98"/>
        <v>0</v>
      </c>
      <c r="FKV479" s="2204">
        <f>[16]BV!FLG395</f>
        <v>0</v>
      </c>
      <c r="FKW479" s="2204"/>
      <c r="FKX479" s="2204"/>
      <c r="FKY479" s="2204">
        <f t="shared" si="98"/>
        <v>0</v>
      </c>
      <c r="FKZ479" s="2204">
        <f>[16]BV!FLK395</f>
        <v>0</v>
      </c>
      <c r="FLA479" s="2204"/>
      <c r="FLB479" s="2204"/>
      <c r="FLC479" s="2204">
        <f t="shared" si="98"/>
        <v>0</v>
      </c>
      <c r="FLD479" s="2204">
        <f>[16]BV!FLO395</f>
        <v>0</v>
      </c>
      <c r="FLE479" s="2204"/>
      <c r="FLF479" s="2204"/>
      <c r="FLG479" s="2204">
        <f t="shared" si="98"/>
        <v>0</v>
      </c>
      <c r="FLH479" s="2204">
        <f>[16]BV!FLS395</f>
        <v>0</v>
      </c>
      <c r="FLI479" s="2204"/>
      <c r="FLJ479" s="2204"/>
      <c r="FLK479" s="2204">
        <f t="shared" si="98"/>
        <v>0</v>
      </c>
      <c r="FLL479" s="2204">
        <f>[16]BV!FLW395</f>
        <v>0</v>
      </c>
      <c r="FLM479" s="2204"/>
      <c r="FLN479" s="2204"/>
      <c r="FLO479" s="2204">
        <f t="shared" si="98"/>
        <v>0</v>
      </c>
      <c r="FLP479" s="2204">
        <f>[16]BV!FMA395</f>
        <v>0</v>
      </c>
      <c r="FLQ479" s="2204"/>
      <c r="FLR479" s="2204"/>
      <c r="FLS479" s="2204">
        <f t="shared" si="98"/>
        <v>0</v>
      </c>
      <c r="FLT479" s="2204">
        <f>[16]BV!FME395</f>
        <v>0</v>
      </c>
      <c r="FLU479" s="2204"/>
      <c r="FLV479" s="2204"/>
      <c r="FLW479" s="2204">
        <f t="shared" si="98"/>
        <v>0</v>
      </c>
      <c r="FLX479" s="2204">
        <f>[16]BV!FMI395</f>
        <v>0</v>
      </c>
      <c r="FLY479" s="2204"/>
      <c r="FLZ479" s="2204"/>
      <c r="FMA479" s="2204">
        <f t="shared" si="98"/>
        <v>0</v>
      </c>
      <c r="FMB479" s="2204">
        <f>[16]BV!FMM395</f>
        <v>0</v>
      </c>
      <c r="FMC479" s="2204"/>
      <c r="FMD479" s="2204"/>
      <c r="FME479" s="2204">
        <f t="shared" si="98"/>
        <v>0</v>
      </c>
      <c r="FMF479" s="2204">
        <f>[16]BV!FMQ395</f>
        <v>0</v>
      </c>
      <c r="FMG479" s="2204"/>
      <c r="FMH479" s="2204"/>
      <c r="FMI479" s="2204">
        <f t="shared" si="98"/>
        <v>0</v>
      </c>
      <c r="FMJ479" s="2204">
        <f>[16]BV!FMU395</f>
        <v>0</v>
      </c>
      <c r="FMK479" s="2204"/>
      <c r="FML479" s="2204"/>
      <c r="FMM479" s="2204">
        <f t="shared" si="98"/>
        <v>0</v>
      </c>
      <c r="FMN479" s="2204">
        <f>[16]BV!FMY395</f>
        <v>0</v>
      </c>
      <c r="FMO479" s="2204"/>
      <c r="FMP479" s="2204"/>
      <c r="FMQ479" s="2204">
        <f t="shared" si="98"/>
        <v>0</v>
      </c>
      <c r="FMR479" s="2204">
        <f>[16]BV!FNC395</f>
        <v>0</v>
      </c>
      <c r="FMS479" s="2204"/>
      <c r="FMT479" s="2204"/>
      <c r="FMU479" s="2204">
        <f t="shared" si="98"/>
        <v>0</v>
      </c>
      <c r="FMV479" s="2204">
        <f>[16]BV!FNG395</f>
        <v>0</v>
      </c>
      <c r="FMW479" s="2204"/>
      <c r="FMX479" s="2204"/>
      <c r="FMY479" s="2204">
        <f t="shared" ref="FMY479:FPG479" si="99">FMV479</f>
        <v>0</v>
      </c>
      <c r="FMZ479" s="2204">
        <f>[16]BV!FNK395</f>
        <v>0</v>
      </c>
      <c r="FNA479" s="2204"/>
      <c r="FNB479" s="2204"/>
      <c r="FNC479" s="2204">
        <f t="shared" si="99"/>
        <v>0</v>
      </c>
      <c r="FND479" s="2204">
        <f>[16]BV!FNO395</f>
        <v>0</v>
      </c>
      <c r="FNE479" s="2204"/>
      <c r="FNF479" s="2204"/>
      <c r="FNG479" s="2204">
        <f t="shared" si="99"/>
        <v>0</v>
      </c>
      <c r="FNH479" s="2204">
        <f>[16]BV!FNS395</f>
        <v>0</v>
      </c>
      <c r="FNI479" s="2204"/>
      <c r="FNJ479" s="2204"/>
      <c r="FNK479" s="2204">
        <f t="shared" si="99"/>
        <v>0</v>
      </c>
      <c r="FNL479" s="2204">
        <f>[16]BV!FNW395</f>
        <v>0</v>
      </c>
      <c r="FNM479" s="2204"/>
      <c r="FNN479" s="2204"/>
      <c r="FNO479" s="2204">
        <f t="shared" si="99"/>
        <v>0</v>
      </c>
      <c r="FNP479" s="2204">
        <f>[16]BV!FOA395</f>
        <v>0</v>
      </c>
      <c r="FNQ479" s="2204"/>
      <c r="FNR479" s="2204"/>
      <c r="FNS479" s="2204">
        <f t="shared" si="99"/>
        <v>0</v>
      </c>
      <c r="FNT479" s="2204">
        <f>[16]BV!FOE395</f>
        <v>0</v>
      </c>
      <c r="FNU479" s="2204"/>
      <c r="FNV479" s="2204"/>
      <c r="FNW479" s="2204">
        <f t="shared" si="99"/>
        <v>0</v>
      </c>
      <c r="FNX479" s="2204">
        <f>[16]BV!FOI395</f>
        <v>0</v>
      </c>
      <c r="FNY479" s="2204"/>
      <c r="FNZ479" s="2204"/>
      <c r="FOA479" s="2204">
        <f t="shared" si="99"/>
        <v>0</v>
      </c>
      <c r="FOB479" s="2204">
        <f>[16]BV!FOM395</f>
        <v>0</v>
      </c>
      <c r="FOC479" s="2204"/>
      <c r="FOD479" s="2204"/>
      <c r="FOE479" s="2204">
        <f t="shared" si="99"/>
        <v>0</v>
      </c>
      <c r="FOF479" s="2204">
        <f>[16]BV!FOQ395</f>
        <v>0</v>
      </c>
      <c r="FOG479" s="2204"/>
      <c r="FOH479" s="2204"/>
      <c r="FOI479" s="2204">
        <f t="shared" si="99"/>
        <v>0</v>
      </c>
      <c r="FOJ479" s="2204">
        <f>[16]BV!FOU395</f>
        <v>0</v>
      </c>
      <c r="FOK479" s="2204"/>
      <c r="FOL479" s="2204"/>
      <c r="FOM479" s="2204">
        <f t="shared" si="99"/>
        <v>0</v>
      </c>
      <c r="FON479" s="2204">
        <f>[16]BV!FOY395</f>
        <v>0</v>
      </c>
      <c r="FOO479" s="2204"/>
      <c r="FOP479" s="2204"/>
      <c r="FOQ479" s="2204">
        <f t="shared" si="99"/>
        <v>0</v>
      </c>
      <c r="FOR479" s="2204">
        <f>[16]BV!FPC395</f>
        <v>0</v>
      </c>
      <c r="FOS479" s="2204"/>
      <c r="FOT479" s="2204"/>
      <c r="FOU479" s="2204">
        <f t="shared" si="99"/>
        <v>0</v>
      </c>
      <c r="FOV479" s="2204">
        <f>[16]BV!FPG395</f>
        <v>0</v>
      </c>
      <c r="FOW479" s="2204"/>
      <c r="FOX479" s="2204"/>
      <c r="FOY479" s="2204">
        <f t="shared" si="99"/>
        <v>0</v>
      </c>
      <c r="FOZ479" s="2204">
        <f>[16]BV!FPK395</f>
        <v>0</v>
      </c>
      <c r="FPA479" s="2204"/>
      <c r="FPB479" s="2204"/>
      <c r="FPC479" s="2204">
        <f t="shared" si="99"/>
        <v>0</v>
      </c>
      <c r="FPD479" s="2204">
        <f>[16]BV!FPO395</f>
        <v>0</v>
      </c>
      <c r="FPE479" s="2204"/>
      <c r="FPF479" s="2204"/>
      <c r="FPG479" s="2204">
        <f t="shared" si="99"/>
        <v>0</v>
      </c>
      <c r="FPH479" s="2204">
        <f>[16]BV!FPS395</f>
        <v>0</v>
      </c>
      <c r="FPI479" s="2204"/>
      <c r="FPJ479" s="2204"/>
      <c r="FPK479" s="2204">
        <f t="shared" ref="FPK479:FRS479" si="100">FPH479</f>
        <v>0</v>
      </c>
      <c r="FPL479" s="2204">
        <f>[16]BV!FPW395</f>
        <v>0</v>
      </c>
      <c r="FPM479" s="2204"/>
      <c r="FPN479" s="2204"/>
      <c r="FPO479" s="2204">
        <f t="shared" si="100"/>
        <v>0</v>
      </c>
      <c r="FPP479" s="2204">
        <f>[16]BV!FQA395</f>
        <v>0</v>
      </c>
      <c r="FPQ479" s="2204"/>
      <c r="FPR479" s="2204"/>
      <c r="FPS479" s="2204">
        <f t="shared" si="100"/>
        <v>0</v>
      </c>
      <c r="FPT479" s="2204">
        <f>[16]BV!FQE395</f>
        <v>0</v>
      </c>
      <c r="FPU479" s="2204"/>
      <c r="FPV479" s="2204"/>
      <c r="FPW479" s="2204">
        <f t="shared" si="100"/>
        <v>0</v>
      </c>
      <c r="FPX479" s="2204">
        <f>[16]BV!FQI395</f>
        <v>0</v>
      </c>
      <c r="FPY479" s="2204"/>
      <c r="FPZ479" s="2204"/>
      <c r="FQA479" s="2204">
        <f t="shared" si="100"/>
        <v>0</v>
      </c>
      <c r="FQB479" s="2204">
        <f>[16]BV!FQM395</f>
        <v>0</v>
      </c>
      <c r="FQC479" s="2204"/>
      <c r="FQD479" s="2204"/>
      <c r="FQE479" s="2204">
        <f t="shared" si="100"/>
        <v>0</v>
      </c>
      <c r="FQF479" s="2204">
        <f>[16]BV!FQQ395</f>
        <v>0</v>
      </c>
      <c r="FQG479" s="2204"/>
      <c r="FQH479" s="2204"/>
      <c r="FQI479" s="2204">
        <f t="shared" si="100"/>
        <v>0</v>
      </c>
      <c r="FQJ479" s="2204">
        <f>[16]BV!FQU395</f>
        <v>0</v>
      </c>
      <c r="FQK479" s="2204"/>
      <c r="FQL479" s="2204"/>
      <c r="FQM479" s="2204">
        <f t="shared" si="100"/>
        <v>0</v>
      </c>
      <c r="FQN479" s="2204">
        <f>[16]BV!FQY395</f>
        <v>0</v>
      </c>
      <c r="FQO479" s="2204"/>
      <c r="FQP479" s="2204"/>
      <c r="FQQ479" s="2204">
        <f t="shared" si="100"/>
        <v>0</v>
      </c>
      <c r="FQR479" s="2204">
        <f>[16]BV!FRC395</f>
        <v>0</v>
      </c>
      <c r="FQS479" s="2204"/>
      <c r="FQT479" s="2204"/>
      <c r="FQU479" s="2204">
        <f t="shared" si="100"/>
        <v>0</v>
      </c>
      <c r="FQV479" s="2204">
        <f>[16]BV!FRG395</f>
        <v>0</v>
      </c>
      <c r="FQW479" s="2204"/>
      <c r="FQX479" s="2204"/>
      <c r="FQY479" s="2204">
        <f t="shared" si="100"/>
        <v>0</v>
      </c>
      <c r="FQZ479" s="2204">
        <f>[16]BV!FRK395</f>
        <v>0</v>
      </c>
      <c r="FRA479" s="2204"/>
      <c r="FRB479" s="2204"/>
      <c r="FRC479" s="2204">
        <f t="shared" si="100"/>
        <v>0</v>
      </c>
      <c r="FRD479" s="2204">
        <f>[16]BV!FRO395</f>
        <v>0</v>
      </c>
      <c r="FRE479" s="2204"/>
      <c r="FRF479" s="2204"/>
      <c r="FRG479" s="2204">
        <f t="shared" si="100"/>
        <v>0</v>
      </c>
      <c r="FRH479" s="2204">
        <f>[16]BV!FRS395</f>
        <v>0</v>
      </c>
      <c r="FRI479" s="2204"/>
      <c r="FRJ479" s="2204"/>
      <c r="FRK479" s="2204">
        <f t="shared" si="100"/>
        <v>0</v>
      </c>
      <c r="FRL479" s="2204">
        <f>[16]BV!FRW395</f>
        <v>0</v>
      </c>
      <c r="FRM479" s="2204"/>
      <c r="FRN479" s="2204"/>
      <c r="FRO479" s="2204">
        <f t="shared" si="100"/>
        <v>0</v>
      </c>
      <c r="FRP479" s="2204">
        <f>[16]BV!FSA395</f>
        <v>0</v>
      </c>
      <c r="FRQ479" s="2204"/>
      <c r="FRR479" s="2204"/>
      <c r="FRS479" s="2204">
        <f t="shared" si="100"/>
        <v>0</v>
      </c>
      <c r="FRT479" s="2204">
        <f>[16]BV!FSE395</f>
        <v>0</v>
      </c>
      <c r="FRU479" s="2204"/>
      <c r="FRV479" s="2204"/>
      <c r="FRW479" s="2204">
        <f t="shared" ref="FRW479:FUE479" si="101">FRT479</f>
        <v>0</v>
      </c>
      <c r="FRX479" s="2204">
        <f>[16]BV!FSI395</f>
        <v>0</v>
      </c>
      <c r="FRY479" s="2204"/>
      <c r="FRZ479" s="2204"/>
      <c r="FSA479" s="2204">
        <f t="shared" si="101"/>
        <v>0</v>
      </c>
      <c r="FSB479" s="2204">
        <f>[16]BV!FSM395</f>
        <v>0</v>
      </c>
      <c r="FSC479" s="2204"/>
      <c r="FSD479" s="2204"/>
      <c r="FSE479" s="2204">
        <f t="shared" si="101"/>
        <v>0</v>
      </c>
      <c r="FSF479" s="2204">
        <f>[16]BV!FSQ395</f>
        <v>0</v>
      </c>
      <c r="FSG479" s="2204"/>
      <c r="FSH479" s="2204"/>
      <c r="FSI479" s="2204">
        <f t="shared" si="101"/>
        <v>0</v>
      </c>
      <c r="FSJ479" s="2204">
        <f>[16]BV!FSU395</f>
        <v>0</v>
      </c>
      <c r="FSK479" s="2204"/>
      <c r="FSL479" s="2204"/>
      <c r="FSM479" s="2204">
        <f t="shared" si="101"/>
        <v>0</v>
      </c>
      <c r="FSN479" s="2204">
        <f>[16]BV!FSY395</f>
        <v>0</v>
      </c>
      <c r="FSO479" s="2204"/>
      <c r="FSP479" s="2204"/>
      <c r="FSQ479" s="2204">
        <f t="shared" si="101"/>
        <v>0</v>
      </c>
      <c r="FSR479" s="2204">
        <f>[16]BV!FTC395</f>
        <v>0</v>
      </c>
      <c r="FSS479" s="2204"/>
      <c r="FST479" s="2204"/>
      <c r="FSU479" s="2204">
        <f t="shared" si="101"/>
        <v>0</v>
      </c>
      <c r="FSV479" s="2204">
        <f>[16]BV!FTG395</f>
        <v>0</v>
      </c>
      <c r="FSW479" s="2204"/>
      <c r="FSX479" s="2204"/>
      <c r="FSY479" s="2204">
        <f t="shared" si="101"/>
        <v>0</v>
      </c>
      <c r="FSZ479" s="2204">
        <f>[16]BV!FTK395</f>
        <v>0</v>
      </c>
      <c r="FTA479" s="2204"/>
      <c r="FTB479" s="2204"/>
      <c r="FTC479" s="2204">
        <f t="shared" si="101"/>
        <v>0</v>
      </c>
      <c r="FTD479" s="2204">
        <f>[16]BV!FTO395</f>
        <v>0</v>
      </c>
      <c r="FTE479" s="2204"/>
      <c r="FTF479" s="2204"/>
      <c r="FTG479" s="2204">
        <f t="shared" si="101"/>
        <v>0</v>
      </c>
      <c r="FTH479" s="2204">
        <f>[16]BV!FTS395</f>
        <v>0</v>
      </c>
      <c r="FTI479" s="2204"/>
      <c r="FTJ479" s="2204"/>
      <c r="FTK479" s="2204">
        <f t="shared" si="101"/>
        <v>0</v>
      </c>
      <c r="FTL479" s="2204">
        <f>[16]BV!FTW395</f>
        <v>0</v>
      </c>
      <c r="FTM479" s="2204"/>
      <c r="FTN479" s="2204"/>
      <c r="FTO479" s="2204">
        <f t="shared" si="101"/>
        <v>0</v>
      </c>
      <c r="FTP479" s="2204">
        <f>[16]BV!FUA395</f>
        <v>0</v>
      </c>
      <c r="FTQ479" s="2204"/>
      <c r="FTR479" s="2204"/>
      <c r="FTS479" s="2204">
        <f t="shared" si="101"/>
        <v>0</v>
      </c>
      <c r="FTT479" s="2204">
        <f>[16]BV!FUE395</f>
        <v>0</v>
      </c>
      <c r="FTU479" s="2204"/>
      <c r="FTV479" s="2204"/>
      <c r="FTW479" s="2204">
        <f t="shared" si="101"/>
        <v>0</v>
      </c>
      <c r="FTX479" s="2204">
        <f>[16]BV!FUI395</f>
        <v>0</v>
      </c>
      <c r="FTY479" s="2204"/>
      <c r="FTZ479" s="2204"/>
      <c r="FUA479" s="2204">
        <f t="shared" si="101"/>
        <v>0</v>
      </c>
      <c r="FUB479" s="2204">
        <f>[16]BV!FUM395</f>
        <v>0</v>
      </c>
      <c r="FUC479" s="2204"/>
      <c r="FUD479" s="2204"/>
      <c r="FUE479" s="2204">
        <f t="shared" si="101"/>
        <v>0</v>
      </c>
      <c r="FUF479" s="2204">
        <f>[16]BV!FUQ395</f>
        <v>0</v>
      </c>
      <c r="FUG479" s="2204"/>
      <c r="FUH479" s="2204"/>
      <c r="FUI479" s="2204">
        <f t="shared" ref="FUI479:FWQ479" si="102">FUF479</f>
        <v>0</v>
      </c>
      <c r="FUJ479" s="2204">
        <f>[16]BV!FUU395</f>
        <v>0</v>
      </c>
      <c r="FUK479" s="2204"/>
      <c r="FUL479" s="2204"/>
      <c r="FUM479" s="2204">
        <f t="shared" si="102"/>
        <v>0</v>
      </c>
      <c r="FUN479" s="2204">
        <f>[16]BV!FUY395</f>
        <v>0</v>
      </c>
      <c r="FUO479" s="2204"/>
      <c r="FUP479" s="2204"/>
      <c r="FUQ479" s="2204">
        <f t="shared" si="102"/>
        <v>0</v>
      </c>
      <c r="FUR479" s="2204">
        <f>[16]BV!FVC395</f>
        <v>0</v>
      </c>
      <c r="FUS479" s="2204"/>
      <c r="FUT479" s="2204"/>
      <c r="FUU479" s="2204">
        <f t="shared" si="102"/>
        <v>0</v>
      </c>
      <c r="FUV479" s="2204">
        <f>[16]BV!FVG395</f>
        <v>0</v>
      </c>
      <c r="FUW479" s="2204"/>
      <c r="FUX479" s="2204"/>
      <c r="FUY479" s="2204">
        <f t="shared" si="102"/>
        <v>0</v>
      </c>
      <c r="FUZ479" s="2204">
        <f>[16]BV!FVK395</f>
        <v>0</v>
      </c>
      <c r="FVA479" s="2204"/>
      <c r="FVB479" s="2204"/>
      <c r="FVC479" s="2204">
        <f t="shared" si="102"/>
        <v>0</v>
      </c>
      <c r="FVD479" s="2204">
        <f>[16]BV!FVO395</f>
        <v>0</v>
      </c>
      <c r="FVE479" s="2204"/>
      <c r="FVF479" s="2204"/>
      <c r="FVG479" s="2204">
        <f t="shared" si="102"/>
        <v>0</v>
      </c>
      <c r="FVH479" s="2204">
        <f>[16]BV!FVS395</f>
        <v>0</v>
      </c>
      <c r="FVI479" s="2204"/>
      <c r="FVJ479" s="2204"/>
      <c r="FVK479" s="2204">
        <f t="shared" si="102"/>
        <v>0</v>
      </c>
      <c r="FVL479" s="2204">
        <f>[16]BV!FVW395</f>
        <v>0</v>
      </c>
      <c r="FVM479" s="2204"/>
      <c r="FVN479" s="2204"/>
      <c r="FVO479" s="2204">
        <f t="shared" si="102"/>
        <v>0</v>
      </c>
      <c r="FVP479" s="2204">
        <f>[16]BV!FWA395</f>
        <v>0</v>
      </c>
      <c r="FVQ479" s="2204"/>
      <c r="FVR479" s="2204"/>
      <c r="FVS479" s="2204">
        <f t="shared" si="102"/>
        <v>0</v>
      </c>
      <c r="FVT479" s="2204">
        <f>[16]BV!FWE395</f>
        <v>0</v>
      </c>
      <c r="FVU479" s="2204"/>
      <c r="FVV479" s="2204"/>
      <c r="FVW479" s="2204">
        <f t="shared" si="102"/>
        <v>0</v>
      </c>
      <c r="FVX479" s="2204">
        <f>[16]BV!FWI395</f>
        <v>0</v>
      </c>
      <c r="FVY479" s="2204"/>
      <c r="FVZ479" s="2204"/>
      <c r="FWA479" s="2204">
        <f t="shared" si="102"/>
        <v>0</v>
      </c>
      <c r="FWB479" s="2204">
        <f>[16]BV!FWM395</f>
        <v>0</v>
      </c>
      <c r="FWC479" s="2204"/>
      <c r="FWD479" s="2204"/>
      <c r="FWE479" s="2204">
        <f t="shared" si="102"/>
        <v>0</v>
      </c>
      <c r="FWF479" s="2204">
        <f>[16]BV!FWQ395</f>
        <v>0</v>
      </c>
      <c r="FWG479" s="2204"/>
      <c r="FWH479" s="2204"/>
      <c r="FWI479" s="2204">
        <f t="shared" si="102"/>
        <v>0</v>
      </c>
      <c r="FWJ479" s="2204">
        <f>[16]BV!FWU395</f>
        <v>0</v>
      </c>
      <c r="FWK479" s="2204"/>
      <c r="FWL479" s="2204"/>
      <c r="FWM479" s="2204">
        <f t="shared" si="102"/>
        <v>0</v>
      </c>
      <c r="FWN479" s="2204">
        <f>[16]BV!FWY395</f>
        <v>0</v>
      </c>
      <c r="FWO479" s="2204"/>
      <c r="FWP479" s="2204"/>
      <c r="FWQ479" s="2204">
        <f t="shared" si="102"/>
        <v>0</v>
      </c>
      <c r="FWR479" s="2204">
        <f>[16]BV!FXC395</f>
        <v>0</v>
      </c>
      <c r="FWS479" s="2204"/>
      <c r="FWT479" s="2204"/>
      <c r="FWU479" s="2204">
        <f t="shared" ref="FWU479:FZC479" si="103">FWR479</f>
        <v>0</v>
      </c>
      <c r="FWV479" s="2204">
        <f>[16]BV!FXG395</f>
        <v>0</v>
      </c>
      <c r="FWW479" s="2204"/>
      <c r="FWX479" s="2204"/>
      <c r="FWY479" s="2204">
        <f t="shared" si="103"/>
        <v>0</v>
      </c>
      <c r="FWZ479" s="2204">
        <f>[16]BV!FXK395</f>
        <v>0</v>
      </c>
      <c r="FXA479" s="2204"/>
      <c r="FXB479" s="2204"/>
      <c r="FXC479" s="2204">
        <f t="shared" si="103"/>
        <v>0</v>
      </c>
      <c r="FXD479" s="2204">
        <f>[16]BV!FXO395</f>
        <v>0</v>
      </c>
      <c r="FXE479" s="2204"/>
      <c r="FXF479" s="2204"/>
      <c r="FXG479" s="2204">
        <f t="shared" si="103"/>
        <v>0</v>
      </c>
      <c r="FXH479" s="2204">
        <f>[16]BV!FXS395</f>
        <v>0</v>
      </c>
      <c r="FXI479" s="2204"/>
      <c r="FXJ479" s="2204"/>
      <c r="FXK479" s="2204">
        <f t="shared" si="103"/>
        <v>0</v>
      </c>
      <c r="FXL479" s="2204">
        <f>[16]BV!FXW395</f>
        <v>0</v>
      </c>
      <c r="FXM479" s="2204"/>
      <c r="FXN479" s="2204"/>
      <c r="FXO479" s="2204">
        <f t="shared" si="103"/>
        <v>0</v>
      </c>
      <c r="FXP479" s="2204">
        <f>[16]BV!FYA395</f>
        <v>0</v>
      </c>
      <c r="FXQ479" s="2204"/>
      <c r="FXR479" s="2204"/>
      <c r="FXS479" s="2204">
        <f t="shared" si="103"/>
        <v>0</v>
      </c>
      <c r="FXT479" s="2204">
        <f>[16]BV!FYE395</f>
        <v>0</v>
      </c>
      <c r="FXU479" s="2204"/>
      <c r="FXV479" s="2204"/>
      <c r="FXW479" s="2204">
        <f t="shared" si="103"/>
        <v>0</v>
      </c>
      <c r="FXX479" s="2204">
        <f>[16]BV!FYI395</f>
        <v>0</v>
      </c>
      <c r="FXY479" s="2204"/>
      <c r="FXZ479" s="2204"/>
      <c r="FYA479" s="2204">
        <f t="shared" si="103"/>
        <v>0</v>
      </c>
      <c r="FYB479" s="2204">
        <f>[16]BV!FYM395</f>
        <v>0</v>
      </c>
      <c r="FYC479" s="2204"/>
      <c r="FYD479" s="2204"/>
      <c r="FYE479" s="2204">
        <f t="shared" si="103"/>
        <v>0</v>
      </c>
      <c r="FYF479" s="2204">
        <f>[16]BV!FYQ395</f>
        <v>0</v>
      </c>
      <c r="FYG479" s="2204"/>
      <c r="FYH479" s="2204"/>
      <c r="FYI479" s="2204">
        <f t="shared" si="103"/>
        <v>0</v>
      </c>
      <c r="FYJ479" s="2204">
        <f>[16]BV!FYU395</f>
        <v>0</v>
      </c>
      <c r="FYK479" s="2204"/>
      <c r="FYL479" s="2204"/>
      <c r="FYM479" s="2204">
        <f t="shared" si="103"/>
        <v>0</v>
      </c>
      <c r="FYN479" s="2204">
        <f>[16]BV!FYY395</f>
        <v>0</v>
      </c>
      <c r="FYO479" s="2204"/>
      <c r="FYP479" s="2204"/>
      <c r="FYQ479" s="2204">
        <f t="shared" si="103"/>
        <v>0</v>
      </c>
      <c r="FYR479" s="2204">
        <f>[16]BV!FZC395</f>
        <v>0</v>
      </c>
      <c r="FYS479" s="2204"/>
      <c r="FYT479" s="2204"/>
      <c r="FYU479" s="2204">
        <f t="shared" si="103"/>
        <v>0</v>
      </c>
      <c r="FYV479" s="2204">
        <f>[16]BV!FZG395</f>
        <v>0</v>
      </c>
      <c r="FYW479" s="2204"/>
      <c r="FYX479" s="2204"/>
      <c r="FYY479" s="2204">
        <f t="shared" si="103"/>
        <v>0</v>
      </c>
      <c r="FYZ479" s="2204">
        <f>[16]BV!FZK395</f>
        <v>0</v>
      </c>
      <c r="FZA479" s="2204"/>
      <c r="FZB479" s="2204"/>
      <c r="FZC479" s="2204">
        <f t="shared" si="103"/>
        <v>0</v>
      </c>
      <c r="FZD479" s="2204">
        <f>[16]BV!FZO395</f>
        <v>0</v>
      </c>
      <c r="FZE479" s="2204"/>
      <c r="FZF479" s="2204"/>
      <c r="FZG479" s="2204">
        <f t="shared" ref="FZG479:GBO479" si="104">FZD479</f>
        <v>0</v>
      </c>
      <c r="FZH479" s="2204">
        <f>[16]BV!FZS395</f>
        <v>0</v>
      </c>
      <c r="FZI479" s="2204"/>
      <c r="FZJ479" s="2204"/>
      <c r="FZK479" s="2204">
        <f t="shared" si="104"/>
        <v>0</v>
      </c>
      <c r="FZL479" s="2204">
        <f>[16]BV!FZW395</f>
        <v>0</v>
      </c>
      <c r="FZM479" s="2204"/>
      <c r="FZN479" s="2204"/>
      <c r="FZO479" s="2204">
        <f t="shared" si="104"/>
        <v>0</v>
      </c>
      <c r="FZP479" s="2204">
        <f>[16]BV!GAA395</f>
        <v>0</v>
      </c>
      <c r="FZQ479" s="2204"/>
      <c r="FZR479" s="2204"/>
      <c r="FZS479" s="2204">
        <f t="shared" si="104"/>
        <v>0</v>
      </c>
      <c r="FZT479" s="2204">
        <f>[16]BV!GAE395</f>
        <v>0</v>
      </c>
      <c r="FZU479" s="2204"/>
      <c r="FZV479" s="2204"/>
      <c r="FZW479" s="2204">
        <f t="shared" si="104"/>
        <v>0</v>
      </c>
      <c r="FZX479" s="2204">
        <f>[16]BV!GAI395</f>
        <v>0</v>
      </c>
      <c r="FZY479" s="2204"/>
      <c r="FZZ479" s="2204"/>
      <c r="GAA479" s="2204">
        <f t="shared" si="104"/>
        <v>0</v>
      </c>
      <c r="GAB479" s="2204">
        <f>[16]BV!GAM395</f>
        <v>0</v>
      </c>
      <c r="GAC479" s="2204"/>
      <c r="GAD479" s="2204"/>
      <c r="GAE479" s="2204">
        <f t="shared" si="104"/>
        <v>0</v>
      </c>
      <c r="GAF479" s="2204">
        <f>[16]BV!GAQ395</f>
        <v>0</v>
      </c>
      <c r="GAG479" s="2204"/>
      <c r="GAH479" s="2204"/>
      <c r="GAI479" s="2204">
        <f t="shared" si="104"/>
        <v>0</v>
      </c>
      <c r="GAJ479" s="2204">
        <f>[16]BV!GAU395</f>
        <v>0</v>
      </c>
      <c r="GAK479" s="2204"/>
      <c r="GAL479" s="2204"/>
      <c r="GAM479" s="2204">
        <f t="shared" si="104"/>
        <v>0</v>
      </c>
      <c r="GAN479" s="2204">
        <f>[16]BV!GAY395</f>
        <v>0</v>
      </c>
      <c r="GAO479" s="2204"/>
      <c r="GAP479" s="2204"/>
      <c r="GAQ479" s="2204">
        <f t="shared" si="104"/>
        <v>0</v>
      </c>
      <c r="GAR479" s="2204">
        <f>[16]BV!GBC395</f>
        <v>0</v>
      </c>
      <c r="GAS479" s="2204"/>
      <c r="GAT479" s="2204"/>
      <c r="GAU479" s="2204">
        <f t="shared" si="104"/>
        <v>0</v>
      </c>
      <c r="GAV479" s="2204">
        <f>[16]BV!GBG395</f>
        <v>0</v>
      </c>
      <c r="GAW479" s="2204"/>
      <c r="GAX479" s="2204"/>
      <c r="GAY479" s="2204">
        <f t="shared" si="104"/>
        <v>0</v>
      </c>
      <c r="GAZ479" s="2204">
        <f>[16]BV!GBK395</f>
        <v>0</v>
      </c>
      <c r="GBA479" s="2204"/>
      <c r="GBB479" s="2204"/>
      <c r="GBC479" s="2204">
        <f t="shared" si="104"/>
        <v>0</v>
      </c>
      <c r="GBD479" s="2204">
        <f>[16]BV!GBO395</f>
        <v>0</v>
      </c>
      <c r="GBE479" s="2204"/>
      <c r="GBF479" s="2204"/>
      <c r="GBG479" s="2204">
        <f t="shared" si="104"/>
        <v>0</v>
      </c>
      <c r="GBH479" s="2204">
        <f>[16]BV!GBS395</f>
        <v>0</v>
      </c>
      <c r="GBI479" s="2204"/>
      <c r="GBJ479" s="2204"/>
      <c r="GBK479" s="2204">
        <f t="shared" si="104"/>
        <v>0</v>
      </c>
      <c r="GBL479" s="2204">
        <f>[16]BV!GBW395</f>
        <v>0</v>
      </c>
      <c r="GBM479" s="2204"/>
      <c r="GBN479" s="2204"/>
      <c r="GBO479" s="2204">
        <f t="shared" si="104"/>
        <v>0</v>
      </c>
      <c r="GBP479" s="2204">
        <f>[16]BV!GCA395</f>
        <v>0</v>
      </c>
      <c r="GBQ479" s="2204"/>
      <c r="GBR479" s="2204"/>
      <c r="GBS479" s="2204">
        <f t="shared" ref="GBS479:GEA479" si="105">GBP479</f>
        <v>0</v>
      </c>
      <c r="GBT479" s="2204">
        <f>[16]BV!GCE395</f>
        <v>0</v>
      </c>
      <c r="GBU479" s="2204"/>
      <c r="GBV479" s="2204"/>
      <c r="GBW479" s="2204">
        <f t="shared" si="105"/>
        <v>0</v>
      </c>
      <c r="GBX479" s="2204">
        <f>[16]BV!GCI395</f>
        <v>0</v>
      </c>
      <c r="GBY479" s="2204"/>
      <c r="GBZ479" s="2204"/>
      <c r="GCA479" s="2204">
        <f t="shared" si="105"/>
        <v>0</v>
      </c>
      <c r="GCB479" s="2204">
        <f>[16]BV!GCM395</f>
        <v>0</v>
      </c>
      <c r="GCC479" s="2204"/>
      <c r="GCD479" s="2204"/>
      <c r="GCE479" s="2204">
        <f t="shared" si="105"/>
        <v>0</v>
      </c>
      <c r="GCF479" s="2204">
        <f>[16]BV!GCQ395</f>
        <v>0</v>
      </c>
      <c r="GCG479" s="2204"/>
      <c r="GCH479" s="2204"/>
      <c r="GCI479" s="2204">
        <f t="shared" si="105"/>
        <v>0</v>
      </c>
      <c r="GCJ479" s="2204">
        <f>[16]BV!GCU395</f>
        <v>0</v>
      </c>
      <c r="GCK479" s="2204"/>
      <c r="GCL479" s="2204"/>
      <c r="GCM479" s="2204">
        <f t="shared" si="105"/>
        <v>0</v>
      </c>
      <c r="GCN479" s="2204">
        <f>[16]BV!GCY395</f>
        <v>0</v>
      </c>
      <c r="GCO479" s="2204"/>
      <c r="GCP479" s="2204"/>
      <c r="GCQ479" s="2204">
        <f t="shared" si="105"/>
        <v>0</v>
      </c>
      <c r="GCR479" s="2204">
        <f>[16]BV!GDC395</f>
        <v>0</v>
      </c>
      <c r="GCS479" s="2204"/>
      <c r="GCT479" s="2204"/>
      <c r="GCU479" s="2204">
        <f t="shared" si="105"/>
        <v>0</v>
      </c>
      <c r="GCV479" s="2204">
        <f>[16]BV!GDG395</f>
        <v>0</v>
      </c>
      <c r="GCW479" s="2204"/>
      <c r="GCX479" s="2204"/>
      <c r="GCY479" s="2204">
        <f t="shared" si="105"/>
        <v>0</v>
      </c>
      <c r="GCZ479" s="2204">
        <f>[16]BV!GDK395</f>
        <v>0</v>
      </c>
      <c r="GDA479" s="2204"/>
      <c r="GDB479" s="2204"/>
      <c r="GDC479" s="2204">
        <f t="shared" si="105"/>
        <v>0</v>
      </c>
      <c r="GDD479" s="2204">
        <f>[16]BV!GDO395</f>
        <v>0</v>
      </c>
      <c r="GDE479" s="2204"/>
      <c r="GDF479" s="2204"/>
      <c r="GDG479" s="2204">
        <f t="shared" si="105"/>
        <v>0</v>
      </c>
      <c r="GDH479" s="2204">
        <f>[16]BV!GDS395</f>
        <v>0</v>
      </c>
      <c r="GDI479" s="2204"/>
      <c r="GDJ479" s="2204"/>
      <c r="GDK479" s="2204">
        <f t="shared" si="105"/>
        <v>0</v>
      </c>
      <c r="GDL479" s="2204">
        <f>[16]BV!GDW395</f>
        <v>0</v>
      </c>
      <c r="GDM479" s="2204"/>
      <c r="GDN479" s="2204"/>
      <c r="GDO479" s="2204">
        <f t="shared" si="105"/>
        <v>0</v>
      </c>
      <c r="GDP479" s="2204">
        <f>[16]BV!GEA395</f>
        <v>0</v>
      </c>
      <c r="GDQ479" s="2204"/>
      <c r="GDR479" s="2204"/>
      <c r="GDS479" s="2204">
        <f t="shared" si="105"/>
        <v>0</v>
      </c>
      <c r="GDT479" s="2204">
        <f>[16]BV!GEE395</f>
        <v>0</v>
      </c>
      <c r="GDU479" s="2204"/>
      <c r="GDV479" s="2204"/>
      <c r="GDW479" s="2204">
        <f t="shared" si="105"/>
        <v>0</v>
      </c>
      <c r="GDX479" s="2204">
        <f>[16]BV!GEI395</f>
        <v>0</v>
      </c>
      <c r="GDY479" s="2204"/>
      <c r="GDZ479" s="2204"/>
      <c r="GEA479" s="2204">
        <f t="shared" si="105"/>
        <v>0</v>
      </c>
      <c r="GEB479" s="2204">
        <f>[16]BV!GEM395</f>
        <v>0</v>
      </c>
      <c r="GEC479" s="2204"/>
      <c r="GED479" s="2204"/>
      <c r="GEE479" s="2204">
        <f t="shared" ref="GEE479:GGM479" si="106">GEB479</f>
        <v>0</v>
      </c>
      <c r="GEF479" s="2204">
        <f>[16]BV!GEQ395</f>
        <v>0</v>
      </c>
      <c r="GEG479" s="2204"/>
      <c r="GEH479" s="2204"/>
      <c r="GEI479" s="2204">
        <f t="shared" si="106"/>
        <v>0</v>
      </c>
      <c r="GEJ479" s="2204">
        <f>[16]BV!GEU395</f>
        <v>0</v>
      </c>
      <c r="GEK479" s="2204"/>
      <c r="GEL479" s="2204"/>
      <c r="GEM479" s="2204">
        <f t="shared" si="106"/>
        <v>0</v>
      </c>
      <c r="GEN479" s="2204">
        <f>[16]BV!GEY395</f>
        <v>0</v>
      </c>
      <c r="GEO479" s="2204"/>
      <c r="GEP479" s="2204"/>
      <c r="GEQ479" s="2204">
        <f t="shared" si="106"/>
        <v>0</v>
      </c>
      <c r="GER479" s="2204">
        <f>[16]BV!GFC395</f>
        <v>0</v>
      </c>
      <c r="GES479" s="2204"/>
      <c r="GET479" s="2204"/>
      <c r="GEU479" s="2204">
        <f t="shared" si="106"/>
        <v>0</v>
      </c>
      <c r="GEV479" s="2204">
        <f>[16]BV!GFG395</f>
        <v>0</v>
      </c>
      <c r="GEW479" s="2204"/>
      <c r="GEX479" s="2204"/>
      <c r="GEY479" s="2204">
        <f t="shared" si="106"/>
        <v>0</v>
      </c>
      <c r="GEZ479" s="2204">
        <f>[16]BV!GFK395</f>
        <v>0</v>
      </c>
      <c r="GFA479" s="2204"/>
      <c r="GFB479" s="2204"/>
      <c r="GFC479" s="2204">
        <f t="shared" si="106"/>
        <v>0</v>
      </c>
      <c r="GFD479" s="2204">
        <f>[16]BV!GFO395</f>
        <v>0</v>
      </c>
      <c r="GFE479" s="2204"/>
      <c r="GFF479" s="2204"/>
      <c r="GFG479" s="2204">
        <f t="shared" si="106"/>
        <v>0</v>
      </c>
      <c r="GFH479" s="2204">
        <f>[16]BV!GFS395</f>
        <v>0</v>
      </c>
      <c r="GFI479" s="2204"/>
      <c r="GFJ479" s="2204"/>
      <c r="GFK479" s="2204">
        <f t="shared" si="106"/>
        <v>0</v>
      </c>
      <c r="GFL479" s="2204">
        <f>[16]BV!GFW395</f>
        <v>0</v>
      </c>
      <c r="GFM479" s="2204"/>
      <c r="GFN479" s="2204"/>
      <c r="GFO479" s="2204">
        <f t="shared" si="106"/>
        <v>0</v>
      </c>
      <c r="GFP479" s="2204">
        <f>[16]BV!GGA395</f>
        <v>0</v>
      </c>
      <c r="GFQ479" s="2204"/>
      <c r="GFR479" s="2204"/>
      <c r="GFS479" s="2204">
        <f t="shared" si="106"/>
        <v>0</v>
      </c>
      <c r="GFT479" s="2204">
        <f>[16]BV!GGE395</f>
        <v>0</v>
      </c>
      <c r="GFU479" s="2204"/>
      <c r="GFV479" s="2204"/>
      <c r="GFW479" s="2204">
        <f t="shared" si="106"/>
        <v>0</v>
      </c>
      <c r="GFX479" s="2204">
        <f>[16]BV!GGI395</f>
        <v>0</v>
      </c>
      <c r="GFY479" s="2204"/>
      <c r="GFZ479" s="2204"/>
      <c r="GGA479" s="2204">
        <f t="shared" si="106"/>
        <v>0</v>
      </c>
      <c r="GGB479" s="2204">
        <f>[16]BV!GGM395</f>
        <v>0</v>
      </c>
      <c r="GGC479" s="2204"/>
      <c r="GGD479" s="2204"/>
      <c r="GGE479" s="2204">
        <f t="shared" si="106"/>
        <v>0</v>
      </c>
      <c r="GGF479" s="2204">
        <f>[16]BV!GGQ395</f>
        <v>0</v>
      </c>
      <c r="GGG479" s="2204"/>
      <c r="GGH479" s="2204"/>
      <c r="GGI479" s="2204">
        <f t="shared" si="106"/>
        <v>0</v>
      </c>
      <c r="GGJ479" s="2204">
        <f>[16]BV!GGU395</f>
        <v>0</v>
      </c>
      <c r="GGK479" s="2204"/>
      <c r="GGL479" s="2204"/>
      <c r="GGM479" s="2204">
        <f t="shared" si="106"/>
        <v>0</v>
      </c>
      <c r="GGN479" s="2204">
        <f>[16]BV!GGY395</f>
        <v>0</v>
      </c>
      <c r="GGO479" s="2204"/>
      <c r="GGP479" s="2204"/>
      <c r="GGQ479" s="2204">
        <f t="shared" ref="GGQ479:GIY479" si="107">GGN479</f>
        <v>0</v>
      </c>
      <c r="GGR479" s="2204">
        <f>[16]BV!GHC395</f>
        <v>0</v>
      </c>
      <c r="GGS479" s="2204"/>
      <c r="GGT479" s="2204"/>
      <c r="GGU479" s="2204">
        <f t="shared" si="107"/>
        <v>0</v>
      </c>
      <c r="GGV479" s="2204">
        <f>[16]BV!GHG395</f>
        <v>0</v>
      </c>
      <c r="GGW479" s="2204"/>
      <c r="GGX479" s="2204"/>
      <c r="GGY479" s="2204">
        <f t="shared" si="107"/>
        <v>0</v>
      </c>
      <c r="GGZ479" s="2204">
        <f>[16]BV!GHK395</f>
        <v>0</v>
      </c>
      <c r="GHA479" s="2204"/>
      <c r="GHB479" s="2204"/>
      <c r="GHC479" s="2204">
        <f t="shared" si="107"/>
        <v>0</v>
      </c>
      <c r="GHD479" s="2204">
        <f>[16]BV!GHO395</f>
        <v>0</v>
      </c>
      <c r="GHE479" s="2204"/>
      <c r="GHF479" s="2204"/>
      <c r="GHG479" s="2204">
        <f t="shared" si="107"/>
        <v>0</v>
      </c>
      <c r="GHH479" s="2204">
        <f>[16]BV!GHS395</f>
        <v>0</v>
      </c>
      <c r="GHI479" s="2204"/>
      <c r="GHJ479" s="2204"/>
      <c r="GHK479" s="2204">
        <f t="shared" si="107"/>
        <v>0</v>
      </c>
      <c r="GHL479" s="2204">
        <f>[16]BV!GHW395</f>
        <v>0</v>
      </c>
      <c r="GHM479" s="2204"/>
      <c r="GHN479" s="2204"/>
      <c r="GHO479" s="2204">
        <f t="shared" si="107"/>
        <v>0</v>
      </c>
      <c r="GHP479" s="2204">
        <f>[16]BV!GIA395</f>
        <v>0</v>
      </c>
      <c r="GHQ479" s="2204"/>
      <c r="GHR479" s="2204"/>
      <c r="GHS479" s="2204">
        <f t="shared" si="107"/>
        <v>0</v>
      </c>
      <c r="GHT479" s="2204">
        <f>[16]BV!GIE395</f>
        <v>0</v>
      </c>
      <c r="GHU479" s="2204"/>
      <c r="GHV479" s="2204"/>
      <c r="GHW479" s="2204">
        <f t="shared" si="107"/>
        <v>0</v>
      </c>
      <c r="GHX479" s="2204">
        <f>[16]BV!GII395</f>
        <v>0</v>
      </c>
      <c r="GHY479" s="2204"/>
      <c r="GHZ479" s="2204"/>
      <c r="GIA479" s="2204">
        <f t="shared" si="107"/>
        <v>0</v>
      </c>
      <c r="GIB479" s="2204">
        <f>[16]BV!GIM395</f>
        <v>0</v>
      </c>
      <c r="GIC479" s="2204"/>
      <c r="GID479" s="2204"/>
      <c r="GIE479" s="2204">
        <f t="shared" si="107"/>
        <v>0</v>
      </c>
      <c r="GIF479" s="2204">
        <f>[16]BV!GIQ395</f>
        <v>0</v>
      </c>
      <c r="GIG479" s="2204"/>
      <c r="GIH479" s="2204"/>
      <c r="GII479" s="2204">
        <f t="shared" si="107"/>
        <v>0</v>
      </c>
      <c r="GIJ479" s="2204">
        <f>[16]BV!GIU395</f>
        <v>0</v>
      </c>
      <c r="GIK479" s="2204"/>
      <c r="GIL479" s="2204"/>
      <c r="GIM479" s="2204">
        <f t="shared" si="107"/>
        <v>0</v>
      </c>
      <c r="GIN479" s="2204">
        <f>[16]BV!GIY395</f>
        <v>0</v>
      </c>
      <c r="GIO479" s="2204"/>
      <c r="GIP479" s="2204"/>
      <c r="GIQ479" s="2204">
        <f t="shared" si="107"/>
        <v>0</v>
      </c>
      <c r="GIR479" s="2204">
        <f>[16]BV!GJC395</f>
        <v>0</v>
      </c>
      <c r="GIS479" s="2204"/>
      <c r="GIT479" s="2204"/>
      <c r="GIU479" s="2204">
        <f t="shared" si="107"/>
        <v>0</v>
      </c>
      <c r="GIV479" s="2204">
        <f>[16]BV!GJG395</f>
        <v>0</v>
      </c>
      <c r="GIW479" s="2204"/>
      <c r="GIX479" s="2204"/>
      <c r="GIY479" s="2204">
        <f t="shared" si="107"/>
        <v>0</v>
      </c>
      <c r="GIZ479" s="2204">
        <f>[16]BV!GJK395</f>
        <v>0</v>
      </c>
      <c r="GJA479" s="2204"/>
      <c r="GJB479" s="2204"/>
      <c r="GJC479" s="2204">
        <f t="shared" ref="GJC479:GLK479" si="108">GIZ479</f>
        <v>0</v>
      </c>
      <c r="GJD479" s="2204">
        <f>[16]BV!GJO395</f>
        <v>0</v>
      </c>
      <c r="GJE479" s="2204"/>
      <c r="GJF479" s="2204"/>
      <c r="GJG479" s="2204">
        <f t="shared" si="108"/>
        <v>0</v>
      </c>
      <c r="GJH479" s="2204">
        <f>[16]BV!GJS395</f>
        <v>0</v>
      </c>
      <c r="GJI479" s="2204"/>
      <c r="GJJ479" s="2204"/>
      <c r="GJK479" s="2204">
        <f t="shared" si="108"/>
        <v>0</v>
      </c>
      <c r="GJL479" s="2204">
        <f>[16]BV!GJW395</f>
        <v>0</v>
      </c>
      <c r="GJM479" s="2204"/>
      <c r="GJN479" s="2204"/>
      <c r="GJO479" s="2204">
        <f t="shared" si="108"/>
        <v>0</v>
      </c>
      <c r="GJP479" s="2204">
        <f>[16]BV!GKA395</f>
        <v>0</v>
      </c>
      <c r="GJQ479" s="2204"/>
      <c r="GJR479" s="2204"/>
      <c r="GJS479" s="2204">
        <f t="shared" si="108"/>
        <v>0</v>
      </c>
      <c r="GJT479" s="2204">
        <f>[16]BV!GKE395</f>
        <v>0</v>
      </c>
      <c r="GJU479" s="2204"/>
      <c r="GJV479" s="2204"/>
      <c r="GJW479" s="2204">
        <f t="shared" si="108"/>
        <v>0</v>
      </c>
      <c r="GJX479" s="2204">
        <f>[16]BV!GKI395</f>
        <v>0</v>
      </c>
      <c r="GJY479" s="2204"/>
      <c r="GJZ479" s="2204"/>
      <c r="GKA479" s="2204">
        <f t="shared" si="108"/>
        <v>0</v>
      </c>
      <c r="GKB479" s="2204">
        <f>[16]BV!GKM395</f>
        <v>0</v>
      </c>
      <c r="GKC479" s="2204"/>
      <c r="GKD479" s="2204"/>
      <c r="GKE479" s="2204">
        <f t="shared" si="108"/>
        <v>0</v>
      </c>
      <c r="GKF479" s="2204">
        <f>[16]BV!GKQ395</f>
        <v>0</v>
      </c>
      <c r="GKG479" s="2204"/>
      <c r="GKH479" s="2204"/>
      <c r="GKI479" s="2204">
        <f t="shared" si="108"/>
        <v>0</v>
      </c>
      <c r="GKJ479" s="2204">
        <f>[16]BV!GKU395</f>
        <v>0</v>
      </c>
      <c r="GKK479" s="2204"/>
      <c r="GKL479" s="2204"/>
      <c r="GKM479" s="2204">
        <f t="shared" si="108"/>
        <v>0</v>
      </c>
      <c r="GKN479" s="2204">
        <f>[16]BV!GKY395</f>
        <v>0</v>
      </c>
      <c r="GKO479" s="2204"/>
      <c r="GKP479" s="2204"/>
      <c r="GKQ479" s="2204">
        <f t="shared" si="108"/>
        <v>0</v>
      </c>
      <c r="GKR479" s="2204">
        <f>[16]BV!GLC395</f>
        <v>0</v>
      </c>
      <c r="GKS479" s="2204"/>
      <c r="GKT479" s="2204"/>
      <c r="GKU479" s="2204">
        <f t="shared" si="108"/>
        <v>0</v>
      </c>
      <c r="GKV479" s="2204">
        <f>[16]BV!GLG395</f>
        <v>0</v>
      </c>
      <c r="GKW479" s="2204"/>
      <c r="GKX479" s="2204"/>
      <c r="GKY479" s="2204">
        <f t="shared" si="108"/>
        <v>0</v>
      </c>
      <c r="GKZ479" s="2204">
        <f>[16]BV!GLK395</f>
        <v>0</v>
      </c>
      <c r="GLA479" s="2204"/>
      <c r="GLB479" s="2204"/>
      <c r="GLC479" s="2204">
        <f t="shared" si="108"/>
        <v>0</v>
      </c>
      <c r="GLD479" s="2204">
        <f>[16]BV!GLO395</f>
        <v>0</v>
      </c>
      <c r="GLE479" s="2204"/>
      <c r="GLF479" s="2204"/>
      <c r="GLG479" s="2204">
        <f t="shared" si="108"/>
        <v>0</v>
      </c>
      <c r="GLH479" s="2204">
        <f>[16]BV!GLS395</f>
        <v>0</v>
      </c>
      <c r="GLI479" s="2204"/>
      <c r="GLJ479" s="2204"/>
      <c r="GLK479" s="2204">
        <f t="shared" si="108"/>
        <v>0</v>
      </c>
      <c r="GLL479" s="2204">
        <f>[16]BV!GLW395</f>
        <v>0</v>
      </c>
      <c r="GLM479" s="2204"/>
      <c r="GLN479" s="2204"/>
      <c r="GLO479" s="2204">
        <f t="shared" ref="GLO479:GNW479" si="109">GLL479</f>
        <v>0</v>
      </c>
      <c r="GLP479" s="2204">
        <f>[16]BV!GMA395</f>
        <v>0</v>
      </c>
      <c r="GLQ479" s="2204"/>
      <c r="GLR479" s="2204"/>
      <c r="GLS479" s="2204">
        <f t="shared" si="109"/>
        <v>0</v>
      </c>
      <c r="GLT479" s="2204">
        <f>[16]BV!GME395</f>
        <v>0</v>
      </c>
      <c r="GLU479" s="2204"/>
      <c r="GLV479" s="2204"/>
      <c r="GLW479" s="2204">
        <f t="shared" si="109"/>
        <v>0</v>
      </c>
      <c r="GLX479" s="2204">
        <f>[16]BV!GMI395</f>
        <v>0</v>
      </c>
      <c r="GLY479" s="2204"/>
      <c r="GLZ479" s="2204"/>
      <c r="GMA479" s="2204">
        <f t="shared" si="109"/>
        <v>0</v>
      </c>
      <c r="GMB479" s="2204">
        <f>[16]BV!GMM395</f>
        <v>0</v>
      </c>
      <c r="GMC479" s="2204"/>
      <c r="GMD479" s="2204"/>
      <c r="GME479" s="2204">
        <f t="shared" si="109"/>
        <v>0</v>
      </c>
      <c r="GMF479" s="2204">
        <f>[16]BV!GMQ395</f>
        <v>0</v>
      </c>
      <c r="GMG479" s="2204"/>
      <c r="GMH479" s="2204"/>
      <c r="GMI479" s="2204">
        <f t="shared" si="109"/>
        <v>0</v>
      </c>
      <c r="GMJ479" s="2204">
        <f>[16]BV!GMU395</f>
        <v>0</v>
      </c>
      <c r="GMK479" s="2204"/>
      <c r="GML479" s="2204"/>
      <c r="GMM479" s="2204">
        <f t="shared" si="109"/>
        <v>0</v>
      </c>
      <c r="GMN479" s="2204">
        <f>[16]BV!GMY395</f>
        <v>0</v>
      </c>
      <c r="GMO479" s="2204"/>
      <c r="GMP479" s="2204"/>
      <c r="GMQ479" s="2204">
        <f t="shared" si="109"/>
        <v>0</v>
      </c>
      <c r="GMR479" s="2204">
        <f>[16]BV!GNC395</f>
        <v>0</v>
      </c>
      <c r="GMS479" s="2204"/>
      <c r="GMT479" s="2204"/>
      <c r="GMU479" s="2204">
        <f t="shared" si="109"/>
        <v>0</v>
      </c>
      <c r="GMV479" s="2204">
        <f>[16]BV!GNG395</f>
        <v>0</v>
      </c>
      <c r="GMW479" s="2204"/>
      <c r="GMX479" s="2204"/>
      <c r="GMY479" s="2204">
        <f t="shared" si="109"/>
        <v>0</v>
      </c>
      <c r="GMZ479" s="2204">
        <f>[16]BV!GNK395</f>
        <v>0</v>
      </c>
      <c r="GNA479" s="2204"/>
      <c r="GNB479" s="2204"/>
      <c r="GNC479" s="2204">
        <f t="shared" si="109"/>
        <v>0</v>
      </c>
      <c r="GND479" s="2204">
        <f>[16]BV!GNO395</f>
        <v>0</v>
      </c>
      <c r="GNE479" s="2204"/>
      <c r="GNF479" s="2204"/>
      <c r="GNG479" s="2204">
        <f t="shared" si="109"/>
        <v>0</v>
      </c>
      <c r="GNH479" s="2204">
        <f>[16]BV!GNS395</f>
        <v>0</v>
      </c>
      <c r="GNI479" s="2204"/>
      <c r="GNJ479" s="2204"/>
      <c r="GNK479" s="2204">
        <f t="shared" si="109"/>
        <v>0</v>
      </c>
      <c r="GNL479" s="2204">
        <f>[16]BV!GNW395</f>
        <v>0</v>
      </c>
      <c r="GNM479" s="2204"/>
      <c r="GNN479" s="2204"/>
      <c r="GNO479" s="2204">
        <f t="shared" si="109"/>
        <v>0</v>
      </c>
      <c r="GNP479" s="2204">
        <f>[16]BV!GOA395</f>
        <v>0</v>
      </c>
      <c r="GNQ479" s="2204"/>
      <c r="GNR479" s="2204"/>
      <c r="GNS479" s="2204">
        <f t="shared" si="109"/>
        <v>0</v>
      </c>
      <c r="GNT479" s="2204">
        <f>[16]BV!GOE395</f>
        <v>0</v>
      </c>
      <c r="GNU479" s="2204"/>
      <c r="GNV479" s="2204"/>
      <c r="GNW479" s="2204">
        <f t="shared" si="109"/>
        <v>0</v>
      </c>
      <c r="GNX479" s="2204">
        <f>[16]BV!GOI395</f>
        <v>0</v>
      </c>
      <c r="GNY479" s="2204"/>
      <c r="GNZ479" s="2204"/>
      <c r="GOA479" s="2204">
        <f t="shared" ref="GOA479:GQI479" si="110">GNX479</f>
        <v>0</v>
      </c>
      <c r="GOB479" s="2204">
        <f>[16]BV!GOM395</f>
        <v>0</v>
      </c>
      <c r="GOC479" s="2204"/>
      <c r="GOD479" s="2204"/>
      <c r="GOE479" s="2204">
        <f t="shared" si="110"/>
        <v>0</v>
      </c>
      <c r="GOF479" s="2204">
        <f>[16]BV!GOQ395</f>
        <v>0</v>
      </c>
      <c r="GOG479" s="2204"/>
      <c r="GOH479" s="2204"/>
      <c r="GOI479" s="2204">
        <f t="shared" si="110"/>
        <v>0</v>
      </c>
      <c r="GOJ479" s="2204">
        <f>[16]BV!GOU395</f>
        <v>0</v>
      </c>
      <c r="GOK479" s="2204"/>
      <c r="GOL479" s="2204"/>
      <c r="GOM479" s="2204">
        <f t="shared" si="110"/>
        <v>0</v>
      </c>
      <c r="GON479" s="2204">
        <f>[16]BV!GOY395</f>
        <v>0</v>
      </c>
      <c r="GOO479" s="2204"/>
      <c r="GOP479" s="2204"/>
      <c r="GOQ479" s="2204">
        <f t="shared" si="110"/>
        <v>0</v>
      </c>
      <c r="GOR479" s="2204">
        <f>[16]BV!GPC395</f>
        <v>0</v>
      </c>
      <c r="GOS479" s="2204"/>
      <c r="GOT479" s="2204"/>
      <c r="GOU479" s="2204">
        <f t="shared" si="110"/>
        <v>0</v>
      </c>
      <c r="GOV479" s="2204">
        <f>[16]BV!GPG395</f>
        <v>0</v>
      </c>
      <c r="GOW479" s="2204"/>
      <c r="GOX479" s="2204"/>
      <c r="GOY479" s="2204">
        <f t="shared" si="110"/>
        <v>0</v>
      </c>
      <c r="GOZ479" s="2204">
        <f>[16]BV!GPK395</f>
        <v>0</v>
      </c>
      <c r="GPA479" s="2204"/>
      <c r="GPB479" s="2204"/>
      <c r="GPC479" s="2204">
        <f t="shared" si="110"/>
        <v>0</v>
      </c>
      <c r="GPD479" s="2204">
        <f>[16]BV!GPO395</f>
        <v>0</v>
      </c>
      <c r="GPE479" s="2204"/>
      <c r="GPF479" s="2204"/>
      <c r="GPG479" s="2204">
        <f t="shared" si="110"/>
        <v>0</v>
      </c>
      <c r="GPH479" s="2204">
        <f>[16]BV!GPS395</f>
        <v>0</v>
      </c>
      <c r="GPI479" s="2204"/>
      <c r="GPJ479" s="2204"/>
      <c r="GPK479" s="2204">
        <f t="shared" si="110"/>
        <v>0</v>
      </c>
      <c r="GPL479" s="2204">
        <f>[16]BV!GPW395</f>
        <v>0</v>
      </c>
      <c r="GPM479" s="2204"/>
      <c r="GPN479" s="2204"/>
      <c r="GPO479" s="2204">
        <f t="shared" si="110"/>
        <v>0</v>
      </c>
      <c r="GPP479" s="2204">
        <f>[16]BV!GQA395</f>
        <v>0</v>
      </c>
      <c r="GPQ479" s="2204"/>
      <c r="GPR479" s="2204"/>
      <c r="GPS479" s="2204">
        <f t="shared" si="110"/>
        <v>0</v>
      </c>
      <c r="GPT479" s="2204">
        <f>[16]BV!GQE395</f>
        <v>0</v>
      </c>
      <c r="GPU479" s="2204"/>
      <c r="GPV479" s="2204"/>
      <c r="GPW479" s="2204">
        <f t="shared" si="110"/>
        <v>0</v>
      </c>
      <c r="GPX479" s="2204">
        <f>[16]BV!GQI395</f>
        <v>0</v>
      </c>
      <c r="GPY479" s="2204"/>
      <c r="GPZ479" s="2204"/>
      <c r="GQA479" s="2204">
        <f t="shared" si="110"/>
        <v>0</v>
      </c>
      <c r="GQB479" s="2204">
        <f>[16]BV!GQM395</f>
        <v>0</v>
      </c>
      <c r="GQC479" s="2204"/>
      <c r="GQD479" s="2204"/>
      <c r="GQE479" s="2204">
        <f t="shared" si="110"/>
        <v>0</v>
      </c>
      <c r="GQF479" s="2204">
        <f>[16]BV!GQQ395</f>
        <v>0</v>
      </c>
      <c r="GQG479" s="2204"/>
      <c r="GQH479" s="2204"/>
      <c r="GQI479" s="2204">
        <f t="shared" si="110"/>
        <v>0</v>
      </c>
      <c r="GQJ479" s="2204">
        <f>[16]BV!GQU395</f>
        <v>0</v>
      </c>
      <c r="GQK479" s="2204"/>
      <c r="GQL479" s="2204"/>
      <c r="GQM479" s="2204">
        <f t="shared" ref="GQM479:GSU479" si="111">GQJ479</f>
        <v>0</v>
      </c>
      <c r="GQN479" s="2204">
        <f>[16]BV!GQY395</f>
        <v>0</v>
      </c>
      <c r="GQO479" s="2204"/>
      <c r="GQP479" s="2204"/>
      <c r="GQQ479" s="2204">
        <f t="shared" si="111"/>
        <v>0</v>
      </c>
      <c r="GQR479" s="2204">
        <f>[16]BV!GRC395</f>
        <v>0</v>
      </c>
      <c r="GQS479" s="2204"/>
      <c r="GQT479" s="2204"/>
      <c r="GQU479" s="2204">
        <f t="shared" si="111"/>
        <v>0</v>
      </c>
      <c r="GQV479" s="2204">
        <f>[16]BV!GRG395</f>
        <v>0</v>
      </c>
      <c r="GQW479" s="2204"/>
      <c r="GQX479" s="2204"/>
      <c r="GQY479" s="2204">
        <f t="shared" si="111"/>
        <v>0</v>
      </c>
      <c r="GQZ479" s="2204">
        <f>[16]BV!GRK395</f>
        <v>0</v>
      </c>
      <c r="GRA479" s="2204"/>
      <c r="GRB479" s="2204"/>
      <c r="GRC479" s="2204">
        <f t="shared" si="111"/>
        <v>0</v>
      </c>
      <c r="GRD479" s="2204">
        <f>[16]BV!GRO395</f>
        <v>0</v>
      </c>
      <c r="GRE479" s="2204"/>
      <c r="GRF479" s="2204"/>
      <c r="GRG479" s="2204">
        <f t="shared" si="111"/>
        <v>0</v>
      </c>
      <c r="GRH479" s="2204">
        <f>[16]BV!GRS395</f>
        <v>0</v>
      </c>
      <c r="GRI479" s="2204"/>
      <c r="GRJ479" s="2204"/>
      <c r="GRK479" s="2204">
        <f t="shared" si="111"/>
        <v>0</v>
      </c>
      <c r="GRL479" s="2204">
        <f>[16]BV!GRW395</f>
        <v>0</v>
      </c>
      <c r="GRM479" s="2204"/>
      <c r="GRN479" s="2204"/>
      <c r="GRO479" s="2204">
        <f t="shared" si="111"/>
        <v>0</v>
      </c>
      <c r="GRP479" s="2204">
        <f>[16]BV!GSA395</f>
        <v>0</v>
      </c>
      <c r="GRQ479" s="2204"/>
      <c r="GRR479" s="2204"/>
      <c r="GRS479" s="2204">
        <f t="shared" si="111"/>
        <v>0</v>
      </c>
      <c r="GRT479" s="2204">
        <f>[16]BV!GSE395</f>
        <v>0</v>
      </c>
      <c r="GRU479" s="2204"/>
      <c r="GRV479" s="2204"/>
      <c r="GRW479" s="2204">
        <f t="shared" si="111"/>
        <v>0</v>
      </c>
      <c r="GRX479" s="2204">
        <f>[16]BV!GSI395</f>
        <v>0</v>
      </c>
      <c r="GRY479" s="2204"/>
      <c r="GRZ479" s="2204"/>
      <c r="GSA479" s="2204">
        <f t="shared" si="111"/>
        <v>0</v>
      </c>
      <c r="GSB479" s="2204">
        <f>[16]BV!GSM395</f>
        <v>0</v>
      </c>
      <c r="GSC479" s="2204"/>
      <c r="GSD479" s="2204"/>
      <c r="GSE479" s="2204">
        <f t="shared" si="111"/>
        <v>0</v>
      </c>
      <c r="GSF479" s="2204">
        <f>[16]BV!GSQ395</f>
        <v>0</v>
      </c>
      <c r="GSG479" s="2204"/>
      <c r="GSH479" s="2204"/>
      <c r="GSI479" s="2204">
        <f t="shared" si="111"/>
        <v>0</v>
      </c>
      <c r="GSJ479" s="2204">
        <f>[16]BV!GSU395</f>
        <v>0</v>
      </c>
      <c r="GSK479" s="2204"/>
      <c r="GSL479" s="2204"/>
      <c r="GSM479" s="2204">
        <f t="shared" si="111"/>
        <v>0</v>
      </c>
      <c r="GSN479" s="2204">
        <f>[16]BV!GSY395</f>
        <v>0</v>
      </c>
      <c r="GSO479" s="2204"/>
      <c r="GSP479" s="2204"/>
      <c r="GSQ479" s="2204">
        <f t="shared" si="111"/>
        <v>0</v>
      </c>
      <c r="GSR479" s="2204">
        <f>[16]BV!GTC395</f>
        <v>0</v>
      </c>
      <c r="GSS479" s="2204"/>
      <c r="GST479" s="2204"/>
      <c r="GSU479" s="2204">
        <f t="shared" si="111"/>
        <v>0</v>
      </c>
      <c r="GSV479" s="2204">
        <f>[16]BV!GTG395</f>
        <v>0</v>
      </c>
      <c r="GSW479" s="2204"/>
      <c r="GSX479" s="2204"/>
      <c r="GSY479" s="2204">
        <f t="shared" ref="GSY479:GVG479" si="112">GSV479</f>
        <v>0</v>
      </c>
      <c r="GSZ479" s="2204">
        <f>[16]BV!GTK395</f>
        <v>0</v>
      </c>
      <c r="GTA479" s="2204"/>
      <c r="GTB479" s="2204"/>
      <c r="GTC479" s="2204">
        <f t="shared" si="112"/>
        <v>0</v>
      </c>
      <c r="GTD479" s="2204">
        <f>[16]BV!GTO395</f>
        <v>0</v>
      </c>
      <c r="GTE479" s="2204"/>
      <c r="GTF479" s="2204"/>
      <c r="GTG479" s="2204">
        <f t="shared" si="112"/>
        <v>0</v>
      </c>
      <c r="GTH479" s="2204">
        <f>[16]BV!GTS395</f>
        <v>0</v>
      </c>
      <c r="GTI479" s="2204"/>
      <c r="GTJ479" s="2204"/>
      <c r="GTK479" s="2204">
        <f t="shared" si="112"/>
        <v>0</v>
      </c>
      <c r="GTL479" s="2204">
        <f>[16]BV!GTW395</f>
        <v>0</v>
      </c>
      <c r="GTM479" s="2204"/>
      <c r="GTN479" s="2204"/>
      <c r="GTO479" s="2204">
        <f t="shared" si="112"/>
        <v>0</v>
      </c>
      <c r="GTP479" s="2204">
        <f>[16]BV!GUA395</f>
        <v>0</v>
      </c>
      <c r="GTQ479" s="2204"/>
      <c r="GTR479" s="2204"/>
      <c r="GTS479" s="2204">
        <f t="shared" si="112"/>
        <v>0</v>
      </c>
      <c r="GTT479" s="2204">
        <f>[16]BV!GUE395</f>
        <v>0</v>
      </c>
      <c r="GTU479" s="2204"/>
      <c r="GTV479" s="2204"/>
      <c r="GTW479" s="2204">
        <f t="shared" si="112"/>
        <v>0</v>
      </c>
      <c r="GTX479" s="2204">
        <f>[16]BV!GUI395</f>
        <v>0</v>
      </c>
      <c r="GTY479" s="2204"/>
      <c r="GTZ479" s="2204"/>
      <c r="GUA479" s="2204">
        <f t="shared" si="112"/>
        <v>0</v>
      </c>
      <c r="GUB479" s="2204">
        <f>[16]BV!GUM395</f>
        <v>0</v>
      </c>
      <c r="GUC479" s="2204"/>
      <c r="GUD479" s="2204"/>
      <c r="GUE479" s="2204">
        <f t="shared" si="112"/>
        <v>0</v>
      </c>
      <c r="GUF479" s="2204">
        <f>[16]BV!GUQ395</f>
        <v>0</v>
      </c>
      <c r="GUG479" s="2204"/>
      <c r="GUH479" s="2204"/>
      <c r="GUI479" s="2204">
        <f t="shared" si="112"/>
        <v>0</v>
      </c>
      <c r="GUJ479" s="2204">
        <f>[16]BV!GUU395</f>
        <v>0</v>
      </c>
      <c r="GUK479" s="2204"/>
      <c r="GUL479" s="2204"/>
      <c r="GUM479" s="2204">
        <f t="shared" si="112"/>
        <v>0</v>
      </c>
      <c r="GUN479" s="2204">
        <f>[16]BV!GUY395</f>
        <v>0</v>
      </c>
      <c r="GUO479" s="2204"/>
      <c r="GUP479" s="2204"/>
      <c r="GUQ479" s="2204">
        <f t="shared" si="112"/>
        <v>0</v>
      </c>
      <c r="GUR479" s="2204">
        <f>[16]BV!GVC395</f>
        <v>0</v>
      </c>
      <c r="GUS479" s="2204"/>
      <c r="GUT479" s="2204"/>
      <c r="GUU479" s="2204">
        <f t="shared" si="112"/>
        <v>0</v>
      </c>
      <c r="GUV479" s="2204">
        <f>[16]BV!GVG395</f>
        <v>0</v>
      </c>
      <c r="GUW479" s="2204"/>
      <c r="GUX479" s="2204"/>
      <c r="GUY479" s="2204">
        <f t="shared" si="112"/>
        <v>0</v>
      </c>
      <c r="GUZ479" s="2204">
        <f>[16]BV!GVK395</f>
        <v>0</v>
      </c>
      <c r="GVA479" s="2204"/>
      <c r="GVB479" s="2204"/>
      <c r="GVC479" s="2204">
        <f t="shared" si="112"/>
        <v>0</v>
      </c>
      <c r="GVD479" s="2204">
        <f>[16]BV!GVO395</f>
        <v>0</v>
      </c>
      <c r="GVE479" s="2204"/>
      <c r="GVF479" s="2204"/>
      <c r="GVG479" s="2204">
        <f t="shared" si="112"/>
        <v>0</v>
      </c>
      <c r="GVH479" s="2204">
        <f>[16]BV!GVS395</f>
        <v>0</v>
      </c>
      <c r="GVI479" s="2204"/>
      <c r="GVJ479" s="2204"/>
      <c r="GVK479" s="2204">
        <f t="shared" ref="GVK479:GXS479" si="113">GVH479</f>
        <v>0</v>
      </c>
      <c r="GVL479" s="2204">
        <f>[16]BV!GVW395</f>
        <v>0</v>
      </c>
      <c r="GVM479" s="2204"/>
      <c r="GVN479" s="2204"/>
      <c r="GVO479" s="2204">
        <f t="shared" si="113"/>
        <v>0</v>
      </c>
      <c r="GVP479" s="2204">
        <f>[16]BV!GWA395</f>
        <v>0</v>
      </c>
      <c r="GVQ479" s="2204"/>
      <c r="GVR479" s="2204"/>
      <c r="GVS479" s="2204">
        <f t="shared" si="113"/>
        <v>0</v>
      </c>
      <c r="GVT479" s="2204">
        <f>[16]BV!GWE395</f>
        <v>0</v>
      </c>
      <c r="GVU479" s="2204"/>
      <c r="GVV479" s="2204"/>
      <c r="GVW479" s="2204">
        <f t="shared" si="113"/>
        <v>0</v>
      </c>
      <c r="GVX479" s="2204">
        <f>[16]BV!GWI395</f>
        <v>0</v>
      </c>
      <c r="GVY479" s="2204"/>
      <c r="GVZ479" s="2204"/>
      <c r="GWA479" s="2204">
        <f t="shared" si="113"/>
        <v>0</v>
      </c>
      <c r="GWB479" s="2204">
        <f>[16]BV!GWM395</f>
        <v>0</v>
      </c>
      <c r="GWC479" s="2204"/>
      <c r="GWD479" s="2204"/>
      <c r="GWE479" s="2204">
        <f t="shared" si="113"/>
        <v>0</v>
      </c>
      <c r="GWF479" s="2204">
        <f>[16]BV!GWQ395</f>
        <v>0</v>
      </c>
      <c r="GWG479" s="2204"/>
      <c r="GWH479" s="2204"/>
      <c r="GWI479" s="2204">
        <f t="shared" si="113"/>
        <v>0</v>
      </c>
      <c r="GWJ479" s="2204">
        <f>[16]BV!GWU395</f>
        <v>0</v>
      </c>
      <c r="GWK479" s="2204"/>
      <c r="GWL479" s="2204"/>
      <c r="GWM479" s="2204">
        <f t="shared" si="113"/>
        <v>0</v>
      </c>
      <c r="GWN479" s="2204">
        <f>[16]BV!GWY395</f>
        <v>0</v>
      </c>
      <c r="GWO479" s="2204"/>
      <c r="GWP479" s="2204"/>
      <c r="GWQ479" s="2204">
        <f t="shared" si="113"/>
        <v>0</v>
      </c>
      <c r="GWR479" s="2204">
        <f>[16]BV!GXC395</f>
        <v>0</v>
      </c>
      <c r="GWS479" s="2204"/>
      <c r="GWT479" s="2204"/>
      <c r="GWU479" s="2204">
        <f t="shared" si="113"/>
        <v>0</v>
      </c>
      <c r="GWV479" s="2204">
        <f>[16]BV!GXG395</f>
        <v>0</v>
      </c>
      <c r="GWW479" s="2204"/>
      <c r="GWX479" s="2204"/>
      <c r="GWY479" s="2204">
        <f t="shared" si="113"/>
        <v>0</v>
      </c>
      <c r="GWZ479" s="2204">
        <f>[16]BV!GXK395</f>
        <v>0</v>
      </c>
      <c r="GXA479" s="2204"/>
      <c r="GXB479" s="2204"/>
      <c r="GXC479" s="2204">
        <f t="shared" si="113"/>
        <v>0</v>
      </c>
      <c r="GXD479" s="2204">
        <f>[16]BV!GXO395</f>
        <v>0</v>
      </c>
      <c r="GXE479" s="2204"/>
      <c r="GXF479" s="2204"/>
      <c r="GXG479" s="2204">
        <f t="shared" si="113"/>
        <v>0</v>
      </c>
      <c r="GXH479" s="2204">
        <f>[16]BV!GXS395</f>
        <v>0</v>
      </c>
      <c r="GXI479" s="2204"/>
      <c r="GXJ479" s="2204"/>
      <c r="GXK479" s="2204">
        <f t="shared" si="113"/>
        <v>0</v>
      </c>
      <c r="GXL479" s="2204">
        <f>[16]BV!GXW395</f>
        <v>0</v>
      </c>
      <c r="GXM479" s="2204"/>
      <c r="GXN479" s="2204"/>
      <c r="GXO479" s="2204">
        <f t="shared" si="113"/>
        <v>0</v>
      </c>
      <c r="GXP479" s="2204">
        <f>[16]BV!GYA395</f>
        <v>0</v>
      </c>
      <c r="GXQ479" s="2204"/>
      <c r="GXR479" s="2204"/>
      <c r="GXS479" s="2204">
        <f t="shared" si="113"/>
        <v>0</v>
      </c>
      <c r="GXT479" s="2204">
        <f>[16]BV!GYE395</f>
        <v>0</v>
      </c>
      <c r="GXU479" s="2204"/>
      <c r="GXV479" s="2204"/>
      <c r="GXW479" s="2204">
        <f t="shared" ref="GXW479:HAE479" si="114">GXT479</f>
        <v>0</v>
      </c>
      <c r="GXX479" s="2204">
        <f>[16]BV!GYI395</f>
        <v>0</v>
      </c>
      <c r="GXY479" s="2204"/>
      <c r="GXZ479" s="2204"/>
      <c r="GYA479" s="2204">
        <f t="shared" si="114"/>
        <v>0</v>
      </c>
      <c r="GYB479" s="2204">
        <f>[16]BV!GYM395</f>
        <v>0</v>
      </c>
      <c r="GYC479" s="2204"/>
      <c r="GYD479" s="2204"/>
      <c r="GYE479" s="2204">
        <f t="shared" si="114"/>
        <v>0</v>
      </c>
      <c r="GYF479" s="2204">
        <f>[16]BV!GYQ395</f>
        <v>0</v>
      </c>
      <c r="GYG479" s="2204"/>
      <c r="GYH479" s="2204"/>
      <c r="GYI479" s="2204">
        <f t="shared" si="114"/>
        <v>0</v>
      </c>
      <c r="GYJ479" s="2204">
        <f>[16]BV!GYU395</f>
        <v>0</v>
      </c>
      <c r="GYK479" s="2204"/>
      <c r="GYL479" s="2204"/>
      <c r="GYM479" s="2204">
        <f t="shared" si="114"/>
        <v>0</v>
      </c>
      <c r="GYN479" s="2204">
        <f>[16]BV!GYY395</f>
        <v>0</v>
      </c>
      <c r="GYO479" s="2204"/>
      <c r="GYP479" s="2204"/>
      <c r="GYQ479" s="2204">
        <f t="shared" si="114"/>
        <v>0</v>
      </c>
      <c r="GYR479" s="2204">
        <f>[16]BV!GZC395</f>
        <v>0</v>
      </c>
      <c r="GYS479" s="2204"/>
      <c r="GYT479" s="2204"/>
      <c r="GYU479" s="2204">
        <f t="shared" si="114"/>
        <v>0</v>
      </c>
      <c r="GYV479" s="2204">
        <f>[16]BV!GZG395</f>
        <v>0</v>
      </c>
      <c r="GYW479" s="2204"/>
      <c r="GYX479" s="2204"/>
      <c r="GYY479" s="2204">
        <f t="shared" si="114"/>
        <v>0</v>
      </c>
      <c r="GYZ479" s="2204">
        <f>[16]BV!GZK395</f>
        <v>0</v>
      </c>
      <c r="GZA479" s="2204"/>
      <c r="GZB479" s="2204"/>
      <c r="GZC479" s="2204">
        <f t="shared" si="114"/>
        <v>0</v>
      </c>
      <c r="GZD479" s="2204">
        <f>[16]BV!GZO395</f>
        <v>0</v>
      </c>
      <c r="GZE479" s="2204"/>
      <c r="GZF479" s="2204"/>
      <c r="GZG479" s="2204">
        <f t="shared" si="114"/>
        <v>0</v>
      </c>
      <c r="GZH479" s="2204">
        <f>[16]BV!GZS395</f>
        <v>0</v>
      </c>
      <c r="GZI479" s="2204"/>
      <c r="GZJ479" s="2204"/>
      <c r="GZK479" s="2204">
        <f t="shared" si="114"/>
        <v>0</v>
      </c>
      <c r="GZL479" s="2204">
        <f>[16]BV!GZW395</f>
        <v>0</v>
      </c>
      <c r="GZM479" s="2204"/>
      <c r="GZN479" s="2204"/>
      <c r="GZO479" s="2204">
        <f t="shared" si="114"/>
        <v>0</v>
      </c>
      <c r="GZP479" s="2204">
        <f>[16]BV!HAA395</f>
        <v>0</v>
      </c>
      <c r="GZQ479" s="2204"/>
      <c r="GZR479" s="2204"/>
      <c r="GZS479" s="2204">
        <f t="shared" si="114"/>
        <v>0</v>
      </c>
      <c r="GZT479" s="2204">
        <f>[16]BV!HAE395</f>
        <v>0</v>
      </c>
      <c r="GZU479" s="2204"/>
      <c r="GZV479" s="2204"/>
      <c r="GZW479" s="2204">
        <f t="shared" si="114"/>
        <v>0</v>
      </c>
      <c r="GZX479" s="2204">
        <f>[16]BV!HAI395</f>
        <v>0</v>
      </c>
      <c r="GZY479" s="2204"/>
      <c r="GZZ479" s="2204"/>
      <c r="HAA479" s="2204">
        <f t="shared" si="114"/>
        <v>0</v>
      </c>
      <c r="HAB479" s="2204">
        <f>[16]BV!HAM395</f>
        <v>0</v>
      </c>
      <c r="HAC479" s="2204"/>
      <c r="HAD479" s="2204"/>
      <c r="HAE479" s="2204">
        <f t="shared" si="114"/>
        <v>0</v>
      </c>
      <c r="HAF479" s="2204">
        <f>[16]BV!HAQ395</f>
        <v>0</v>
      </c>
      <c r="HAG479" s="2204"/>
      <c r="HAH479" s="2204"/>
      <c r="HAI479" s="2204">
        <f t="shared" ref="HAI479:HCQ479" si="115">HAF479</f>
        <v>0</v>
      </c>
      <c r="HAJ479" s="2204">
        <f>[16]BV!HAU395</f>
        <v>0</v>
      </c>
      <c r="HAK479" s="2204"/>
      <c r="HAL479" s="2204"/>
      <c r="HAM479" s="2204">
        <f t="shared" si="115"/>
        <v>0</v>
      </c>
      <c r="HAN479" s="2204">
        <f>[16]BV!HAY395</f>
        <v>0</v>
      </c>
      <c r="HAO479" s="2204"/>
      <c r="HAP479" s="2204"/>
      <c r="HAQ479" s="2204">
        <f t="shared" si="115"/>
        <v>0</v>
      </c>
      <c r="HAR479" s="2204">
        <f>[16]BV!HBC395</f>
        <v>0</v>
      </c>
      <c r="HAS479" s="2204"/>
      <c r="HAT479" s="2204"/>
      <c r="HAU479" s="2204">
        <f t="shared" si="115"/>
        <v>0</v>
      </c>
      <c r="HAV479" s="2204">
        <f>[16]BV!HBG395</f>
        <v>0</v>
      </c>
      <c r="HAW479" s="2204"/>
      <c r="HAX479" s="2204"/>
      <c r="HAY479" s="2204">
        <f t="shared" si="115"/>
        <v>0</v>
      </c>
      <c r="HAZ479" s="2204">
        <f>[16]BV!HBK395</f>
        <v>0</v>
      </c>
      <c r="HBA479" s="2204"/>
      <c r="HBB479" s="2204"/>
      <c r="HBC479" s="2204">
        <f t="shared" si="115"/>
        <v>0</v>
      </c>
      <c r="HBD479" s="2204">
        <f>[16]BV!HBO395</f>
        <v>0</v>
      </c>
      <c r="HBE479" s="2204"/>
      <c r="HBF479" s="2204"/>
      <c r="HBG479" s="2204">
        <f t="shared" si="115"/>
        <v>0</v>
      </c>
      <c r="HBH479" s="2204">
        <f>[16]BV!HBS395</f>
        <v>0</v>
      </c>
      <c r="HBI479" s="2204"/>
      <c r="HBJ479" s="2204"/>
      <c r="HBK479" s="2204">
        <f t="shared" si="115"/>
        <v>0</v>
      </c>
      <c r="HBL479" s="2204">
        <f>[16]BV!HBW395</f>
        <v>0</v>
      </c>
      <c r="HBM479" s="2204"/>
      <c r="HBN479" s="2204"/>
      <c r="HBO479" s="2204">
        <f t="shared" si="115"/>
        <v>0</v>
      </c>
      <c r="HBP479" s="2204">
        <f>[16]BV!HCA395</f>
        <v>0</v>
      </c>
      <c r="HBQ479" s="2204"/>
      <c r="HBR479" s="2204"/>
      <c r="HBS479" s="2204">
        <f t="shared" si="115"/>
        <v>0</v>
      </c>
      <c r="HBT479" s="2204">
        <f>[16]BV!HCE395</f>
        <v>0</v>
      </c>
      <c r="HBU479" s="2204"/>
      <c r="HBV479" s="2204"/>
      <c r="HBW479" s="2204">
        <f t="shared" si="115"/>
        <v>0</v>
      </c>
      <c r="HBX479" s="2204">
        <f>[16]BV!HCI395</f>
        <v>0</v>
      </c>
      <c r="HBY479" s="2204"/>
      <c r="HBZ479" s="2204"/>
      <c r="HCA479" s="2204">
        <f t="shared" si="115"/>
        <v>0</v>
      </c>
      <c r="HCB479" s="2204">
        <f>[16]BV!HCM395</f>
        <v>0</v>
      </c>
      <c r="HCC479" s="2204"/>
      <c r="HCD479" s="2204"/>
      <c r="HCE479" s="2204">
        <f t="shared" si="115"/>
        <v>0</v>
      </c>
      <c r="HCF479" s="2204">
        <f>[16]BV!HCQ395</f>
        <v>0</v>
      </c>
      <c r="HCG479" s="2204"/>
      <c r="HCH479" s="2204"/>
      <c r="HCI479" s="2204">
        <f t="shared" si="115"/>
        <v>0</v>
      </c>
      <c r="HCJ479" s="2204">
        <f>[16]BV!HCU395</f>
        <v>0</v>
      </c>
      <c r="HCK479" s="2204"/>
      <c r="HCL479" s="2204"/>
      <c r="HCM479" s="2204">
        <f t="shared" si="115"/>
        <v>0</v>
      </c>
      <c r="HCN479" s="2204">
        <f>[16]BV!HCY395</f>
        <v>0</v>
      </c>
      <c r="HCO479" s="2204"/>
      <c r="HCP479" s="2204"/>
      <c r="HCQ479" s="2204">
        <f t="shared" si="115"/>
        <v>0</v>
      </c>
      <c r="HCR479" s="2204">
        <f>[16]BV!HDC395</f>
        <v>0</v>
      </c>
      <c r="HCS479" s="2204"/>
      <c r="HCT479" s="2204"/>
      <c r="HCU479" s="2204">
        <f t="shared" ref="HCU479:HFC479" si="116">HCR479</f>
        <v>0</v>
      </c>
      <c r="HCV479" s="2204">
        <f>[16]BV!HDG395</f>
        <v>0</v>
      </c>
      <c r="HCW479" s="2204"/>
      <c r="HCX479" s="2204"/>
      <c r="HCY479" s="2204">
        <f t="shared" si="116"/>
        <v>0</v>
      </c>
      <c r="HCZ479" s="2204">
        <f>[16]BV!HDK395</f>
        <v>0</v>
      </c>
      <c r="HDA479" s="2204"/>
      <c r="HDB479" s="2204"/>
      <c r="HDC479" s="2204">
        <f t="shared" si="116"/>
        <v>0</v>
      </c>
      <c r="HDD479" s="2204">
        <f>[16]BV!HDO395</f>
        <v>0</v>
      </c>
      <c r="HDE479" s="2204"/>
      <c r="HDF479" s="2204"/>
      <c r="HDG479" s="2204">
        <f t="shared" si="116"/>
        <v>0</v>
      </c>
      <c r="HDH479" s="2204">
        <f>[16]BV!HDS395</f>
        <v>0</v>
      </c>
      <c r="HDI479" s="2204"/>
      <c r="HDJ479" s="2204"/>
      <c r="HDK479" s="2204">
        <f t="shared" si="116"/>
        <v>0</v>
      </c>
      <c r="HDL479" s="2204">
        <f>[16]BV!HDW395</f>
        <v>0</v>
      </c>
      <c r="HDM479" s="2204"/>
      <c r="HDN479" s="2204"/>
      <c r="HDO479" s="2204">
        <f t="shared" si="116"/>
        <v>0</v>
      </c>
      <c r="HDP479" s="2204">
        <f>[16]BV!HEA395</f>
        <v>0</v>
      </c>
      <c r="HDQ479" s="2204"/>
      <c r="HDR479" s="2204"/>
      <c r="HDS479" s="2204">
        <f t="shared" si="116"/>
        <v>0</v>
      </c>
      <c r="HDT479" s="2204">
        <f>[16]BV!HEE395</f>
        <v>0</v>
      </c>
      <c r="HDU479" s="2204"/>
      <c r="HDV479" s="2204"/>
      <c r="HDW479" s="2204">
        <f t="shared" si="116"/>
        <v>0</v>
      </c>
      <c r="HDX479" s="2204">
        <f>[16]BV!HEI395</f>
        <v>0</v>
      </c>
      <c r="HDY479" s="2204"/>
      <c r="HDZ479" s="2204"/>
      <c r="HEA479" s="2204">
        <f t="shared" si="116"/>
        <v>0</v>
      </c>
      <c r="HEB479" s="2204">
        <f>[16]BV!HEM395</f>
        <v>0</v>
      </c>
      <c r="HEC479" s="2204"/>
      <c r="HED479" s="2204"/>
      <c r="HEE479" s="2204">
        <f t="shared" si="116"/>
        <v>0</v>
      </c>
      <c r="HEF479" s="2204">
        <f>[16]BV!HEQ395</f>
        <v>0</v>
      </c>
      <c r="HEG479" s="2204"/>
      <c r="HEH479" s="2204"/>
      <c r="HEI479" s="2204">
        <f t="shared" si="116"/>
        <v>0</v>
      </c>
      <c r="HEJ479" s="2204">
        <f>[16]BV!HEU395</f>
        <v>0</v>
      </c>
      <c r="HEK479" s="2204"/>
      <c r="HEL479" s="2204"/>
      <c r="HEM479" s="2204">
        <f t="shared" si="116"/>
        <v>0</v>
      </c>
      <c r="HEN479" s="2204">
        <f>[16]BV!HEY395</f>
        <v>0</v>
      </c>
      <c r="HEO479" s="2204"/>
      <c r="HEP479" s="2204"/>
      <c r="HEQ479" s="2204">
        <f t="shared" si="116"/>
        <v>0</v>
      </c>
      <c r="HER479" s="2204">
        <f>[16]BV!HFC395</f>
        <v>0</v>
      </c>
      <c r="HES479" s="2204"/>
      <c r="HET479" s="2204"/>
      <c r="HEU479" s="2204">
        <f t="shared" si="116"/>
        <v>0</v>
      </c>
      <c r="HEV479" s="2204">
        <f>[16]BV!HFG395</f>
        <v>0</v>
      </c>
      <c r="HEW479" s="2204"/>
      <c r="HEX479" s="2204"/>
      <c r="HEY479" s="2204">
        <f t="shared" si="116"/>
        <v>0</v>
      </c>
      <c r="HEZ479" s="2204">
        <f>[16]BV!HFK395</f>
        <v>0</v>
      </c>
      <c r="HFA479" s="2204"/>
      <c r="HFB479" s="2204"/>
      <c r="HFC479" s="2204">
        <f t="shared" si="116"/>
        <v>0</v>
      </c>
      <c r="HFD479" s="2204">
        <f>[16]BV!HFO395</f>
        <v>0</v>
      </c>
      <c r="HFE479" s="2204"/>
      <c r="HFF479" s="2204"/>
      <c r="HFG479" s="2204">
        <f t="shared" ref="HFG479:HHO479" si="117">HFD479</f>
        <v>0</v>
      </c>
      <c r="HFH479" s="2204">
        <f>[16]BV!HFS395</f>
        <v>0</v>
      </c>
      <c r="HFI479" s="2204"/>
      <c r="HFJ479" s="2204"/>
      <c r="HFK479" s="2204">
        <f t="shared" si="117"/>
        <v>0</v>
      </c>
      <c r="HFL479" s="2204">
        <f>[16]BV!HFW395</f>
        <v>0</v>
      </c>
      <c r="HFM479" s="2204"/>
      <c r="HFN479" s="2204"/>
      <c r="HFO479" s="2204">
        <f t="shared" si="117"/>
        <v>0</v>
      </c>
      <c r="HFP479" s="2204">
        <f>[16]BV!HGA395</f>
        <v>0</v>
      </c>
      <c r="HFQ479" s="2204"/>
      <c r="HFR479" s="2204"/>
      <c r="HFS479" s="2204">
        <f t="shared" si="117"/>
        <v>0</v>
      </c>
      <c r="HFT479" s="2204">
        <f>[16]BV!HGE395</f>
        <v>0</v>
      </c>
      <c r="HFU479" s="2204"/>
      <c r="HFV479" s="2204"/>
      <c r="HFW479" s="2204">
        <f t="shared" si="117"/>
        <v>0</v>
      </c>
      <c r="HFX479" s="2204">
        <f>[16]BV!HGI395</f>
        <v>0</v>
      </c>
      <c r="HFY479" s="2204"/>
      <c r="HFZ479" s="2204"/>
      <c r="HGA479" s="2204">
        <f t="shared" si="117"/>
        <v>0</v>
      </c>
      <c r="HGB479" s="2204">
        <f>[16]BV!HGM395</f>
        <v>0</v>
      </c>
      <c r="HGC479" s="2204"/>
      <c r="HGD479" s="2204"/>
      <c r="HGE479" s="2204">
        <f t="shared" si="117"/>
        <v>0</v>
      </c>
      <c r="HGF479" s="2204">
        <f>[16]BV!HGQ395</f>
        <v>0</v>
      </c>
      <c r="HGG479" s="2204"/>
      <c r="HGH479" s="2204"/>
      <c r="HGI479" s="2204">
        <f t="shared" si="117"/>
        <v>0</v>
      </c>
      <c r="HGJ479" s="2204">
        <f>[16]BV!HGU395</f>
        <v>0</v>
      </c>
      <c r="HGK479" s="2204"/>
      <c r="HGL479" s="2204"/>
      <c r="HGM479" s="2204">
        <f t="shared" si="117"/>
        <v>0</v>
      </c>
      <c r="HGN479" s="2204">
        <f>[16]BV!HGY395</f>
        <v>0</v>
      </c>
      <c r="HGO479" s="2204"/>
      <c r="HGP479" s="2204"/>
      <c r="HGQ479" s="2204">
        <f t="shared" si="117"/>
        <v>0</v>
      </c>
      <c r="HGR479" s="2204">
        <f>[16]BV!HHC395</f>
        <v>0</v>
      </c>
      <c r="HGS479" s="2204"/>
      <c r="HGT479" s="2204"/>
      <c r="HGU479" s="2204">
        <f t="shared" si="117"/>
        <v>0</v>
      </c>
      <c r="HGV479" s="2204">
        <f>[16]BV!HHG395</f>
        <v>0</v>
      </c>
      <c r="HGW479" s="2204"/>
      <c r="HGX479" s="2204"/>
      <c r="HGY479" s="2204">
        <f t="shared" si="117"/>
        <v>0</v>
      </c>
      <c r="HGZ479" s="2204">
        <f>[16]BV!HHK395</f>
        <v>0</v>
      </c>
      <c r="HHA479" s="2204"/>
      <c r="HHB479" s="2204"/>
      <c r="HHC479" s="2204">
        <f t="shared" si="117"/>
        <v>0</v>
      </c>
      <c r="HHD479" s="2204">
        <f>[16]BV!HHO395</f>
        <v>0</v>
      </c>
      <c r="HHE479" s="2204"/>
      <c r="HHF479" s="2204"/>
      <c r="HHG479" s="2204">
        <f t="shared" si="117"/>
        <v>0</v>
      </c>
      <c r="HHH479" s="2204">
        <f>[16]BV!HHS395</f>
        <v>0</v>
      </c>
      <c r="HHI479" s="2204"/>
      <c r="HHJ479" s="2204"/>
      <c r="HHK479" s="2204">
        <f t="shared" si="117"/>
        <v>0</v>
      </c>
      <c r="HHL479" s="2204">
        <f>[16]BV!HHW395</f>
        <v>0</v>
      </c>
      <c r="HHM479" s="2204"/>
      <c r="HHN479" s="2204"/>
      <c r="HHO479" s="2204">
        <f t="shared" si="117"/>
        <v>0</v>
      </c>
      <c r="HHP479" s="2204">
        <f>[16]BV!HIA395</f>
        <v>0</v>
      </c>
      <c r="HHQ479" s="2204"/>
      <c r="HHR479" s="2204"/>
      <c r="HHS479" s="2204">
        <f t="shared" ref="HHS479:HKA479" si="118">HHP479</f>
        <v>0</v>
      </c>
      <c r="HHT479" s="2204">
        <f>[16]BV!HIE395</f>
        <v>0</v>
      </c>
      <c r="HHU479" s="2204"/>
      <c r="HHV479" s="2204"/>
      <c r="HHW479" s="2204">
        <f t="shared" si="118"/>
        <v>0</v>
      </c>
      <c r="HHX479" s="2204">
        <f>[16]BV!HII395</f>
        <v>0</v>
      </c>
      <c r="HHY479" s="2204"/>
      <c r="HHZ479" s="2204"/>
      <c r="HIA479" s="2204">
        <f t="shared" si="118"/>
        <v>0</v>
      </c>
      <c r="HIB479" s="2204">
        <f>[16]BV!HIM395</f>
        <v>0</v>
      </c>
      <c r="HIC479" s="2204"/>
      <c r="HID479" s="2204"/>
      <c r="HIE479" s="2204">
        <f t="shared" si="118"/>
        <v>0</v>
      </c>
      <c r="HIF479" s="2204">
        <f>[16]BV!HIQ395</f>
        <v>0</v>
      </c>
      <c r="HIG479" s="2204"/>
      <c r="HIH479" s="2204"/>
      <c r="HII479" s="2204">
        <f t="shared" si="118"/>
        <v>0</v>
      </c>
      <c r="HIJ479" s="2204">
        <f>[16]BV!HIU395</f>
        <v>0</v>
      </c>
      <c r="HIK479" s="2204"/>
      <c r="HIL479" s="2204"/>
      <c r="HIM479" s="2204">
        <f t="shared" si="118"/>
        <v>0</v>
      </c>
      <c r="HIN479" s="2204">
        <f>[16]BV!HIY395</f>
        <v>0</v>
      </c>
      <c r="HIO479" s="2204"/>
      <c r="HIP479" s="2204"/>
      <c r="HIQ479" s="2204">
        <f t="shared" si="118"/>
        <v>0</v>
      </c>
      <c r="HIR479" s="2204">
        <f>[16]BV!HJC395</f>
        <v>0</v>
      </c>
      <c r="HIS479" s="2204"/>
      <c r="HIT479" s="2204"/>
      <c r="HIU479" s="2204">
        <f t="shared" si="118"/>
        <v>0</v>
      </c>
      <c r="HIV479" s="2204">
        <f>[16]BV!HJG395</f>
        <v>0</v>
      </c>
      <c r="HIW479" s="2204"/>
      <c r="HIX479" s="2204"/>
      <c r="HIY479" s="2204">
        <f t="shared" si="118"/>
        <v>0</v>
      </c>
      <c r="HIZ479" s="2204">
        <f>[16]BV!HJK395</f>
        <v>0</v>
      </c>
      <c r="HJA479" s="2204"/>
      <c r="HJB479" s="2204"/>
      <c r="HJC479" s="2204">
        <f t="shared" si="118"/>
        <v>0</v>
      </c>
      <c r="HJD479" s="2204">
        <f>[16]BV!HJO395</f>
        <v>0</v>
      </c>
      <c r="HJE479" s="2204"/>
      <c r="HJF479" s="2204"/>
      <c r="HJG479" s="2204">
        <f t="shared" si="118"/>
        <v>0</v>
      </c>
      <c r="HJH479" s="2204">
        <f>[16]BV!HJS395</f>
        <v>0</v>
      </c>
      <c r="HJI479" s="2204"/>
      <c r="HJJ479" s="2204"/>
      <c r="HJK479" s="2204">
        <f t="shared" si="118"/>
        <v>0</v>
      </c>
      <c r="HJL479" s="2204">
        <f>[16]BV!HJW395</f>
        <v>0</v>
      </c>
      <c r="HJM479" s="2204"/>
      <c r="HJN479" s="2204"/>
      <c r="HJO479" s="2204">
        <f t="shared" si="118"/>
        <v>0</v>
      </c>
      <c r="HJP479" s="2204">
        <f>[16]BV!HKA395</f>
        <v>0</v>
      </c>
      <c r="HJQ479" s="2204"/>
      <c r="HJR479" s="2204"/>
      <c r="HJS479" s="2204">
        <f t="shared" si="118"/>
        <v>0</v>
      </c>
      <c r="HJT479" s="2204">
        <f>[16]BV!HKE395</f>
        <v>0</v>
      </c>
      <c r="HJU479" s="2204"/>
      <c r="HJV479" s="2204"/>
      <c r="HJW479" s="2204">
        <f t="shared" si="118"/>
        <v>0</v>
      </c>
      <c r="HJX479" s="2204">
        <f>[16]BV!HKI395</f>
        <v>0</v>
      </c>
      <c r="HJY479" s="2204"/>
      <c r="HJZ479" s="2204"/>
      <c r="HKA479" s="2204">
        <f t="shared" si="118"/>
        <v>0</v>
      </c>
      <c r="HKB479" s="2204">
        <f>[16]BV!HKM395</f>
        <v>0</v>
      </c>
      <c r="HKC479" s="2204"/>
      <c r="HKD479" s="2204"/>
      <c r="HKE479" s="2204">
        <f t="shared" ref="HKE479:HMM479" si="119">HKB479</f>
        <v>0</v>
      </c>
      <c r="HKF479" s="2204">
        <f>[16]BV!HKQ395</f>
        <v>0</v>
      </c>
      <c r="HKG479" s="2204"/>
      <c r="HKH479" s="2204"/>
      <c r="HKI479" s="2204">
        <f t="shared" si="119"/>
        <v>0</v>
      </c>
      <c r="HKJ479" s="2204">
        <f>[16]BV!HKU395</f>
        <v>0</v>
      </c>
      <c r="HKK479" s="2204"/>
      <c r="HKL479" s="2204"/>
      <c r="HKM479" s="2204">
        <f t="shared" si="119"/>
        <v>0</v>
      </c>
      <c r="HKN479" s="2204">
        <f>[16]BV!HKY395</f>
        <v>0</v>
      </c>
      <c r="HKO479" s="2204"/>
      <c r="HKP479" s="2204"/>
      <c r="HKQ479" s="2204">
        <f t="shared" si="119"/>
        <v>0</v>
      </c>
      <c r="HKR479" s="2204">
        <f>[16]BV!HLC395</f>
        <v>0</v>
      </c>
      <c r="HKS479" s="2204"/>
      <c r="HKT479" s="2204"/>
      <c r="HKU479" s="2204">
        <f t="shared" si="119"/>
        <v>0</v>
      </c>
      <c r="HKV479" s="2204">
        <f>[16]BV!HLG395</f>
        <v>0</v>
      </c>
      <c r="HKW479" s="2204"/>
      <c r="HKX479" s="2204"/>
      <c r="HKY479" s="2204">
        <f t="shared" si="119"/>
        <v>0</v>
      </c>
      <c r="HKZ479" s="2204">
        <f>[16]BV!HLK395</f>
        <v>0</v>
      </c>
      <c r="HLA479" s="2204"/>
      <c r="HLB479" s="2204"/>
      <c r="HLC479" s="2204">
        <f t="shared" si="119"/>
        <v>0</v>
      </c>
      <c r="HLD479" s="2204">
        <f>[16]BV!HLO395</f>
        <v>0</v>
      </c>
      <c r="HLE479" s="2204"/>
      <c r="HLF479" s="2204"/>
      <c r="HLG479" s="2204">
        <f t="shared" si="119"/>
        <v>0</v>
      </c>
      <c r="HLH479" s="2204">
        <f>[16]BV!HLS395</f>
        <v>0</v>
      </c>
      <c r="HLI479" s="2204"/>
      <c r="HLJ479" s="2204"/>
      <c r="HLK479" s="2204">
        <f t="shared" si="119"/>
        <v>0</v>
      </c>
      <c r="HLL479" s="2204">
        <f>[16]BV!HLW395</f>
        <v>0</v>
      </c>
      <c r="HLM479" s="2204"/>
      <c r="HLN479" s="2204"/>
      <c r="HLO479" s="2204">
        <f t="shared" si="119"/>
        <v>0</v>
      </c>
      <c r="HLP479" s="2204">
        <f>[16]BV!HMA395</f>
        <v>0</v>
      </c>
      <c r="HLQ479" s="2204"/>
      <c r="HLR479" s="2204"/>
      <c r="HLS479" s="2204">
        <f t="shared" si="119"/>
        <v>0</v>
      </c>
      <c r="HLT479" s="2204">
        <f>[16]BV!HME395</f>
        <v>0</v>
      </c>
      <c r="HLU479" s="2204"/>
      <c r="HLV479" s="2204"/>
      <c r="HLW479" s="2204">
        <f t="shared" si="119"/>
        <v>0</v>
      </c>
      <c r="HLX479" s="2204">
        <f>[16]BV!HMI395</f>
        <v>0</v>
      </c>
      <c r="HLY479" s="2204"/>
      <c r="HLZ479" s="2204"/>
      <c r="HMA479" s="2204">
        <f t="shared" si="119"/>
        <v>0</v>
      </c>
      <c r="HMB479" s="2204">
        <f>[16]BV!HMM395</f>
        <v>0</v>
      </c>
      <c r="HMC479" s="2204"/>
      <c r="HMD479" s="2204"/>
      <c r="HME479" s="2204">
        <f t="shared" si="119"/>
        <v>0</v>
      </c>
      <c r="HMF479" s="2204">
        <f>[16]BV!HMQ395</f>
        <v>0</v>
      </c>
      <c r="HMG479" s="2204"/>
      <c r="HMH479" s="2204"/>
      <c r="HMI479" s="2204">
        <f t="shared" si="119"/>
        <v>0</v>
      </c>
      <c r="HMJ479" s="2204">
        <f>[16]BV!HMU395</f>
        <v>0</v>
      </c>
      <c r="HMK479" s="2204"/>
      <c r="HML479" s="2204"/>
      <c r="HMM479" s="2204">
        <f t="shared" si="119"/>
        <v>0</v>
      </c>
      <c r="HMN479" s="2204">
        <f>[16]BV!HMY395</f>
        <v>0</v>
      </c>
      <c r="HMO479" s="2204"/>
      <c r="HMP479" s="2204"/>
      <c r="HMQ479" s="2204">
        <f t="shared" ref="HMQ479:HOY479" si="120">HMN479</f>
        <v>0</v>
      </c>
      <c r="HMR479" s="2204">
        <f>[16]BV!HNC395</f>
        <v>0</v>
      </c>
      <c r="HMS479" s="2204"/>
      <c r="HMT479" s="2204"/>
      <c r="HMU479" s="2204">
        <f t="shared" si="120"/>
        <v>0</v>
      </c>
      <c r="HMV479" s="2204">
        <f>[16]BV!HNG395</f>
        <v>0</v>
      </c>
      <c r="HMW479" s="2204"/>
      <c r="HMX479" s="2204"/>
      <c r="HMY479" s="2204">
        <f t="shared" si="120"/>
        <v>0</v>
      </c>
      <c r="HMZ479" s="2204">
        <f>[16]BV!HNK395</f>
        <v>0</v>
      </c>
      <c r="HNA479" s="2204"/>
      <c r="HNB479" s="2204"/>
      <c r="HNC479" s="2204">
        <f t="shared" si="120"/>
        <v>0</v>
      </c>
      <c r="HND479" s="2204">
        <f>[16]BV!HNO395</f>
        <v>0</v>
      </c>
      <c r="HNE479" s="2204"/>
      <c r="HNF479" s="2204"/>
      <c r="HNG479" s="2204">
        <f t="shared" si="120"/>
        <v>0</v>
      </c>
      <c r="HNH479" s="2204">
        <f>[16]BV!HNS395</f>
        <v>0</v>
      </c>
      <c r="HNI479" s="2204"/>
      <c r="HNJ479" s="2204"/>
      <c r="HNK479" s="2204">
        <f t="shared" si="120"/>
        <v>0</v>
      </c>
      <c r="HNL479" s="2204">
        <f>[16]BV!HNW395</f>
        <v>0</v>
      </c>
      <c r="HNM479" s="2204"/>
      <c r="HNN479" s="2204"/>
      <c r="HNO479" s="2204">
        <f t="shared" si="120"/>
        <v>0</v>
      </c>
      <c r="HNP479" s="2204">
        <f>[16]BV!HOA395</f>
        <v>0</v>
      </c>
      <c r="HNQ479" s="2204"/>
      <c r="HNR479" s="2204"/>
      <c r="HNS479" s="2204">
        <f t="shared" si="120"/>
        <v>0</v>
      </c>
      <c r="HNT479" s="2204">
        <f>[16]BV!HOE395</f>
        <v>0</v>
      </c>
      <c r="HNU479" s="2204"/>
      <c r="HNV479" s="2204"/>
      <c r="HNW479" s="2204">
        <f t="shared" si="120"/>
        <v>0</v>
      </c>
      <c r="HNX479" s="2204">
        <f>[16]BV!HOI395</f>
        <v>0</v>
      </c>
      <c r="HNY479" s="2204"/>
      <c r="HNZ479" s="2204"/>
      <c r="HOA479" s="2204">
        <f t="shared" si="120"/>
        <v>0</v>
      </c>
      <c r="HOB479" s="2204">
        <f>[16]BV!HOM395</f>
        <v>0</v>
      </c>
      <c r="HOC479" s="2204"/>
      <c r="HOD479" s="2204"/>
      <c r="HOE479" s="2204">
        <f t="shared" si="120"/>
        <v>0</v>
      </c>
      <c r="HOF479" s="2204">
        <f>[16]BV!HOQ395</f>
        <v>0</v>
      </c>
      <c r="HOG479" s="2204"/>
      <c r="HOH479" s="2204"/>
      <c r="HOI479" s="2204">
        <f t="shared" si="120"/>
        <v>0</v>
      </c>
      <c r="HOJ479" s="2204">
        <f>[16]BV!HOU395</f>
        <v>0</v>
      </c>
      <c r="HOK479" s="2204"/>
      <c r="HOL479" s="2204"/>
      <c r="HOM479" s="2204">
        <f t="shared" si="120"/>
        <v>0</v>
      </c>
      <c r="HON479" s="2204">
        <f>[16]BV!HOY395</f>
        <v>0</v>
      </c>
      <c r="HOO479" s="2204"/>
      <c r="HOP479" s="2204"/>
      <c r="HOQ479" s="2204">
        <f t="shared" si="120"/>
        <v>0</v>
      </c>
      <c r="HOR479" s="2204">
        <f>[16]BV!HPC395</f>
        <v>0</v>
      </c>
      <c r="HOS479" s="2204"/>
      <c r="HOT479" s="2204"/>
      <c r="HOU479" s="2204">
        <f t="shared" si="120"/>
        <v>0</v>
      </c>
      <c r="HOV479" s="2204">
        <f>[16]BV!HPG395</f>
        <v>0</v>
      </c>
      <c r="HOW479" s="2204"/>
      <c r="HOX479" s="2204"/>
      <c r="HOY479" s="2204">
        <f t="shared" si="120"/>
        <v>0</v>
      </c>
      <c r="HOZ479" s="2204">
        <f>[16]BV!HPK395</f>
        <v>0</v>
      </c>
      <c r="HPA479" s="2204"/>
      <c r="HPB479" s="2204"/>
      <c r="HPC479" s="2204">
        <f t="shared" ref="HPC479:HRK479" si="121">HOZ479</f>
        <v>0</v>
      </c>
      <c r="HPD479" s="2204">
        <f>[16]BV!HPO395</f>
        <v>0</v>
      </c>
      <c r="HPE479" s="2204"/>
      <c r="HPF479" s="2204"/>
      <c r="HPG479" s="2204">
        <f t="shared" si="121"/>
        <v>0</v>
      </c>
      <c r="HPH479" s="2204">
        <f>[16]BV!HPS395</f>
        <v>0</v>
      </c>
      <c r="HPI479" s="2204"/>
      <c r="HPJ479" s="2204"/>
      <c r="HPK479" s="2204">
        <f t="shared" si="121"/>
        <v>0</v>
      </c>
      <c r="HPL479" s="2204">
        <f>[16]BV!HPW395</f>
        <v>0</v>
      </c>
      <c r="HPM479" s="2204"/>
      <c r="HPN479" s="2204"/>
      <c r="HPO479" s="2204">
        <f t="shared" si="121"/>
        <v>0</v>
      </c>
      <c r="HPP479" s="2204">
        <f>[16]BV!HQA395</f>
        <v>0</v>
      </c>
      <c r="HPQ479" s="2204"/>
      <c r="HPR479" s="2204"/>
      <c r="HPS479" s="2204">
        <f t="shared" si="121"/>
        <v>0</v>
      </c>
      <c r="HPT479" s="2204">
        <f>[16]BV!HQE395</f>
        <v>0</v>
      </c>
      <c r="HPU479" s="2204"/>
      <c r="HPV479" s="2204"/>
      <c r="HPW479" s="2204">
        <f t="shared" si="121"/>
        <v>0</v>
      </c>
      <c r="HPX479" s="2204">
        <f>[16]BV!HQI395</f>
        <v>0</v>
      </c>
      <c r="HPY479" s="2204"/>
      <c r="HPZ479" s="2204"/>
      <c r="HQA479" s="2204">
        <f t="shared" si="121"/>
        <v>0</v>
      </c>
      <c r="HQB479" s="2204">
        <f>[16]BV!HQM395</f>
        <v>0</v>
      </c>
      <c r="HQC479" s="2204"/>
      <c r="HQD479" s="2204"/>
      <c r="HQE479" s="2204">
        <f t="shared" si="121"/>
        <v>0</v>
      </c>
      <c r="HQF479" s="2204">
        <f>[16]BV!HQQ395</f>
        <v>0</v>
      </c>
      <c r="HQG479" s="2204"/>
      <c r="HQH479" s="2204"/>
      <c r="HQI479" s="2204">
        <f t="shared" si="121"/>
        <v>0</v>
      </c>
      <c r="HQJ479" s="2204">
        <f>[16]BV!HQU395</f>
        <v>0</v>
      </c>
      <c r="HQK479" s="2204"/>
      <c r="HQL479" s="2204"/>
      <c r="HQM479" s="2204">
        <f t="shared" si="121"/>
        <v>0</v>
      </c>
      <c r="HQN479" s="2204">
        <f>[16]BV!HQY395</f>
        <v>0</v>
      </c>
      <c r="HQO479" s="2204"/>
      <c r="HQP479" s="2204"/>
      <c r="HQQ479" s="2204">
        <f t="shared" si="121"/>
        <v>0</v>
      </c>
      <c r="HQR479" s="2204">
        <f>[16]BV!HRC395</f>
        <v>0</v>
      </c>
      <c r="HQS479" s="2204"/>
      <c r="HQT479" s="2204"/>
      <c r="HQU479" s="2204">
        <f t="shared" si="121"/>
        <v>0</v>
      </c>
      <c r="HQV479" s="2204">
        <f>[16]BV!HRG395</f>
        <v>0</v>
      </c>
      <c r="HQW479" s="2204"/>
      <c r="HQX479" s="2204"/>
      <c r="HQY479" s="2204">
        <f t="shared" si="121"/>
        <v>0</v>
      </c>
      <c r="HQZ479" s="2204">
        <f>[16]BV!HRK395</f>
        <v>0</v>
      </c>
      <c r="HRA479" s="2204"/>
      <c r="HRB479" s="2204"/>
      <c r="HRC479" s="2204">
        <f t="shared" si="121"/>
        <v>0</v>
      </c>
      <c r="HRD479" s="2204">
        <f>[16]BV!HRO395</f>
        <v>0</v>
      </c>
      <c r="HRE479" s="2204"/>
      <c r="HRF479" s="2204"/>
      <c r="HRG479" s="2204">
        <f t="shared" si="121"/>
        <v>0</v>
      </c>
      <c r="HRH479" s="2204">
        <f>[16]BV!HRS395</f>
        <v>0</v>
      </c>
      <c r="HRI479" s="2204"/>
      <c r="HRJ479" s="2204"/>
      <c r="HRK479" s="2204">
        <f t="shared" si="121"/>
        <v>0</v>
      </c>
      <c r="HRL479" s="2204">
        <f>[16]BV!HRW395</f>
        <v>0</v>
      </c>
      <c r="HRM479" s="2204"/>
      <c r="HRN479" s="2204"/>
      <c r="HRO479" s="2204">
        <f t="shared" ref="HRO479:HTW479" si="122">HRL479</f>
        <v>0</v>
      </c>
      <c r="HRP479" s="2204">
        <f>[16]BV!HSA395</f>
        <v>0</v>
      </c>
      <c r="HRQ479" s="2204"/>
      <c r="HRR479" s="2204"/>
      <c r="HRS479" s="2204">
        <f t="shared" si="122"/>
        <v>0</v>
      </c>
      <c r="HRT479" s="2204">
        <f>[16]BV!HSE395</f>
        <v>0</v>
      </c>
      <c r="HRU479" s="2204"/>
      <c r="HRV479" s="2204"/>
      <c r="HRW479" s="2204">
        <f t="shared" si="122"/>
        <v>0</v>
      </c>
      <c r="HRX479" s="2204">
        <f>[16]BV!HSI395</f>
        <v>0</v>
      </c>
      <c r="HRY479" s="2204"/>
      <c r="HRZ479" s="2204"/>
      <c r="HSA479" s="2204">
        <f t="shared" si="122"/>
        <v>0</v>
      </c>
      <c r="HSB479" s="2204">
        <f>[16]BV!HSM395</f>
        <v>0</v>
      </c>
      <c r="HSC479" s="2204"/>
      <c r="HSD479" s="2204"/>
      <c r="HSE479" s="2204">
        <f t="shared" si="122"/>
        <v>0</v>
      </c>
      <c r="HSF479" s="2204">
        <f>[16]BV!HSQ395</f>
        <v>0</v>
      </c>
      <c r="HSG479" s="2204"/>
      <c r="HSH479" s="2204"/>
      <c r="HSI479" s="2204">
        <f t="shared" si="122"/>
        <v>0</v>
      </c>
      <c r="HSJ479" s="2204">
        <f>[16]BV!HSU395</f>
        <v>0</v>
      </c>
      <c r="HSK479" s="2204"/>
      <c r="HSL479" s="2204"/>
      <c r="HSM479" s="2204">
        <f t="shared" si="122"/>
        <v>0</v>
      </c>
      <c r="HSN479" s="2204">
        <f>[16]BV!HSY395</f>
        <v>0</v>
      </c>
      <c r="HSO479" s="2204"/>
      <c r="HSP479" s="2204"/>
      <c r="HSQ479" s="2204">
        <f t="shared" si="122"/>
        <v>0</v>
      </c>
      <c r="HSR479" s="2204">
        <f>[16]BV!HTC395</f>
        <v>0</v>
      </c>
      <c r="HSS479" s="2204"/>
      <c r="HST479" s="2204"/>
      <c r="HSU479" s="2204">
        <f t="shared" si="122"/>
        <v>0</v>
      </c>
      <c r="HSV479" s="2204">
        <f>[16]BV!HTG395</f>
        <v>0</v>
      </c>
      <c r="HSW479" s="2204"/>
      <c r="HSX479" s="2204"/>
      <c r="HSY479" s="2204">
        <f t="shared" si="122"/>
        <v>0</v>
      </c>
      <c r="HSZ479" s="2204">
        <f>[16]BV!HTK395</f>
        <v>0</v>
      </c>
      <c r="HTA479" s="2204"/>
      <c r="HTB479" s="2204"/>
      <c r="HTC479" s="2204">
        <f t="shared" si="122"/>
        <v>0</v>
      </c>
      <c r="HTD479" s="2204">
        <f>[16]BV!HTO395</f>
        <v>0</v>
      </c>
      <c r="HTE479" s="2204"/>
      <c r="HTF479" s="2204"/>
      <c r="HTG479" s="2204">
        <f t="shared" si="122"/>
        <v>0</v>
      </c>
      <c r="HTH479" s="2204">
        <f>[16]BV!HTS395</f>
        <v>0</v>
      </c>
      <c r="HTI479" s="2204"/>
      <c r="HTJ479" s="2204"/>
      <c r="HTK479" s="2204">
        <f t="shared" si="122"/>
        <v>0</v>
      </c>
      <c r="HTL479" s="2204">
        <f>[16]BV!HTW395</f>
        <v>0</v>
      </c>
      <c r="HTM479" s="2204"/>
      <c r="HTN479" s="2204"/>
      <c r="HTO479" s="2204">
        <f t="shared" si="122"/>
        <v>0</v>
      </c>
      <c r="HTP479" s="2204">
        <f>[16]BV!HUA395</f>
        <v>0</v>
      </c>
      <c r="HTQ479" s="2204"/>
      <c r="HTR479" s="2204"/>
      <c r="HTS479" s="2204">
        <f t="shared" si="122"/>
        <v>0</v>
      </c>
      <c r="HTT479" s="2204">
        <f>[16]BV!HUE395</f>
        <v>0</v>
      </c>
      <c r="HTU479" s="2204"/>
      <c r="HTV479" s="2204"/>
      <c r="HTW479" s="2204">
        <f t="shared" si="122"/>
        <v>0</v>
      </c>
      <c r="HTX479" s="2204">
        <f>[16]BV!HUI395</f>
        <v>0</v>
      </c>
      <c r="HTY479" s="2204"/>
      <c r="HTZ479" s="2204"/>
      <c r="HUA479" s="2204">
        <f t="shared" ref="HUA479:HWI479" si="123">HTX479</f>
        <v>0</v>
      </c>
      <c r="HUB479" s="2204">
        <f>[16]BV!HUM395</f>
        <v>0</v>
      </c>
      <c r="HUC479" s="2204"/>
      <c r="HUD479" s="2204"/>
      <c r="HUE479" s="2204">
        <f t="shared" si="123"/>
        <v>0</v>
      </c>
      <c r="HUF479" s="2204">
        <f>[16]BV!HUQ395</f>
        <v>0</v>
      </c>
      <c r="HUG479" s="2204"/>
      <c r="HUH479" s="2204"/>
      <c r="HUI479" s="2204">
        <f t="shared" si="123"/>
        <v>0</v>
      </c>
      <c r="HUJ479" s="2204">
        <f>[16]BV!HUU395</f>
        <v>0</v>
      </c>
      <c r="HUK479" s="2204"/>
      <c r="HUL479" s="2204"/>
      <c r="HUM479" s="2204">
        <f t="shared" si="123"/>
        <v>0</v>
      </c>
      <c r="HUN479" s="2204">
        <f>[16]BV!HUY395</f>
        <v>0</v>
      </c>
      <c r="HUO479" s="2204"/>
      <c r="HUP479" s="2204"/>
      <c r="HUQ479" s="2204">
        <f t="shared" si="123"/>
        <v>0</v>
      </c>
      <c r="HUR479" s="2204">
        <f>[16]BV!HVC395</f>
        <v>0</v>
      </c>
      <c r="HUS479" s="2204"/>
      <c r="HUT479" s="2204"/>
      <c r="HUU479" s="2204">
        <f t="shared" si="123"/>
        <v>0</v>
      </c>
      <c r="HUV479" s="2204">
        <f>[16]BV!HVG395</f>
        <v>0</v>
      </c>
      <c r="HUW479" s="2204"/>
      <c r="HUX479" s="2204"/>
      <c r="HUY479" s="2204">
        <f t="shared" si="123"/>
        <v>0</v>
      </c>
      <c r="HUZ479" s="2204">
        <f>[16]BV!HVK395</f>
        <v>0</v>
      </c>
      <c r="HVA479" s="2204"/>
      <c r="HVB479" s="2204"/>
      <c r="HVC479" s="2204">
        <f t="shared" si="123"/>
        <v>0</v>
      </c>
      <c r="HVD479" s="2204">
        <f>[16]BV!HVO395</f>
        <v>0</v>
      </c>
      <c r="HVE479" s="2204"/>
      <c r="HVF479" s="2204"/>
      <c r="HVG479" s="2204">
        <f t="shared" si="123"/>
        <v>0</v>
      </c>
      <c r="HVH479" s="2204">
        <f>[16]BV!HVS395</f>
        <v>0</v>
      </c>
      <c r="HVI479" s="2204"/>
      <c r="HVJ479" s="2204"/>
      <c r="HVK479" s="2204">
        <f t="shared" si="123"/>
        <v>0</v>
      </c>
      <c r="HVL479" s="2204">
        <f>[16]BV!HVW395</f>
        <v>0</v>
      </c>
      <c r="HVM479" s="2204"/>
      <c r="HVN479" s="2204"/>
      <c r="HVO479" s="2204">
        <f t="shared" si="123"/>
        <v>0</v>
      </c>
      <c r="HVP479" s="2204">
        <f>[16]BV!HWA395</f>
        <v>0</v>
      </c>
      <c r="HVQ479" s="2204"/>
      <c r="HVR479" s="2204"/>
      <c r="HVS479" s="2204">
        <f t="shared" si="123"/>
        <v>0</v>
      </c>
      <c r="HVT479" s="2204">
        <f>[16]BV!HWE395</f>
        <v>0</v>
      </c>
      <c r="HVU479" s="2204"/>
      <c r="HVV479" s="2204"/>
      <c r="HVW479" s="2204">
        <f t="shared" si="123"/>
        <v>0</v>
      </c>
      <c r="HVX479" s="2204">
        <f>[16]BV!HWI395</f>
        <v>0</v>
      </c>
      <c r="HVY479" s="2204"/>
      <c r="HVZ479" s="2204"/>
      <c r="HWA479" s="2204">
        <f t="shared" si="123"/>
        <v>0</v>
      </c>
      <c r="HWB479" s="2204">
        <f>[16]BV!HWM395</f>
        <v>0</v>
      </c>
      <c r="HWC479" s="2204"/>
      <c r="HWD479" s="2204"/>
      <c r="HWE479" s="2204">
        <f t="shared" si="123"/>
        <v>0</v>
      </c>
      <c r="HWF479" s="2204">
        <f>[16]BV!HWQ395</f>
        <v>0</v>
      </c>
      <c r="HWG479" s="2204"/>
      <c r="HWH479" s="2204"/>
      <c r="HWI479" s="2204">
        <f t="shared" si="123"/>
        <v>0</v>
      </c>
      <c r="HWJ479" s="2204">
        <f>[16]BV!HWU395</f>
        <v>0</v>
      </c>
      <c r="HWK479" s="2204"/>
      <c r="HWL479" s="2204"/>
      <c r="HWM479" s="2204">
        <f t="shared" ref="HWM479:HYU479" si="124">HWJ479</f>
        <v>0</v>
      </c>
      <c r="HWN479" s="2204">
        <f>[16]BV!HWY395</f>
        <v>0</v>
      </c>
      <c r="HWO479" s="2204"/>
      <c r="HWP479" s="2204"/>
      <c r="HWQ479" s="2204">
        <f t="shared" si="124"/>
        <v>0</v>
      </c>
      <c r="HWR479" s="2204">
        <f>[16]BV!HXC395</f>
        <v>0</v>
      </c>
      <c r="HWS479" s="2204"/>
      <c r="HWT479" s="2204"/>
      <c r="HWU479" s="2204">
        <f t="shared" si="124"/>
        <v>0</v>
      </c>
      <c r="HWV479" s="2204">
        <f>[16]BV!HXG395</f>
        <v>0</v>
      </c>
      <c r="HWW479" s="2204"/>
      <c r="HWX479" s="2204"/>
      <c r="HWY479" s="2204">
        <f t="shared" si="124"/>
        <v>0</v>
      </c>
      <c r="HWZ479" s="2204">
        <f>[16]BV!HXK395</f>
        <v>0</v>
      </c>
      <c r="HXA479" s="2204"/>
      <c r="HXB479" s="2204"/>
      <c r="HXC479" s="2204">
        <f t="shared" si="124"/>
        <v>0</v>
      </c>
      <c r="HXD479" s="2204">
        <f>[16]BV!HXO395</f>
        <v>0</v>
      </c>
      <c r="HXE479" s="2204"/>
      <c r="HXF479" s="2204"/>
      <c r="HXG479" s="2204">
        <f t="shared" si="124"/>
        <v>0</v>
      </c>
      <c r="HXH479" s="2204">
        <f>[16]BV!HXS395</f>
        <v>0</v>
      </c>
      <c r="HXI479" s="2204"/>
      <c r="HXJ479" s="2204"/>
      <c r="HXK479" s="2204">
        <f t="shared" si="124"/>
        <v>0</v>
      </c>
      <c r="HXL479" s="2204">
        <f>[16]BV!HXW395</f>
        <v>0</v>
      </c>
      <c r="HXM479" s="2204"/>
      <c r="HXN479" s="2204"/>
      <c r="HXO479" s="2204">
        <f t="shared" si="124"/>
        <v>0</v>
      </c>
      <c r="HXP479" s="2204">
        <f>[16]BV!HYA395</f>
        <v>0</v>
      </c>
      <c r="HXQ479" s="2204"/>
      <c r="HXR479" s="2204"/>
      <c r="HXS479" s="2204">
        <f t="shared" si="124"/>
        <v>0</v>
      </c>
      <c r="HXT479" s="2204">
        <f>[16]BV!HYE395</f>
        <v>0</v>
      </c>
      <c r="HXU479" s="2204"/>
      <c r="HXV479" s="2204"/>
      <c r="HXW479" s="2204">
        <f t="shared" si="124"/>
        <v>0</v>
      </c>
      <c r="HXX479" s="2204">
        <f>[16]BV!HYI395</f>
        <v>0</v>
      </c>
      <c r="HXY479" s="2204"/>
      <c r="HXZ479" s="2204"/>
      <c r="HYA479" s="2204">
        <f t="shared" si="124"/>
        <v>0</v>
      </c>
      <c r="HYB479" s="2204">
        <f>[16]BV!HYM395</f>
        <v>0</v>
      </c>
      <c r="HYC479" s="2204"/>
      <c r="HYD479" s="2204"/>
      <c r="HYE479" s="2204">
        <f t="shared" si="124"/>
        <v>0</v>
      </c>
      <c r="HYF479" s="2204">
        <f>[16]BV!HYQ395</f>
        <v>0</v>
      </c>
      <c r="HYG479" s="2204"/>
      <c r="HYH479" s="2204"/>
      <c r="HYI479" s="2204">
        <f t="shared" si="124"/>
        <v>0</v>
      </c>
      <c r="HYJ479" s="2204">
        <f>[16]BV!HYU395</f>
        <v>0</v>
      </c>
      <c r="HYK479" s="2204"/>
      <c r="HYL479" s="2204"/>
      <c r="HYM479" s="2204">
        <f t="shared" si="124"/>
        <v>0</v>
      </c>
      <c r="HYN479" s="2204">
        <f>[16]BV!HYY395</f>
        <v>0</v>
      </c>
      <c r="HYO479" s="2204"/>
      <c r="HYP479" s="2204"/>
      <c r="HYQ479" s="2204">
        <f t="shared" si="124"/>
        <v>0</v>
      </c>
      <c r="HYR479" s="2204">
        <f>[16]BV!HZC395</f>
        <v>0</v>
      </c>
      <c r="HYS479" s="2204"/>
      <c r="HYT479" s="2204"/>
      <c r="HYU479" s="2204">
        <f t="shared" si="124"/>
        <v>0</v>
      </c>
      <c r="HYV479" s="2204">
        <f>[16]BV!HZG395</f>
        <v>0</v>
      </c>
      <c r="HYW479" s="2204"/>
      <c r="HYX479" s="2204"/>
      <c r="HYY479" s="2204">
        <f t="shared" ref="HYY479:IBG479" si="125">HYV479</f>
        <v>0</v>
      </c>
      <c r="HYZ479" s="2204">
        <f>[16]BV!HZK395</f>
        <v>0</v>
      </c>
      <c r="HZA479" s="2204"/>
      <c r="HZB479" s="2204"/>
      <c r="HZC479" s="2204">
        <f t="shared" si="125"/>
        <v>0</v>
      </c>
      <c r="HZD479" s="2204">
        <f>[16]BV!HZO395</f>
        <v>0</v>
      </c>
      <c r="HZE479" s="2204"/>
      <c r="HZF479" s="2204"/>
      <c r="HZG479" s="2204">
        <f t="shared" si="125"/>
        <v>0</v>
      </c>
      <c r="HZH479" s="2204">
        <f>[16]BV!HZS395</f>
        <v>0</v>
      </c>
      <c r="HZI479" s="2204"/>
      <c r="HZJ479" s="2204"/>
      <c r="HZK479" s="2204">
        <f t="shared" si="125"/>
        <v>0</v>
      </c>
      <c r="HZL479" s="2204">
        <f>[16]BV!HZW395</f>
        <v>0</v>
      </c>
      <c r="HZM479" s="2204"/>
      <c r="HZN479" s="2204"/>
      <c r="HZO479" s="2204">
        <f t="shared" si="125"/>
        <v>0</v>
      </c>
      <c r="HZP479" s="2204">
        <f>[16]BV!IAA395</f>
        <v>0</v>
      </c>
      <c r="HZQ479" s="2204"/>
      <c r="HZR479" s="2204"/>
      <c r="HZS479" s="2204">
        <f t="shared" si="125"/>
        <v>0</v>
      </c>
      <c r="HZT479" s="2204">
        <f>[16]BV!IAE395</f>
        <v>0</v>
      </c>
      <c r="HZU479" s="2204"/>
      <c r="HZV479" s="2204"/>
      <c r="HZW479" s="2204">
        <f t="shared" si="125"/>
        <v>0</v>
      </c>
      <c r="HZX479" s="2204">
        <f>[16]BV!IAI395</f>
        <v>0</v>
      </c>
      <c r="HZY479" s="2204"/>
      <c r="HZZ479" s="2204"/>
      <c r="IAA479" s="2204">
        <f t="shared" si="125"/>
        <v>0</v>
      </c>
      <c r="IAB479" s="2204">
        <f>[16]BV!IAM395</f>
        <v>0</v>
      </c>
      <c r="IAC479" s="2204"/>
      <c r="IAD479" s="2204"/>
      <c r="IAE479" s="2204">
        <f t="shared" si="125"/>
        <v>0</v>
      </c>
      <c r="IAF479" s="2204">
        <f>[16]BV!IAQ395</f>
        <v>0</v>
      </c>
      <c r="IAG479" s="2204"/>
      <c r="IAH479" s="2204"/>
      <c r="IAI479" s="2204">
        <f t="shared" si="125"/>
        <v>0</v>
      </c>
      <c r="IAJ479" s="2204">
        <f>[16]BV!IAU395</f>
        <v>0</v>
      </c>
      <c r="IAK479" s="2204"/>
      <c r="IAL479" s="2204"/>
      <c r="IAM479" s="2204">
        <f t="shared" si="125"/>
        <v>0</v>
      </c>
      <c r="IAN479" s="2204">
        <f>[16]BV!IAY395</f>
        <v>0</v>
      </c>
      <c r="IAO479" s="2204"/>
      <c r="IAP479" s="2204"/>
      <c r="IAQ479" s="2204">
        <f t="shared" si="125"/>
        <v>0</v>
      </c>
      <c r="IAR479" s="2204">
        <f>[16]BV!IBC395</f>
        <v>0</v>
      </c>
      <c r="IAS479" s="2204"/>
      <c r="IAT479" s="2204"/>
      <c r="IAU479" s="2204">
        <f t="shared" si="125"/>
        <v>0</v>
      </c>
      <c r="IAV479" s="2204">
        <f>[16]BV!IBG395</f>
        <v>0</v>
      </c>
      <c r="IAW479" s="2204"/>
      <c r="IAX479" s="2204"/>
      <c r="IAY479" s="2204">
        <f t="shared" si="125"/>
        <v>0</v>
      </c>
      <c r="IAZ479" s="2204">
        <f>[16]BV!IBK395</f>
        <v>0</v>
      </c>
      <c r="IBA479" s="2204"/>
      <c r="IBB479" s="2204"/>
      <c r="IBC479" s="2204">
        <f t="shared" si="125"/>
        <v>0</v>
      </c>
      <c r="IBD479" s="2204">
        <f>[16]BV!IBO395</f>
        <v>0</v>
      </c>
      <c r="IBE479" s="2204"/>
      <c r="IBF479" s="2204"/>
      <c r="IBG479" s="2204">
        <f t="shared" si="125"/>
        <v>0</v>
      </c>
      <c r="IBH479" s="2204">
        <f>[16]BV!IBS395</f>
        <v>0</v>
      </c>
      <c r="IBI479" s="2204"/>
      <c r="IBJ479" s="2204"/>
      <c r="IBK479" s="2204">
        <f t="shared" ref="IBK479:IDS479" si="126">IBH479</f>
        <v>0</v>
      </c>
      <c r="IBL479" s="2204">
        <f>[16]BV!IBW395</f>
        <v>0</v>
      </c>
      <c r="IBM479" s="2204"/>
      <c r="IBN479" s="2204"/>
      <c r="IBO479" s="2204">
        <f t="shared" si="126"/>
        <v>0</v>
      </c>
      <c r="IBP479" s="2204">
        <f>[16]BV!ICA395</f>
        <v>0</v>
      </c>
      <c r="IBQ479" s="2204"/>
      <c r="IBR479" s="2204"/>
      <c r="IBS479" s="2204">
        <f t="shared" si="126"/>
        <v>0</v>
      </c>
      <c r="IBT479" s="2204">
        <f>[16]BV!ICE395</f>
        <v>0</v>
      </c>
      <c r="IBU479" s="2204"/>
      <c r="IBV479" s="2204"/>
      <c r="IBW479" s="2204">
        <f t="shared" si="126"/>
        <v>0</v>
      </c>
      <c r="IBX479" s="2204">
        <f>[16]BV!ICI395</f>
        <v>0</v>
      </c>
      <c r="IBY479" s="2204"/>
      <c r="IBZ479" s="2204"/>
      <c r="ICA479" s="2204">
        <f t="shared" si="126"/>
        <v>0</v>
      </c>
      <c r="ICB479" s="2204">
        <f>[16]BV!ICM395</f>
        <v>0</v>
      </c>
      <c r="ICC479" s="2204"/>
      <c r="ICD479" s="2204"/>
      <c r="ICE479" s="2204">
        <f t="shared" si="126"/>
        <v>0</v>
      </c>
      <c r="ICF479" s="2204">
        <f>[16]BV!ICQ395</f>
        <v>0</v>
      </c>
      <c r="ICG479" s="2204"/>
      <c r="ICH479" s="2204"/>
      <c r="ICI479" s="2204">
        <f t="shared" si="126"/>
        <v>0</v>
      </c>
      <c r="ICJ479" s="2204">
        <f>[16]BV!ICU395</f>
        <v>0</v>
      </c>
      <c r="ICK479" s="2204"/>
      <c r="ICL479" s="2204"/>
      <c r="ICM479" s="2204">
        <f t="shared" si="126"/>
        <v>0</v>
      </c>
      <c r="ICN479" s="2204">
        <f>[16]BV!ICY395</f>
        <v>0</v>
      </c>
      <c r="ICO479" s="2204"/>
      <c r="ICP479" s="2204"/>
      <c r="ICQ479" s="2204">
        <f t="shared" si="126"/>
        <v>0</v>
      </c>
      <c r="ICR479" s="2204">
        <f>[16]BV!IDC395</f>
        <v>0</v>
      </c>
      <c r="ICS479" s="2204"/>
      <c r="ICT479" s="2204"/>
      <c r="ICU479" s="2204">
        <f t="shared" si="126"/>
        <v>0</v>
      </c>
      <c r="ICV479" s="2204">
        <f>[16]BV!IDG395</f>
        <v>0</v>
      </c>
      <c r="ICW479" s="2204"/>
      <c r="ICX479" s="2204"/>
      <c r="ICY479" s="2204">
        <f t="shared" si="126"/>
        <v>0</v>
      </c>
      <c r="ICZ479" s="2204">
        <f>[16]BV!IDK395</f>
        <v>0</v>
      </c>
      <c r="IDA479" s="2204"/>
      <c r="IDB479" s="2204"/>
      <c r="IDC479" s="2204">
        <f t="shared" si="126"/>
        <v>0</v>
      </c>
      <c r="IDD479" s="2204">
        <f>[16]BV!IDO395</f>
        <v>0</v>
      </c>
      <c r="IDE479" s="2204"/>
      <c r="IDF479" s="2204"/>
      <c r="IDG479" s="2204">
        <f t="shared" si="126"/>
        <v>0</v>
      </c>
      <c r="IDH479" s="2204">
        <f>[16]BV!IDS395</f>
        <v>0</v>
      </c>
      <c r="IDI479" s="2204"/>
      <c r="IDJ479" s="2204"/>
      <c r="IDK479" s="2204">
        <f t="shared" si="126"/>
        <v>0</v>
      </c>
      <c r="IDL479" s="2204">
        <f>[16]BV!IDW395</f>
        <v>0</v>
      </c>
      <c r="IDM479" s="2204"/>
      <c r="IDN479" s="2204"/>
      <c r="IDO479" s="2204">
        <f t="shared" si="126"/>
        <v>0</v>
      </c>
      <c r="IDP479" s="2204">
        <f>[16]BV!IEA395</f>
        <v>0</v>
      </c>
      <c r="IDQ479" s="2204"/>
      <c r="IDR479" s="2204"/>
      <c r="IDS479" s="2204">
        <f t="shared" si="126"/>
        <v>0</v>
      </c>
      <c r="IDT479" s="2204">
        <f>[16]BV!IEE395</f>
        <v>0</v>
      </c>
      <c r="IDU479" s="2204"/>
      <c r="IDV479" s="2204"/>
      <c r="IDW479" s="2204">
        <f t="shared" ref="IDW479:IGE479" si="127">IDT479</f>
        <v>0</v>
      </c>
      <c r="IDX479" s="2204">
        <f>[16]BV!IEI395</f>
        <v>0</v>
      </c>
      <c r="IDY479" s="2204"/>
      <c r="IDZ479" s="2204"/>
      <c r="IEA479" s="2204">
        <f t="shared" si="127"/>
        <v>0</v>
      </c>
      <c r="IEB479" s="2204">
        <f>[16]BV!IEM395</f>
        <v>0</v>
      </c>
      <c r="IEC479" s="2204"/>
      <c r="IED479" s="2204"/>
      <c r="IEE479" s="2204">
        <f t="shared" si="127"/>
        <v>0</v>
      </c>
      <c r="IEF479" s="2204">
        <f>[16]BV!IEQ395</f>
        <v>0</v>
      </c>
      <c r="IEG479" s="2204"/>
      <c r="IEH479" s="2204"/>
      <c r="IEI479" s="2204">
        <f t="shared" si="127"/>
        <v>0</v>
      </c>
      <c r="IEJ479" s="2204">
        <f>[16]BV!IEU395</f>
        <v>0</v>
      </c>
      <c r="IEK479" s="2204"/>
      <c r="IEL479" s="2204"/>
      <c r="IEM479" s="2204">
        <f t="shared" si="127"/>
        <v>0</v>
      </c>
      <c r="IEN479" s="2204">
        <f>[16]BV!IEY395</f>
        <v>0</v>
      </c>
      <c r="IEO479" s="2204"/>
      <c r="IEP479" s="2204"/>
      <c r="IEQ479" s="2204">
        <f t="shared" si="127"/>
        <v>0</v>
      </c>
      <c r="IER479" s="2204">
        <f>[16]BV!IFC395</f>
        <v>0</v>
      </c>
      <c r="IES479" s="2204"/>
      <c r="IET479" s="2204"/>
      <c r="IEU479" s="2204">
        <f t="shared" si="127"/>
        <v>0</v>
      </c>
      <c r="IEV479" s="2204">
        <f>[16]BV!IFG395</f>
        <v>0</v>
      </c>
      <c r="IEW479" s="2204"/>
      <c r="IEX479" s="2204"/>
      <c r="IEY479" s="2204">
        <f t="shared" si="127"/>
        <v>0</v>
      </c>
      <c r="IEZ479" s="2204">
        <f>[16]BV!IFK395</f>
        <v>0</v>
      </c>
      <c r="IFA479" s="2204"/>
      <c r="IFB479" s="2204"/>
      <c r="IFC479" s="2204">
        <f t="shared" si="127"/>
        <v>0</v>
      </c>
      <c r="IFD479" s="2204">
        <f>[16]BV!IFO395</f>
        <v>0</v>
      </c>
      <c r="IFE479" s="2204"/>
      <c r="IFF479" s="2204"/>
      <c r="IFG479" s="2204">
        <f t="shared" si="127"/>
        <v>0</v>
      </c>
      <c r="IFH479" s="2204">
        <f>[16]BV!IFS395</f>
        <v>0</v>
      </c>
      <c r="IFI479" s="2204"/>
      <c r="IFJ479" s="2204"/>
      <c r="IFK479" s="2204">
        <f t="shared" si="127"/>
        <v>0</v>
      </c>
      <c r="IFL479" s="2204">
        <f>[16]BV!IFW395</f>
        <v>0</v>
      </c>
      <c r="IFM479" s="2204"/>
      <c r="IFN479" s="2204"/>
      <c r="IFO479" s="2204">
        <f t="shared" si="127"/>
        <v>0</v>
      </c>
      <c r="IFP479" s="2204">
        <f>[16]BV!IGA395</f>
        <v>0</v>
      </c>
      <c r="IFQ479" s="2204"/>
      <c r="IFR479" s="2204"/>
      <c r="IFS479" s="2204">
        <f t="shared" si="127"/>
        <v>0</v>
      </c>
      <c r="IFT479" s="2204">
        <f>[16]BV!IGE395</f>
        <v>0</v>
      </c>
      <c r="IFU479" s="2204"/>
      <c r="IFV479" s="2204"/>
      <c r="IFW479" s="2204">
        <f t="shared" si="127"/>
        <v>0</v>
      </c>
      <c r="IFX479" s="2204">
        <f>[16]BV!IGI395</f>
        <v>0</v>
      </c>
      <c r="IFY479" s="2204"/>
      <c r="IFZ479" s="2204"/>
      <c r="IGA479" s="2204">
        <f t="shared" si="127"/>
        <v>0</v>
      </c>
      <c r="IGB479" s="2204">
        <f>[16]BV!IGM395</f>
        <v>0</v>
      </c>
      <c r="IGC479" s="2204"/>
      <c r="IGD479" s="2204"/>
      <c r="IGE479" s="2204">
        <f t="shared" si="127"/>
        <v>0</v>
      </c>
      <c r="IGF479" s="2204">
        <f>[16]BV!IGQ395</f>
        <v>0</v>
      </c>
      <c r="IGG479" s="2204"/>
      <c r="IGH479" s="2204"/>
      <c r="IGI479" s="2204">
        <f t="shared" ref="IGI479:IIQ479" si="128">IGF479</f>
        <v>0</v>
      </c>
      <c r="IGJ479" s="2204">
        <f>[16]BV!IGU395</f>
        <v>0</v>
      </c>
      <c r="IGK479" s="2204"/>
      <c r="IGL479" s="2204"/>
      <c r="IGM479" s="2204">
        <f t="shared" si="128"/>
        <v>0</v>
      </c>
      <c r="IGN479" s="2204">
        <f>[16]BV!IGY395</f>
        <v>0</v>
      </c>
      <c r="IGO479" s="2204"/>
      <c r="IGP479" s="2204"/>
      <c r="IGQ479" s="2204">
        <f t="shared" si="128"/>
        <v>0</v>
      </c>
      <c r="IGR479" s="2204">
        <f>[16]BV!IHC395</f>
        <v>0</v>
      </c>
      <c r="IGS479" s="2204"/>
      <c r="IGT479" s="2204"/>
      <c r="IGU479" s="2204">
        <f t="shared" si="128"/>
        <v>0</v>
      </c>
      <c r="IGV479" s="2204">
        <f>[16]BV!IHG395</f>
        <v>0</v>
      </c>
      <c r="IGW479" s="2204"/>
      <c r="IGX479" s="2204"/>
      <c r="IGY479" s="2204">
        <f t="shared" si="128"/>
        <v>0</v>
      </c>
      <c r="IGZ479" s="2204">
        <f>[16]BV!IHK395</f>
        <v>0</v>
      </c>
      <c r="IHA479" s="2204"/>
      <c r="IHB479" s="2204"/>
      <c r="IHC479" s="2204">
        <f t="shared" si="128"/>
        <v>0</v>
      </c>
      <c r="IHD479" s="2204">
        <f>[16]BV!IHO395</f>
        <v>0</v>
      </c>
      <c r="IHE479" s="2204"/>
      <c r="IHF479" s="2204"/>
      <c r="IHG479" s="2204">
        <f t="shared" si="128"/>
        <v>0</v>
      </c>
      <c r="IHH479" s="2204">
        <f>[16]BV!IHS395</f>
        <v>0</v>
      </c>
      <c r="IHI479" s="2204"/>
      <c r="IHJ479" s="2204"/>
      <c r="IHK479" s="2204">
        <f t="shared" si="128"/>
        <v>0</v>
      </c>
      <c r="IHL479" s="2204">
        <f>[16]BV!IHW395</f>
        <v>0</v>
      </c>
      <c r="IHM479" s="2204"/>
      <c r="IHN479" s="2204"/>
      <c r="IHO479" s="2204">
        <f t="shared" si="128"/>
        <v>0</v>
      </c>
      <c r="IHP479" s="2204">
        <f>[16]BV!IIA395</f>
        <v>0</v>
      </c>
      <c r="IHQ479" s="2204"/>
      <c r="IHR479" s="2204"/>
      <c r="IHS479" s="2204">
        <f t="shared" si="128"/>
        <v>0</v>
      </c>
      <c r="IHT479" s="2204">
        <f>[16]BV!IIE395</f>
        <v>0</v>
      </c>
      <c r="IHU479" s="2204"/>
      <c r="IHV479" s="2204"/>
      <c r="IHW479" s="2204">
        <f t="shared" si="128"/>
        <v>0</v>
      </c>
      <c r="IHX479" s="2204">
        <f>[16]BV!III395</f>
        <v>0</v>
      </c>
      <c r="IHY479" s="2204"/>
      <c r="IHZ479" s="2204"/>
      <c r="IIA479" s="2204">
        <f t="shared" si="128"/>
        <v>0</v>
      </c>
      <c r="IIB479" s="2204">
        <f>[16]BV!IIM395</f>
        <v>0</v>
      </c>
      <c r="IIC479" s="2204"/>
      <c r="IID479" s="2204"/>
      <c r="IIE479" s="2204">
        <f t="shared" si="128"/>
        <v>0</v>
      </c>
      <c r="IIF479" s="2204">
        <f>[16]BV!IIQ395</f>
        <v>0</v>
      </c>
      <c r="IIG479" s="2204"/>
      <c r="IIH479" s="2204"/>
      <c r="III479" s="2204">
        <f t="shared" si="128"/>
        <v>0</v>
      </c>
      <c r="IIJ479" s="2204">
        <f>[16]BV!IIU395</f>
        <v>0</v>
      </c>
      <c r="IIK479" s="2204"/>
      <c r="IIL479" s="2204"/>
      <c r="IIM479" s="2204">
        <f t="shared" si="128"/>
        <v>0</v>
      </c>
      <c r="IIN479" s="2204">
        <f>[16]BV!IIY395</f>
        <v>0</v>
      </c>
      <c r="IIO479" s="2204"/>
      <c r="IIP479" s="2204"/>
      <c r="IIQ479" s="2204">
        <f t="shared" si="128"/>
        <v>0</v>
      </c>
      <c r="IIR479" s="2204">
        <f>[16]BV!IJC395</f>
        <v>0</v>
      </c>
      <c r="IIS479" s="2204"/>
      <c r="IIT479" s="2204"/>
      <c r="IIU479" s="2204">
        <f t="shared" ref="IIU479:ILC479" si="129">IIR479</f>
        <v>0</v>
      </c>
      <c r="IIV479" s="2204">
        <f>[16]BV!IJG395</f>
        <v>0</v>
      </c>
      <c r="IIW479" s="2204"/>
      <c r="IIX479" s="2204"/>
      <c r="IIY479" s="2204">
        <f t="shared" si="129"/>
        <v>0</v>
      </c>
      <c r="IIZ479" s="2204">
        <f>[16]BV!IJK395</f>
        <v>0</v>
      </c>
      <c r="IJA479" s="2204"/>
      <c r="IJB479" s="2204"/>
      <c r="IJC479" s="2204">
        <f t="shared" si="129"/>
        <v>0</v>
      </c>
      <c r="IJD479" s="2204">
        <f>[16]BV!IJO395</f>
        <v>0</v>
      </c>
      <c r="IJE479" s="2204"/>
      <c r="IJF479" s="2204"/>
      <c r="IJG479" s="2204">
        <f t="shared" si="129"/>
        <v>0</v>
      </c>
      <c r="IJH479" s="2204">
        <f>[16]BV!IJS395</f>
        <v>0</v>
      </c>
      <c r="IJI479" s="2204"/>
      <c r="IJJ479" s="2204"/>
      <c r="IJK479" s="2204">
        <f t="shared" si="129"/>
        <v>0</v>
      </c>
      <c r="IJL479" s="2204">
        <f>[16]BV!IJW395</f>
        <v>0</v>
      </c>
      <c r="IJM479" s="2204"/>
      <c r="IJN479" s="2204"/>
      <c r="IJO479" s="2204">
        <f t="shared" si="129"/>
        <v>0</v>
      </c>
      <c r="IJP479" s="2204">
        <f>[16]BV!IKA395</f>
        <v>0</v>
      </c>
      <c r="IJQ479" s="2204"/>
      <c r="IJR479" s="2204"/>
      <c r="IJS479" s="2204">
        <f t="shared" si="129"/>
        <v>0</v>
      </c>
      <c r="IJT479" s="2204">
        <f>[16]BV!IKE395</f>
        <v>0</v>
      </c>
      <c r="IJU479" s="2204"/>
      <c r="IJV479" s="2204"/>
      <c r="IJW479" s="2204">
        <f t="shared" si="129"/>
        <v>0</v>
      </c>
      <c r="IJX479" s="2204">
        <f>[16]BV!IKI395</f>
        <v>0</v>
      </c>
      <c r="IJY479" s="2204"/>
      <c r="IJZ479" s="2204"/>
      <c r="IKA479" s="2204">
        <f t="shared" si="129"/>
        <v>0</v>
      </c>
      <c r="IKB479" s="2204">
        <f>[16]BV!IKM395</f>
        <v>0</v>
      </c>
      <c r="IKC479" s="2204"/>
      <c r="IKD479" s="2204"/>
      <c r="IKE479" s="2204">
        <f t="shared" si="129"/>
        <v>0</v>
      </c>
      <c r="IKF479" s="2204">
        <f>[16]BV!IKQ395</f>
        <v>0</v>
      </c>
      <c r="IKG479" s="2204"/>
      <c r="IKH479" s="2204"/>
      <c r="IKI479" s="2204">
        <f t="shared" si="129"/>
        <v>0</v>
      </c>
      <c r="IKJ479" s="2204">
        <f>[16]BV!IKU395</f>
        <v>0</v>
      </c>
      <c r="IKK479" s="2204"/>
      <c r="IKL479" s="2204"/>
      <c r="IKM479" s="2204">
        <f t="shared" si="129"/>
        <v>0</v>
      </c>
      <c r="IKN479" s="2204">
        <f>[16]BV!IKY395</f>
        <v>0</v>
      </c>
      <c r="IKO479" s="2204"/>
      <c r="IKP479" s="2204"/>
      <c r="IKQ479" s="2204">
        <f t="shared" si="129"/>
        <v>0</v>
      </c>
      <c r="IKR479" s="2204">
        <f>[16]BV!ILC395</f>
        <v>0</v>
      </c>
      <c r="IKS479" s="2204"/>
      <c r="IKT479" s="2204"/>
      <c r="IKU479" s="2204">
        <f t="shared" si="129"/>
        <v>0</v>
      </c>
      <c r="IKV479" s="2204">
        <f>[16]BV!ILG395</f>
        <v>0</v>
      </c>
      <c r="IKW479" s="2204"/>
      <c r="IKX479" s="2204"/>
      <c r="IKY479" s="2204">
        <f t="shared" si="129"/>
        <v>0</v>
      </c>
      <c r="IKZ479" s="2204">
        <f>[16]BV!ILK395</f>
        <v>0</v>
      </c>
      <c r="ILA479" s="2204"/>
      <c r="ILB479" s="2204"/>
      <c r="ILC479" s="2204">
        <f t="shared" si="129"/>
        <v>0</v>
      </c>
      <c r="ILD479" s="2204">
        <f>[16]BV!ILO395</f>
        <v>0</v>
      </c>
      <c r="ILE479" s="2204"/>
      <c r="ILF479" s="2204"/>
      <c r="ILG479" s="2204">
        <f t="shared" ref="ILG479:INO479" si="130">ILD479</f>
        <v>0</v>
      </c>
      <c r="ILH479" s="2204">
        <f>[16]BV!ILS395</f>
        <v>0</v>
      </c>
      <c r="ILI479" s="2204"/>
      <c r="ILJ479" s="2204"/>
      <c r="ILK479" s="2204">
        <f t="shared" si="130"/>
        <v>0</v>
      </c>
      <c r="ILL479" s="2204">
        <f>[16]BV!ILW395</f>
        <v>0</v>
      </c>
      <c r="ILM479" s="2204"/>
      <c r="ILN479" s="2204"/>
      <c r="ILO479" s="2204">
        <f t="shared" si="130"/>
        <v>0</v>
      </c>
      <c r="ILP479" s="2204">
        <f>[16]BV!IMA395</f>
        <v>0</v>
      </c>
      <c r="ILQ479" s="2204"/>
      <c r="ILR479" s="2204"/>
      <c r="ILS479" s="2204">
        <f t="shared" si="130"/>
        <v>0</v>
      </c>
      <c r="ILT479" s="2204">
        <f>[16]BV!IME395</f>
        <v>0</v>
      </c>
      <c r="ILU479" s="2204"/>
      <c r="ILV479" s="2204"/>
      <c r="ILW479" s="2204">
        <f t="shared" si="130"/>
        <v>0</v>
      </c>
      <c r="ILX479" s="2204">
        <f>[16]BV!IMI395</f>
        <v>0</v>
      </c>
      <c r="ILY479" s="2204"/>
      <c r="ILZ479" s="2204"/>
      <c r="IMA479" s="2204">
        <f t="shared" si="130"/>
        <v>0</v>
      </c>
      <c r="IMB479" s="2204">
        <f>[16]BV!IMM395</f>
        <v>0</v>
      </c>
      <c r="IMC479" s="2204"/>
      <c r="IMD479" s="2204"/>
      <c r="IME479" s="2204">
        <f t="shared" si="130"/>
        <v>0</v>
      </c>
      <c r="IMF479" s="2204">
        <f>[16]BV!IMQ395</f>
        <v>0</v>
      </c>
      <c r="IMG479" s="2204"/>
      <c r="IMH479" s="2204"/>
      <c r="IMI479" s="2204">
        <f t="shared" si="130"/>
        <v>0</v>
      </c>
      <c r="IMJ479" s="2204">
        <f>[16]BV!IMU395</f>
        <v>0</v>
      </c>
      <c r="IMK479" s="2204"/>
      <c r="IML479" s="2204"/>
      <c r="IMM479" s="2204">
        <f t="shared" si="130"/>
        <v>0</v>
      </c>
      <c r="IMN479" s="2204">
        <f>[16]BV!IMY395</f>
        <v>0</v>
      </c>
      <c r="IMO479" s="2204"/>
      <c r="IMP479" s="2204"/>
      <c r="IMQ479" s="2204">
        <f t="shared" si="130"/>
        <v>0</v>
      </c>
      <c r="IMR479" s="2204">
        <f>[16]BV!INC395</f>
        <v>0</v>
      </c>
      <c r="IMS479" s="2204"/>
      <c r="IMT479" s="2204"/>
      <c r="IMU479" s="2204">
        <f t="shared" si="130"/>
        <v>0</v>
      </c>
      <c r="IMV479" s="2204">
        <f>[16]BV!ING395</f>
        <v>0</v>
      </c>
      <c r="IMW479" s="2204"/>
      <c r="IMX479" s="2204"/>
      <c r="IMY479" s="2204">
        <f t="shared" si="130"/>
        <v>0</v>
      </c>
      <c r="IMZ479" s="2204">
        <f>[16]BV!INK395</f>
        <v>0</v>
      </c>
      <c r="INA479" s="2204"/>
      <c r="INB479" s="2204"/>
      <c r="INC479" s="2204">
        <f t="shared" si="130"/>
        <v>0</v>
      </c>
      <c r="IND479" s="2204">
        <f>[16]BV!INO395</f>
        <v>0</v>
      </c>
      <c r="INE479" s="2204"/>
      <c r="INF479" s="2204"/>
      <c r="ING479" s="2204">
        <f t="shared" si="130"/>
        <v>0</v>
      </c>
      <c r="INH479" s="2204">
        <f>[16]BV!INS395</f>
        <v>0</v>
      </c>
      <c r="INI479" s="2204"/>
      <c r="INJ479" s="2204"/>
      <c r="INK479" s="2204">
        <f t="shared" si="130"/>
        <v>0</v>
      </c>
      <c r="INL479" s="2204">
        <f>[16]BV!INW395</f>
        <v>0</v>
      </c>
      <c r="INM479" s="2204"/>
      <c r="INN479" s="2204"/>
      <c r="INO479" s="2204">
        <f t="shared" si="130"/>
        <v>0</v>
      </c>
      <c r="INP479" s="2204">
        <f>[16]BV!IOA395</f>
        <v>0</v>
      </c>
      <c r="INQ479" s="2204"/>
      <c r="INR479" s="2204"/>
      <c r="INS479" s="2204">
        <f t="shared" ref="INS479:IQA479" si="131">INP479</f>
        <v>0</v>
      </c>
      <c r="INT479" s="2204">
        <f>[16]BV!IOE395</f>
        <v>0</v>
      </c>
      <c r="INU479" s="2204"/>
      <c r="INV479" s="2204"/>
      <c r="INW479" s="2204">
        <f t="shared" si="131"/>
        <v>0</v>
      </c>
      <c r="INX479" s="2204">
        <f>[16]BV!IOI395</f>
        <v>0</v>
      </c>
      <c r="INY479" s="2204"/>
      <c r="INZ479" s="2204"/>
      <c r="IOA479" s="2204">
        <f t="shared" si="131"/>
        <v>0</v>
      </c>
      <c r="IOB479" s="2204">
        <f>[16]BV!IOM395</f>
        <v>0</v>
      </c>
      <c r="IOC479" s="2204"/>
      <c r="IOD479" s="2204"/>
      <c r="IOE479" s="2204">
        <f t="shared" si="131"/>
        <v>0</v>
      </c>
      <c r="IOF479" s="2204">
        <f>[16]BV!IOQ395</f>
        <v>0</v>
      </c>
      <c r="IOG479" s="2204"/>
      <c r="IOH479" s="2204"/>
      <c r="IOI479" s="2204">
        <f t="shared" si="131"/>
        <v>0</v>
      </c>
      <c r="IOJ479" s="2204">
        <f>[16]BV!IOU395</f>
        <v>0</v>
      </c>
      <c r="IOK479" s="2204"/>
      <c r="IOL479" s="2204"/>
      <c r="IOM479" s="2204">
        <f t="shared" si="131"/>
        <v>0</v>
      </c>
      <c r="ION479" s="2204">
        <f>[16]BV!IOY395</f>
        <v>0</v>
      </c>
      <c r="IOO479" s="2204"/>
      <c r="IOP479" s="2204"/>
      <c r="IOQ479" s="2204">
        <f t="shared" si="131"/>
        <v>0</v>
      </c>
      <c r="IOR479" s="2204">
        <f>[16]BV!IPC395</f>
        <v>0</v>
      </c>
      <c r="IOS479" s="2204"/>
      <c r="IOT479" s="2204"/>
      <c r="IOU479" s="2204">
        <f t="shared" si="131"/>
        <v>0</v>
      </c>
      <c r="IOV479" s="2204">
        <f>[16]BV!IPG395</f>
        <v>0</v>
      </c>
      <c r="IOW479" s="2204"/>
      <c r="IOX479" s="2204"/>
      <c r="IOY479" s="2204">
        <f t="shared" si="131"/>
        <v>0</v>
      </c>
      <c r="IOZ479" s="2204">
        <f>[16]BV!IPK395</f>
        <v>0</v>
      </c>
      <c r="IPA479" s="2204"/>
      <c r="IPB479" s="2204"/>
      <c r="IPC479" s="2204">
        <f t="shared" si="131"/>
        <v>0</v>
      </c>
      <c r="IPD479" s="2204">
        <f>[16]BV!IPO395</f>
        <v>0</v>
      </c>
      <c r="IPE479" s="2204"/>
      <c r="IPF479" s="2204"/>
      <c r="IPG479" s="2204">
        <f t="shared" si="131"/>
        <v>0</v>
      </c>
      <c r="IPH479" s="2204">
        <f>[16]BV!IPS395</f>
        <v>0</v>
      </c>
      <c r="IPI479" s="2204"/>
      <c r="IPJ479" s="2204"/>
      <c r="IPK479" s="2204">
        <f t="shared" si="131"/>
        <v>0</v>
      </c>
      <c r="IPL479" s="2204">
        <f>[16]BV!IPW395</f>
        <v>0</v>
      </c>
      <c r="IPM479" s="2204"/>
      <c r="IPN479" s="2204"/>
      <c r="IPO479" s="2204">
        <f t="shared" si="131"/>
        <v>0</v>
      </c>
      <c r="IPP479" s="2204">
        <f>[16]BV!IQA395</f>
        <v>0</v>
      </c>
      <c r="IPQ479" s="2204"/>
      <c r="IPR479" s="2204"/>
      <c r="IPS479" s="2204">
        <f t="shared" si="131"/>
        <v>0</v>
      </c>
      <c r="IPT479" s="2204">
        <f>[16]BV!IQE395</f>
        <v>0</v>
      </c>
      <c r="IPU479" s="2204"/>
      <c r="IPV479" s="2204"/>
      <c r="IPW479" s="2204">
        <f t="shared" si="131"/>
        <v>0</v>
      </c>
      <c r="IPX479" s="2204">
        <f>[16]BV!IQI395</f>
        <v>0</v>
      </c>
      <c r="IPY479" s="2204"/>
      <c r="IPZ479" s="2204"/>
      <c r="IQA479" s="2204">
        <f t="shared" si="131"/>
        <v>0</v>
      </c>
      <c r="IQB479" s="2204">
        <f>[16]BV!IQM395</f>
        <v>0</v>
      </c>
      <c r="IQC479" s="2204"/>
      <c r="IQD479" s="2204"/>
      <c r="IQE479" s="2204">
        <f t="shared" ref="IQE479:ISM479" si="132">IQB479</f>
        <v>0</v>
      </c>
      <c r="IQF479" s="2204">
        <f>[16]BV!IQQ395</f>
        <v>0</v>
      </c>
      <c r="IQG479" s="2204"/>
      <c r="IQH479" s="2204"/>
      <c r="IQI479" s="2204">
        <f t="shared" si="132"/>
        <v>0</v>
      </c>
      <c r="IQJ479" s="2204">
        <f>[16]BV!IQU395</f>
        <v>0</v>
      </c>
      <c r="IQK479" s="2204"/>
      <c r="IQL479" s="2204"/>
      <c r="IQM479" s="2204">
        <f t="shared" si="132"/>
        <v>0</v>
      </c>
      <c r="IQN479" s="2204">
        <f>[16]BV!IQY395</f>
        <v>0</v>
      </c>
      <c r="IQO479" s="2204"/>
      <c r="IQP479" s="2204"/>
      <c r="IQQ479" s="2204">
        <f t="shared" si="132"/>
        <v>0</v>
      </c>
      <c r="IQR479" s="2204">
        <f>[16]BV!IRC395</f>
        <v>0</v>
      </c>
      <c r="IQS479" s="2204"/>
      <c r="IQT479" s="2204"/>
      <c r="IQU479" s="2204">
        <f t="shared" si="132"/>
        <v>0</v>
      </c>
      <c r="IQV479" s="2204">
        <f>[16]BV!IRG395</f>
        <v>0</v>
      </c>
      <c r="IQW479" s="2204"/>
      <c r="IQX479" s="2204"/>
      <c r="IQY479" s="2204">
        <f t="shared" si="132"/>
        <v>0</v>
      </c>
      <c r="IQZ479" s="2204">
        <f>[16]BV!IRK395</f>
        <v>0</v>
      </c>
      <c r="IRA479" s="2204"/>
      <c r="IRB479" s="2204"/>
      <c r="IRC479" s="2204">
        <f t="shared" si="132"/>
        <v>0</v>
      </c>
      <c r="IRD479" s="2204">
        <f>[16]BV!IRO395</f>
        <v>0</v>
      </c>
      <c r="IRE479" s="2204"/>
      <c r="IRF479" s="2204"/>
      <c r="IRG479" s="2204">
        <f t="shared" si="132"/>
        <v>0</v>
      </c>
      <c r="IRH479" s="2204">
        <f>[16]BV!IRS395</f>
        <v>0</v>
      </c>
      <c r="IRI479" s="2204"/>
      <c r="IRJ479" s="2204"/>
      <c r="IRK479" s="2204">
        <f t="shared" si="132"/>
        <v>0</v>
      </c>
      <c r="IRL479" s="2204">
        <f>[16]BV!IRW395</f>
        <v>0</v>
      </c>
      <c r="IRM479" s="2204"/>
      <c r="IRN479" s="2204"/>
      <c r="IRO479" s="2204">
        <f t="shared" si="132"/>
        <v>0</v>
      </c>
      <c r="IRP479" s="2204">
        <f>[16]BV!ISA395</f>
        <v>0</v>
      </c>
      <c r="IRQ479" s="2204"/>
      <c r="IRR479" s="2204"/>
      <c r="IRS479" s="2204">
        <f t="shared" si="132"/>
        <v>0</v>
      </c>
      <c r="IRT479" s="2204">
        <f>[16]BV!ISE395</f>
        <v>0</v>
      </c>
      <c r="IRU479" s="2204"/>
      <c r="IRV479" s="2204"/>
      <c r="IRW479" s="2204">
        <f t="shared" si="132"/>
        <v>0</v>
      </c>
      <c r="IRX479" s="2204">
        <f>[16]BV!ISI395</f>
        <v>0</v>
      </c>
      <c r="IRY479" s="2204"/>
      <c r="IRZ479" s="2204"/>
      <c r="ISA479" s="2204">
        <f t="shared" si="132"/>
        <v>0</v>
      </c>
      <c r="ISB479" s="2204">
        <f>[16]BV!ISM395</f>
        <v>0</v>
      </c>
      <c r="ISC479" s="2204"/>
      <c r="ISD479" s="2204"/>
      <c r="ISE479" s="2204">
        <f t="shared" si="132"/>
        <v>0</v>
      </c>
      <c r="ISF479" s="2204">
        <f>[16]BV!ISQ395</f>
        <v>0</v>
      </c>
      <c r="ISG479" s="2204"/>
      <c r="ISH479" s="2204"/>
      <c r="ISI479" s="2204">
        <f t="shared" si="132"/>
        <v>0</v>
      </c>
      <c r="ISJ479" s="2204">
        <f>[16]BV!ISU395</f>
        <v>0</v>
      </c>
      <c r="ISK479" s="2204"/>
      <c r="ISL479" s="2204"/>
      <c r="ISM479" s="2204">
        <f t="shared" si="132"/>
        <v>0</v>
      </c>
      <c r="ISN479" s="2204">
        <f>[16]BV!ISY395</f>
        <v>0</v>
      </c>
      <c r="ISO479" s="2204"/>
      <c r="ISP479" s="2204"/>
      <c r="ISQ479" s="2204">
        <f t="shared" ref="ISQ479:IUY479" si="133">ISN479</f>
        <v>0</v>
      </c>
      <c r="ISR479" s="2204">
        <f>[16]BV!ITC395</f>
        <v>0</v>
      </c>
      <c r="ISS479" s="2204"/>
      <c r="IST479" s="2204"/>
      <c r="ISU479" s="2204">
        <f t="shared" si="133"/>
        <v>0</v>
      </c>
      <c r="ISV479" s="2204">
        <f>[16]BV!ITG395</f>
        <v>0</v>
      </c>
      <c r="ISW479" s="2204"/>
      <c r="ISX479" s="2204"/>
      <c r="ISY479" s="2204">
        <f t="shared" si="133"/>
        <v>0</v>
      </c>
      <c r="ISZ479" s="2204">
        <f>[16]BV!ITK395</f>
        <v>0</v>
      </c>
      <c r="ITA479" s="2204"/>
      <c r="ITB479" s="2204"/>
      <c r="ITC479" s="2204">
        <f t="shared" si="133"/>
        <v>0</v>
      </c>
      <c r="ITD479" s="2204">
        <f>[16]BV!ITO395</f>
        <v>0</v>
      </c>
      <c r="ITE479" s="2204"/>
      <c r="ITF479" s="2204"/>
      <c r="ITG479" s="2204">
        <f t="shared" si="133"/>
        <v>0</v>
      </c>
      <c r="ITH479" s="2204">
        <f>[16]BV!ITS395</f>
        <v>0</v>
      </c>
      <c r="ITI479" s="2204"/>
      <c r="ITJ479" s="2204"/>
      <c r="ITK479" s="2204">
        <f t="shared" si="133"/>
        <v>0</v>
      </c>
      <c r="ITL479" s="2204">
        <f>[16]BV!ITW395</f>
        <v>0</v>
      </c>
      <c r="ITM479" s="2204"/>
      <c r="ITN479" s="2204"/>
      <c r="ITO479" s="2204">
        <f t="shared" si="133"/>
        <v>0</v>
      </c>
      <c r="ITP479" s="2204">
        <f>[16]BV!IUA395</f>
        <v>0</v>
      </c>
      <c r="ITQ479" s="2204"/>
      <c r="ITR479" s="2204"/>
      <c r="ITS479" s="2204">
        <f t="shared" si="133"/>
        <v>0</v>
      </c>
      <c r="ITT479" s="2204">
        <f>[16]BV!IUE395</f>
        <v>0</v>
      </c>
      <c r="ITU479" s="2204"/>
      <c r="ITV479" s="2204"/>
      <c r="ITW479" s="2204">
        <f t="shared" si="133"/>
        <v>0</v>
      </c>
      <c r="ITX479" s="2204">
        <f>[16]BV!IUI395</f>
        <v>0</v>
      </c>
      <c r="ITY479" s="2204"/>
      <c r="ITZ479" s="2204"/>
      <c r="IUA479" s="2204">
        <f t="shared" si="133"/>
        <v>0</v>
      </c>
      <c r="IUB479" s="2204">
        <f>[16]BV!IUM395</f>
        <v>0</v>
      </c>
      <c r="IUC479" s="2204"/>
      <c r="IUD479" s="2204"/>
      <c r="IUE479" s="2204">
        <f t="shared" si="133"/>
        <v>0</v>
      </c>
      <c r="IUF479" s="2204">
        <f>[16]BV!IUQ395</f>
        <v>0</v>
      </c>
      <c r="IUG479" s="2204"/>
      <c r="IUH479" s="2204"/>
      <c r="IUI479" s="2204">
        <f t="shared" si="133"/>
        <v>0</v>
      </c>
      <c r="IUJ479" s="2204">
        <f>[16]BV!IUU395</f>
        <v>0</v>
      </c>
      <c r="IUK479" s="2204"/>
      <c r="IUL479" s="2204"/>
      <c r="IUM479" s="2204">
        <f t="shared" si="133"/>
        <v>0</v>
      </c>
      <c r="IUN479" s="2204">
        <f>[16]BV!IUY395</f>
        <v>0</v>
      </c>
      <c r="IUO479" s="2204"/>
      <c r="IUP479" s="2204"/>
      <c r="IUQ479" s="2204">
        <f t="shared" si="133"/>
        <v>0</v>
      </c>
      <c r="IUR479" s="2204">
        <f>[16]BV!IVC395</f>
        <v>0</v>
      </c>
      <c r="IUS479" s="2204"/>
      <c r="IUT479" s="2204"/>
      <c r="IUU479" s="2204">
        <f t="shared" si="133"/>
        <v>0</v>
      </c>
      <c r="IUV479" s="2204">
        <f>[16]BV!IVG395</f>
        <v>0</v>
      </c>
      <c r="IUW479" s="2204"/>
      <c r="IUX479" s="2204"/>
      <c r="IUY479" s="2204">
        <f t="shared" si="133"/>
        <v>0</v>
      </c>
      <c r="IUZ479" s="2204">
        <f>[16]BV!IVK395</f>
        <v>0</v>
      </c>
      <c r="IVA479" s="2204"/>
      <c r="IVB479" s="2204"/>
      <c r="IVC479" s="2204">
        <f t="shared" ref="IVC479:IXK479" si="134">IUZ479</f>
        <v>0</v>
      </c>
      <c r="IVD479" s="2204">
        <f>[16]BV!IVO395</f>
        <v>0</v>
      </c>
      <c r="IVE479" s="2204"/>
      <c r="IVF479" s="2204"/>
      <c r="IVG479" s="2204">
        <f t="shared" si="134"/>
        <v>0</v>
      </c>
      <c r="IVH479" s="2204">
        <f>[16]BV!IVS395</f>
        <v>0</v>
      </c>
      <c r="IVI479" s="2204"/>
      <c r="IVJ479" s="2204"/>
      <c r="IVK479" s="2204">
        <f t="shared" si="134"/>
        <v>0</v>
      </c>
      <c r="IVL479" s="2204">
        <f>[16]BV!IVW395</f>
        <v>0</v>
      </c>
      <c r="IVM479" s="2204"/>
      <c r="IVN479" s="2204"/>
      <c r="IVO479" s="2204">
        <f t="shared" si="134"/>
        <v>0</v>
      </c>
      <c r="IVP479" s="2204">
        <f>[16]BV!IWA395</f>
        <v>0</v>
      </c>
      <c r="IVQ479" s="2204"/>
      <c r="IVR479" s="2204"/>
      <c r="IVS479" s="2204">
        <f t="shared" si="134"/>
        <v>0</v>
      </c>
      <c r="IVT479" s="2204">
        <f>[16]BV!IWE395</f>
        <v>0</v>
      </c>
      <c r="IVU479" s="2204"/>
      <c r="IVV479" s="2204"/>
      <c r="IVW479" s="2204">
        <f t="shared" si="134"/>
        <v>0</v>
      </c>
      <c r="IVX479" s="2204">
        <f>[16]BV!IWI395</f>
        <v>0</v>
      </c>
      <c r="IVY479" s="2204"/>
      <c r="IVZ479" s="2204"/>
      <c r="IWA479" s="2204">
        <f t="shared" si="134"/>
        <v>0</v>
      </c>
      <c r="IWB479" s="2204">
        <f>[16]BV!IWM395</f>
        <v>0</v>
      </c>
      <c r="IWC479" s="2204"/>
      <c r="IWD479" s="2204"/>
      <c r="IWE479" s="2204">
        <f t="shared" si="134"/>
        <v>0</v>
      </c>
      <c r="IWF479" s="2204">
        <f>[16]BV!IWQ395</f>
        <v>0</v>
      </c>
      <c r="IWG479" s="2204"/>
      <c r="IWH479" s="2204"/>
      <c r="IWI479" s="2204">
        <f t="shared" si="134"/>
        <v>0</v>
      </c>
      <c r="IWJ479" s="2204">
        <f>[16]BV!IWU395</f>
        <v>0</v>
      </c>
      <c r="IWK479" s="2204"/>
      <c r="IWL479" s="2204"/>
      <c r="IWM479" s="2204">
        <f t="shared" si="134"/>
        <v>0</v>
      </c>
      <c r="IWN479" s="2204">
        <f>[16]BV!IWY395</f>
        <v>0</v>
      </c>
      <c r="IWO479" s="2204"/>
      <c r="IWP479" s="2204"/>
      <c r="IWQ479" s="2204">
        <f t="shared" si="134"/>
        <v>0</v>
      </c>
      <c r="IWR479" s="2204">
        <f>[16]BV!IXC395</f>
        <v>0</v>
      </c>
      <c r="IWS479" s="2204"/>
      <c r="IWT479" s="2204"/>
      <c r="IWU479" s="2204">
        <f t="shared" si="134"/>
        <v>0</v>
      </c>
      <c r="IWV479" s="2204">
        <f>[16]BV!IXG395</f>
        <v>0</v>
      </c>
      <c r="IWW479" s="2204"/>
      <c r="IWX479" s="2204"/>
      <c r="IWY479" s="2204">
        <f t="shared" si="134"/>
        <v>0</v>
      </c>
      <c r="IWZ479" s="2204">
        <f>[16]BV!IXK395</f>
        <v>0</v>
      </c>
      <c r="IXA479" s="2204"/>
      <c r="IXB479" s="2204"/>
      <c r="IXC479" s="2204">
        <f t="shared" si="134"/>
        <v>0</v>
      </c>
      <c r="IXD479" s="2204">
        <f>[16]BV!IXO395</f>
        <v>0</v>
      </c>
      <c r="IXE479" s="2204"/>
      <c r="IXF479" s="2204"/>
      <c r="IXG479" s="2204">
        <f t="shared" si="134"/>
        <v>0</v>
      </c>
      <c r="IXH479" s="2204">
        <f>[16]BV!IXS395</f>
        <v>0</v>
      </c>
      <c r="IXI479" s="2204"/>
      <c r="IXJ479" s="2204"/>
      <c r="IXK479" s="2204">
        <f t="shared" si="134"/>
        <v>0</v>
      </c>
      <c r="IXL479" s="2204">
        <f>[16]BV!IXW395</f>
        <v>0</v>
      </c>
      <c r="IXM479" s="2204"/>
      <c r="IXN479" s="2204"/>
      <c r="IXO479" s="2204">
        <f t="shared" ref="IXO479:IZW479" si="135">IXL479</f>
        <v>0</v>
      </c>
      <c r="IXP479" s="2204">
        <f>[16]BV!IYA395</f>
        <v>0</v>
      </c>
      <c r="IXQ479" s="2204"/>
      <c r="IXR479" s="2204"/>
      <c r="IXS479" s="2204">
        <f t="shared" si="135"/>
        <v>0</v>
      </c>
      <c r="IXT479" s="2204">
        <f>[16]BV!IYE395</f>
        <v>0</v>
      </c>
      <c r="IXU479" s="2204"/>
      <c r="IXV479" s="2204"/>
      <c r="IXW479" s="2204">
        <f t="shared" si="135"/>
        <v>0</v>
      </c>
      <c r="IXX479" s="2204">
        <f>[16]BV!IYI395</f>
        <v>0</v>
      </c>
      <c r="IXY479" s="2204"/>
      <c r="IXZ479" s="2204"/>
      <c r="IYA479" s="2204">
        <f t="shared" si="135"/>
        <v>0</v>
      </c>
      <c r="IYB479" s="2204">
        <f>[16]BV!IYM395</f>
        <v>0</v>
      </c>
      <c r="IYC479" s="2204"/>
      <c r="IYD479" s="2204"/>
      <c r="IYE479" s="2204">
        <f t="shared" si="135"/>
        <v>0</v>
      </c>
      <c r="IYF479" s="2204">
        <f>[16]BV!IYQ395</f>
        <v>0</v>
      </c>
      <c r="IYG479" s="2204"/>
      <c r="IYH479" s="2204"/>
      <c r="IYI479" s="2204">
        <f t="shared" si="135"/>
        <v>0</v>
      </c>
      <c r="IYJ479" s="2204">
        <f>[16]BV!IYU395</f>
        <v>0</v>
      </c>
      <c r="IYK479" s="2204"/>
      <c r="IYL479" s="2204"/>
      <c r="IYM479" s="2204">
        <f t="shared" si="135"/>
        <v>0</v>
      </c>
      <c r="IYN479" s="2204">
        <f>[16]BV!IYY395</f>
        <v>0</v>
      </c>
      <c r="IYO479" s="2204"/>
      <c r="IYP479" s="2204"/>
      <c r="IYQ479" s="2204">
        <f t="shared" si="135"/>
        <v>0</v>
      </c>
      <c r="IYR479" s="2204">
        <f>[16]BV!IZC395</f>
        <v>0</v>
      </c>
      <c r="IYS479" s="2204"/>
      <c r="IYT479" s="2204"/>
      <c r="IYU479" s="2204">
        <f t="shared" si="135"/>
        <v>0</v>
      </c>
      <c r="IYV479" s="2204">
        <f>[16]BV!IZG395</f>
        <v>0</v>
      </c>
      <c r="IYW479" s="2204"/>
      <c r="IYX479" s="2204"/>
      <c r="IYY479" s="2204">
        <f t="shared" si="135"/>
        <v>0</v>
      </c>
      <c r="IYZ479" s="2204">
        <f>[16]BV!IZK395</f>
        <v>0</v>
      </c>
      <c r="IZA479" s="2204"/>
      <c r="IZB479" s="2204"/>
      <c r="IZC479" s="2204">
        <f t="shared" si="135"/>
        <v>0</v>
      </c>
      <c r="IZD479" s="2204">
        <f>[16]BV!IZO395</f>
        <v>0</v>
      </c>
      <c r="IZE479" s="2204"/>
      <c r="IZF479" s="2204"/>
      <c r="IZG479" s="2204">
        <f t="shared" si="135"/>
        <v>0</v>
      </c>
      <c r="IZH479" s="2204">
        <f>[16]BV!IZS395</f>
        <v>0</v>
      </c>
      <c r="IZI479" s="2204"/>
      <c r="IZJ479" s="2204"/>
      <c r="IZK479" s="2204">
        <f t="shared" si="135"/>
        <v>0</v>
      </c>
      <c r="IZL479" s="2204">
        <f>[16]BV!IZW395</f>
        <v>0</v>
      </c>
      <c r="IZM479" s="2204"/>
      <c r="IZN479" s="2204"/>
      <c r="IZO479" s="2204">
        <f t="shared" si="135"/>
        <v>0</v>
      </c>
      <c r="IZP479" s="2204">
        <f>[16]BV!JAA395</f>
        <v>0</v>
      </c>
      <c r="IZQ479" s="2204"/>
      <c r="IZR479" s="2204"/>
      <c r="IZS479" s="2204">
        <f t="shared" si="135"/>
        <v>0</v>
      </c>
      <c r="IZT479" s="2204">
        <f>[16]BV!JAE395</f>
        <v>0</v>
      </c>
      <c r="IZU479" s="2204"/>
      <c r="IZV479" s="2204"/>
      <c r="IZW479" s="2204">
        <f t="shared" si="135"/>
        <v>0</v>
      </c>
      <c r="IZX479" s="2204">
        <f>[16]BV!JAI395</f>
        <v>0</v>
      </c>
      <c r="IZY479" s="2204"/>
      <c r="IZZ479" s="2204"/>
      <c r="JAA479" s="2204">
        <f t="shared" ref="JAA479:JCI479" si="136">IZX479</f>
        <v>0</v>
      </c>
      <c r="JAB479" s="2204">
        <f>[16]BV!JAM395</f>
        <v>0</v>
      </c>
      <c r="JAC479" s="2204"/>
      <c r="JAD479" s="2204"/>
      <c r="JAE479" s="2204">
        <f t="shared" si="136"/>
        <v>0</v>
      </c>
      <c r="JAF479" s="2204">
        <f>[16]BV!JAQ395</f>
        <v>0</v>
      </c>
      <c r="JAG479" s="2204"/>
      <c r="JAH479" s="2204"/>
      <c r="JAI479" s="2204">
        <f t="shared" si="136"/>
        <v>0</v>
      </c>
      <c r="JAJ479" s="2204">
        <f>[16]BV!JAU395</f>
        <v>0</v>
      </c>
      <c r="JAK479" s="2204"/>
      <c r="JAL479" s="2204"/>
      <c r="JAM479" s="2204">
        <f t="shared" si="136"/>
        <v>0</v>
      </c>
      <c r="JAN479" s="2204">
        <f>[16]BV!JAY395</f>
        <v>0</v>
      </c>
      <c r="JAO479" s="2204"/>
      <c r="JAP479" s="2204"/>
      <c r="JAQ479" s="2204">
        <f t="shared" si="136"/>
        <v>0</v>
      </c>
      <c r="JAR479" s="2204">
        <f>[16]BV!JBC395</f>
        <v>0</v>
      </c>
      <c r="JAS479" s="2204"/>
      <c r="JAT479" s="2204"/>
      <c r="JAU479" s="2204">
        <f t="shared" si="136"/>
        <v>0</v>
      </c>
      <c r="JAV479" s="2204">
        <f>[16]BV!JBG395</f>
        <v>0</v>
      </c>
      <c r="JAW479" s="2204"/>
      <c r="JAX479" s="2204"/>
      <c r="JAY479" s="2204">
        <f t="shared" si="136"/>
        <v>0</v>
      </c>
      <c r="JAZ479" s="2204">
        <f>[16]BV!JBK395</f>
        <v>0</v>
      </c>
      <c r="JBA479" s="2204"/>
      <c r="JBB479" s="2204"/>
      <c r="JBC479" s="2204">
        <f t="shared" si="136"/>
        <v>0</v>
      </c>
      <c r="JBD479" s="2204">
        <f>[16]BV!JBO395</f>
        <v>0</v>
      </c>
      <c r="JBE479" s="2204"/>
      <c r="JBF479" s="2204"/>
      <c r="JBG479" s="2204">
        <f t="shared" si="136"/>
        <v>0</v>
      </c>
      <c r="JBH479" s="2204">
        <f>[16]BV!JBS395</f>
        <v>0</v>
      </c>
      <c r="JBI479" s="2204"/>
      <c r="JBJ479" s="2204"/>
      <c r="JBK479" s="2204">
        <f t="shared" si="136"/>
        <v>0</v>
      </c>
      <c r="JBL479" s="2204">
        <f>[16]BV!JBW395</f>
        <v>0</v>
      </c>
      <c r="JBM479" s="2204"/>
      <c r="JBN479" s="2204"/>
      <c r="JBO479" s="2204">
        <f t="shared" si="136"/>
        <v>0</v>
      </c>
      <c r="JBP479" s="2204">
        <f>[16]BV!JCA395</f>
        <v>0</v>
      </c>
      <c r="JBQ479" s="2204"/>
      <c r="JBR479" s="2204"/>
      <c r="JBS479" s="2204">
        <f t="shared" si="136"/>
        <v>0</v>
      </c>
      <c r="JBT479" s="2204">
        <f>[16]BV!JCE395</f>
        <v>0</v>
      </c>
      <c r="JBU479" s="2204"/>
      <c r="JBV479" s="2204"/>
      <c r="JBW479" s="2204">
        <f t="shared" si="136"/>
        <v>0</v>
      </c>
      <c r="JBX479" s="2204">
        <f>[16]BV!JCI395</f>
        <v>0</v>
      </c>
      <c r="JBY479" s="2204"/>
      <c r="JBZ479" s="2204"/>
      <c r="JCA479" s="2204">
        <f t="shared" si="136"/>
        <v>0</v>
      </c>
      <c r="JCB479" s="2204">
        <f>[16]BV!JCM395</f>
        <v>0</v>
      </c>
      <c r="JCC479" s="2204"/>
      <c r="JCD479" s="2204"/>
      <c r="JCE479" s="2204">
        <f t="shared" si="136"/>
        <v>0</v>
      </c>
      <c r="JCF479" s="2204">
        <f>[16]BV!JCQ395</f>
        <v>0</v>
      </c>
      <c r="JCG479" s="2204"/>
      <c r="JCH479" s="2204"/>
      <c r="JCI479" s="2204">
        <f t="shared" si="136"/>
        <v>0</v>
      </c>
      <c r="JCJ479" s="2204">
        <f>[16]BV!JCU395</f>
        <v>0</v>
      </c>
      <c r="JCK479" s="2204"/>
      <c r="JCL479" s="2204"/>
      <c r="JCM479" s="2204">
        <f t="shared" ref="JCM479:JEU479" si="137">JCJ479</f>
        <v>0</v>
      </c>
      <c r="JCN479" s="2204">
        <f>[16]BV!JCY395</f>
        <v>0</v>
      </c>
      <c r="JCO479" s="2204"/>
      <c r="JCP479" s="2204"/>
      <c r="JCQ479" s="2204">
        <f t="shared" si="137"/>
        <v>0</v>
      </c>
      <c r="JCR479" s="2204">
        <f>[16]BV!JDC395</f>
        <v>0</v>
      </c>
      <c r="JCS479" s="2204"/>
      <c r="JCT479" s="2204"/>
      <c r="JCU479" s="2204">
        <f t="shared" si="137"/>
        <v>0</v>
      </c>
      <c r="JCV479" s="2204">
        <f>[16]BV!JDG395</f>
        <v>0</v>
      </c>
      <c r="JCW479" s="2204"/>
      <c r="JCX479" s="2204"/>
      <c r="JCY479" s="2204">
        <f t="shared" si="137"/>
        <v>0</v>
      </c>
      <c r="JCZ479" s="2204">
        <f>[16]BV!JDK395</f>
        <v>0</v>
      </c>
      <c r="JDA479" s="2204"/>
      <c r="JDB479" s="2204"/>
      <c r="JDC479" s="2204">
        <f t="shared" si="137"/>
        <v>0</v>
      </c>
      <c r="JDD479" s="2204">
        <f>[16]BV!JDO395</f>
        <v>0</v>
      </c>
      <c r="JDE479" s="2204"/>
      <c r="JDF479" s="2204"/>
      <c r="JDG479" s="2204">
        <f t="shared" si="137"/>
        <v>0</v>
      </c>
      <c r="JDH479" s="2204">
        <f>[16]BV!JDS395</f>
        <v>0</v>
      </c>
      <c r="JDI479" s="2204"/>
      <c r="JDJ479" s="2204"/>
      <c r="JDK479" s="2204">
        <f t="shared" si="137"/>
        <v>0</v>
      </c>
      <c r="JDL479" s="2204">
        <f>[16]BV!JDW395</f>
        <v>0</v>
      </c>
      <c r="JDM479" s="2204"/>
      <c r="JDN479" s="2204"/>
      <c r="JDO479" s="2204">
        <f t="shared" si="137"/>
        <v>0</v>
      </c>
      <c r="JDP479" s="2204">
        <f>[16]BV!JEA395</f>
        <v>0</v>
      </c>
      <c r="JDQ479" s="2204"/>
      <c r="JDR479" s="2204"/>
      <c r="JDS479" s="2204">
        <f t="shared" si="137"/>
        <v>0</v>
      </c>
      <c r="JDT479" s="2204">
        <f>[16]BV!JEE395</f>
        <v>0</v>
      </c>
      <c r="JDU479" s="2204"/>
      <c r="JDV479" s="2204"/>
      <c r="JDW479" s="2204">
        <f t="shared" si="137"/>
        <v>0</v>
      </c>
      <c r="JDX479" s="2204">
        <f>[16]BV!JEI395</f>
        <v>0</v>
      </c>
      <c r="JDY479" s="2204"/>
      <c r="JDZ479" s="2204"/>
      <c r="JEA479" s="2204">
        <f t="shared" si="137"/>
        <v>0</v>
      </c>
      <c r="JEB479" s="2204">
        <f>[16]BV!JEM395</f>
        <v>0</v>
      </c>
      <c r="JEC479" s="2204"/>
      <c r="JED479" s="2204"/>
      <c r="JEE479" s="2204">
        <f t="shared" si="137"/>
        <v>0</v>
      </c>
      <c r="JEF479" s="2204">
        <f>[16]BV!JEQ395</f>
        <v>0</v>
      </c>
      <c r="JEG479" s="2204"/>
      <c r="JEH479" s="2204"/>
      <c r="JEI479" s="2204">
        <f t="shared" si="137"/>
        <v>0</v>
      </c>
      <c r="JEJ479" s="2204">
        <f>[16]BV!JEU395</f>
        <v>0</v>
      </c>
      <c r="JEK479" s="2204"/>
      <c r="JEL479" s="2204"/>
      <c r="JEM479" s="2204">
        <f t="shared" si="137"/>
        <v>0</v>
      </c>
      <c r="JEN479" s="2204">
        <f>[16]BV!JEY395</f>
        <v>0</v>
      </c>
      <c r="JEO479" s="2204"/>
      <c r="JEP479" s="2204"/>
      <c r="JEQ479" s="2204">
        <f t="shared" si="137"/>
        <v>0</v>
      </c>
      <c r="JER479" s="2204">
        <f>[16]BV!JFC395</f>
        <v>0</v>
      </c>
      <c r="JES479" s="2204"/>
      <c r="JET479" s="2204"/>
      <c r="JEU479" s="2204">
        <f t="shared" si="137"/>
        <v>0</v>
      </c>
      <c r="JEV479" s="2204">
        <f>[16]BV!JFG395</f>
        <v>0</v>
      </c>
      <c r="JEW479" s="2204"/>
      <c r="JEX479" s="2204"/>
      <c r="JEY479" s="2204">
        <f t="shared" ref="JEY479:JHG479" si="138">JEV479</f>
        <v>0</v>
      </c>
      <c r="JEZ479" s="2204">
        <f>[16]BV!JFK395</f>
        <v>0</v>
      </c>
      <c r="JFA479" s="2204"/>
      <c r="JFB479" s="2204"/>
      <c r="JFC479" s="2204">
        <f t="shared" si="138"/>
        <v>0</v>
      </c>
      <c r="JFD479" s="2204">
        <f>[16]BV!JFO395</f>
        <v>0</v>
      </c>
      <c r="JFE479" s="2204"/>
      <c r="JFF479" s="2204"/>
      <c r="JFG479" s="2204">
        <f t="shared" si="138"/>
        <v>0</v>
      </c>
      <c r="JFH479" s="2204">
        <f>[16]BV!JFS395</f>
        <v>0</v>
      </c>
      <c r="JFI479" s="2204"/>
      <c r="JFJ479" s="2204"/>
      <c r="JFK479" s="2204">
        <f t="shared" si="138"/>
        <v>0</v>
      </c>
      <c r="JFL479" s="2204">
        <f>[16]BV!JFW395</f>
        <v>0</v>
      </c>
      <c r="JFM479" s="2204"/>
      <c r="JFN479" s="2204"/>
      <c r="JFO479" s="2204">
        <f t="shared" si="138"/>
        <v>0</v>
      </c>
      <c r="JFP479" s="2204">
        <f>[16]BV!JGA395</f>
        <v>0</v>
      </c>
      <c r="JFQ479" s="2204"/>
      <c r="JFR479" s="2204"/>
      <c r="JFS479" s="2204">
        <f t="shared" si="138"/>
        <v>0</v>
      </c>
      <c r="JFT479" s="2204">
        <f>[16]BV!JGE395</f>
        <v>0</v>
      </c>
      <c r="JFU479" s="2204"/>
      <c r="JFV479" s="2204"/>
      <c r="JFW479" s="2204">
        <f t="shared" si="138"/>
        <v>0</v>
      </c>
      <c r="JFX479" s="2204">
        <f>[16]BV!JGI395</f>
        <v>0</v>
      </c>
      <c r="JFY479" s="2204"/>
      <c r="JFZ479" s="2204"/>
      <c r="JGA479" s="2204">
        <f t="shared" si="138"/>
        <v>0</v>
      </c>
      <c r="JGB479" s="2204">
        <f>[16]BV!JGM395</f>
        <v>0</v>
      </c>
      <c r="JGC479" s="2204"/>
      <c r="JGD479" s="2204"/>
      <c r="JGE479" s="2204">
        <f t="shared" si="138"/>
        <v>0</v>
      </c>
      <c r="JGF479" s="2204">
        <f>[16]BV!JGQ395</f>
        <v>0</v>
      </c>
      <c r="JGG479" s="2204"/>
      <c r="JGH479" s="2204"/>
      <c r="JGI479" s="2204">
        <f t="shared" si="138"/>
        <v>0</v>
      </c>
      <c r="JGJ479" s="2204">
        <f>[16]BV!JGU395</f>
        <v>0</v>
      </c>
      <c r="JGK479" s="2204"/>
      <c r="JGL479" s="2204"/>
      <c r="JGM479" s="2204">
        <f t="shared" si="138"/>
        <v>0</v>
      </c>
      <c r="JGN479" s="2204">
        <f>[16]BV!JGY395</f>
        <v>0</v>
      </c>
      <c r="JGO479" s="2204"/>
      <c r="JGP479" s="2204"/>
      <c r="JGQ479" s="2204">
        <f t="shared" si="138"/>
        <v>0</v>
      </c>
      <c r="JGR479" s="2204">
        <f>[16]BV!JHC395</f>
        <v>0</v>
      </c>
      <c r="JGS479" s="2204"/>
      <c r="JGT479" s="2204"/>
      <c r="JGU479" s="2204">
        <f t="shared" si="138"/>
        <v>0</v>
      </c>
      <c r="JGV479" s="2204">
        <f>[16]BV!JHG395</f>
        <v>0</v>
      </c>
      <c r="JGW479" s="2204"/>
      <c r="JGX479" s="2204"/>
      <c r="JGY479" s="2204">
        <f t="shared" si="138"/>
        <v>0</v>
      </c>
      <c r="JGZ479" s="2204">
        <f>[16]BV!JHK395</f>
        <v>0</v>
      </c>
      <c r="JHA479" s="2204"/>
      <c r="JHB479" s="2204"/>
      <c r="JHC479" s="2204">
        <f t="shared" si="138"/>
        <v>0</v>
      </c>
      <c r="JHD479" s="2204">
        <f>[16]BV!JHO395</f>
        <v>0</v>
      </c>
      <c r="JHE479" s="2204"/>
      <c r="JHF479" s="2204"/>
      <c r="JHG479" s="2204">
        <f t="shared" si="138"/>
        <v>0</v>
      </c>
      <c r="JHH479" s="2204">
        <f>[16]BV!JHS395</f>
        <v>0</v>
      </c>
      <c r="JHI479" s="2204"/>
      <c r="JHJ479" s="2204"/>
      <c r="JHK479" s="2204">
        <f t="shared" ref="JHK479:JJS479" si="139">JHH479</f>
        <v>0</v>
      </c>
      <c r="JHL479" s="2204">
        <f>[16]BV!JHW395</f>
        <v>0</v>
      </c>
      <c r="JHM479" s="2204"/>
      <c r="JHN479" s="2204"/>
      <c r="JHO479" s="2204">
        <f t="shared" si="139"/>
        <v>0</v>
      </c>
      <c r="JHP479" s="2204">
        <f>[16]BV!JIA395</f>
        <v>0</v>
      </c>
      <c r="JHQ479" s="2204"/>
      <c r="JHR479" s="2204"/>
      <c r="JHS479" s="2204">
        <f t="shared" si="139"/>
        <v>0</v>
      </c>
      <c r="JHT479" s="2204">
        <f>[16]BV!JIE395</f>
        <v>0</v>
      </c>
      <c r="JHU479" s="2204"/>
      <c r="JHV479" s="2204"/>
      <c r="JHW479" s="2204">
        <f t="shared" si="139"/>
        <v>0</v>
      </c>
      <c r="JHX479" s="2204">
        <f>[16]BV!JII395</f>
        <v>0</v>
      </c>
      <c r="JHY479" s="2204"/>
      <c r="JHZ479" s="2204"/>
      <c r="JIA479" s="2204">
        <f t="shared" si="139"/>
        <v>0</v>
      </c>
      <c r="JIB479" s="2204">
        <f>[16]BV!JIM395</f>
        <v>0</v>
      </c>
      <c r="JIC479" s="2204"/>
      <c r="JID479" s="2204"/>
      <c r="JIE479" s="2204">
        <f t="shared" si="139"/>
        <v>0</v>
      </c>
      <c r="JIF479" s="2204">
        <f>[16]BV!JIQ395</f>
        <v>0</v>
      </c>
      <c r="JIG479" s="2204"/>
      <c r="JIH479" s="2204"/>
      <c r="JII479" s="2204">
        <f t="shared" si="139"/>
        <v>0</v>
      </c>
      <c r="JIJ479" s="2204">
        <f>[16]BV!JIU395</f>
        <v>0</v>
      </c>
      <c r="JIK479" s="2204"/>
      <c r="JIL479" s="2204"/>
      <c r="JIM479" s="2204">
        <f t="shared" si="139"/>
        <v>0</v>
      </c>
      <c r="JIN479" s="2204">
        <f>[16]BV!JIY395</f>
        <v>0</v>
      </c>
      <c r="JIO479" s="2204"/>
      <c r="JIP479" s="2204"/>
      <c r="JIQ479" s="2204">
        <f t="shared" si="139"/>
        <v>0</v>
      </c>
      <c r="JIR479" s="2204">
        <f>[16]BV!JJC395</f>
        <v>0</v>
      </c>
      <c r="JIS479" s="2204"/>
      <c r="JIT479" s="2204"/>
      <c r="JIU479" s="2204">
        <f t="shared" si="139"/>
        <v>0</v>
      </c>
      <c r="JIV479" s="2204">
        <f>[16]BV!JJG395</f>
        <v>0</v>
      </c>
      <c r="JIW479" s="2204"/>
      <c r="JIX479" s="2204"/>
      <c r="JIY479" s="2204">
        <f t="shared" si="139"/>
        <v>0</v>
      </c>
      <c r="JIZ479" s="2204">
        <f>[16]BV!JJK395</f>
        <v>0</v>
      </c>
      <c r="JJA479" s="2204"/>
      <c r="JJB479" s="2204"/>
      <c r="JJC479" s="2204">
        <f t="shared" si="139"/>
        <v>0</v>
      </c>
      <c r="JJD479" s="2204">
        <f>[16]BV!JJO395</f>
        <v>0</v>
      </c>
      <c r="JJE479" s="2204"/>
      <c r="JJF479" s="2204"/>
      <c r="JJG479" s="2204">
        <f t="shared" si="139"/>
        <v>0</v>
      </c>
      <c r="JJH479" s="2204">
        <f>[16]BV!JJS395</f>
        <v>0</v>
      </c>
      <c r="JJI479" s="2204"/>
      <c r="JJJ479" s="2204"/>
      <c r="JJK479" s="2204">
        <f t="shared" si="139"/>
        <v>0</v>
      </c>
      <c r="JJL479" s="2204">
        <f>[16]BV!JJW395</f>
        <v>0</v>
      </c>
      <c r="JJM479" s="2204"/>
      <c r="JJN479" s="2204"/>
      <c r="JJO479" s="2204">
        <f t="shared" si="139"/>
        <v>0</v>
      </c>
      <c r="JJP479" s="2204">
        <f>[16]BV!JKA395</f>
        <v>0</v>
      </c>
      <c r="JJQ479" s="2204"/>
      <c r="JJR479" s="2204"/>
      <c r="JJS479" s="2204">
        <f t="shared" si="139"/>
        <v>0</v>
      </c>
      <c r="JJT479" s="2204">
        <f>[16]BV!JKE395</f>
        <v>0</v>
      </c>
      <c r="JJU479" s="2204"/>
      <c r="JJV479" s="2204"/>
      <c r="JJW479" s="2204">
        <f t="shared" ref="JJW479:JME479" si="140">JJT479</f>
        <v>0</v>
      </c>
      <c r="JJX479" s="2204">
        <f>[16]BV!JKI395</f>
        <v>0</v>
      </c>
      <c r="JJY479" s="2204"/>
      <c r="JJZ479" s="2204"/>
      <c r="JKA479" s="2204">
        <f t="shared" si="140"/>
        <v>0</v>
      </c>
      <c r="JKB479" s="2204">
        <f>[16]BV!JKM395</f>
        <v>0</v>
      </c>
      <c r="JKC479" s="2204"/>
      <c r="JKD479" s="2204"/>
      <c r="JKE479" s="2204">
        <f t="shared" si="140"/>
        <v>0</v>
      </c>
      <c r="JKF479" s="2204">
        <f>[16]BV!JKQ395</f>
        <v>0</v>
      </c>
      <c r="JKG479" s="2204"/>
      <c r="JKH479" s="2204"/>
      <c r="JKI479" s="2204">
        <f t="shared" si="140"/>
        <v>0</v>
      </c>
      <c r="JKJ479" s="2204">
        <f>[16]BV!JKU395</f>
        <v>0</v>
      </c>
      <c r="JKK479" s="2204"/>
      <c r="JKL479" s="2204"/>
      <c r="JKM479" s="2204">
        <f t="shared" si="140"/>
        <v>0</v>
      </c>
      <c r="JKN479" s="2204">
        <f>[16]BV!JKY395</f>
        <v>0</v>
      </c>
      <c r="JKO479" s="2204"/>
      <c r="JKP479" s="2204"/>
      <c r="JKQ479" s="2204">
        <f t="shared" si="140"/>
        <v>0</v>
      </c>
      <c r="JKR479" s="2204">
        <f>[16]BV!JLC395</f>
        <v>0</v>
      </c>
      <c r="JKS479" s="2204"/>
      <c r="JKT479" s="2204"/>
      <c r="JKU479" s="2204">
        <f t="shared" si="140"/>
        <v>0</v>
      </c>
      <c r="JKV479" s="2204">
        <f>[16]BV!JLG395</f>
        <v>0</v>
      </c>
      <c r="JKW479" s="2204"/>
      <c r="JKX479" s="2204"/>
      <c r="JKY479" s="2204">
        <f t="shared" si="140"/>
        <v>0</v>
      </c>
      <c r="JKZ479" s="2204">
        <f>[16]BV!JLK395</f>
        <v>0</v>
      </c>
      <c r="JLA479" s="2204"/>
      <c r="JLB479" s="2204"/>
      <c r="JLC479" s="2204">
        <f t="shared" si="140"/>
        <v>0</v>
      </c>
      <c r="JLD479" s="2204">
        <f>[16]BV!JLO395</f>
        <v>0</v>
      </c>
      <c r="JLE479" s="2204"/>
      <c r="JLF479" s="2204"/>
      <c r="JLG479" s="2204">
        <f t="shared" si="140"/>
        <v>0</v>
      </c>
      <c r="JLH479" s="2204">
        <f>[16]BV!JLS395</f>
        <v>0</v>
      </c>
      <c r="JLI479" s="2204"/>
      <c r="JLJ479" s="2204"/>
      <c r="JLK479" s="2204">
        <f t="shared" si="140"/>
        <v>0</v>
      </c>
      <c r="JLL479" s="2204">
        <f>[16]BV!JLW395</f>
        <v>0</v>
      </c>
      <c r="JLM479" s="2204"/>
      <c r="JLN479" s="2204"/>
      <c r="JLO479" s="2204">
        <f t="shared" si="140"/>
        <v>0</v>
      </c>
      <c r="JLP479" s="2204">
        <f>[16]BV!JMA395</f>
        <v>0</v>
      </c>
      <c r="JLQ479" s="2204"/>
      <c r="JLR479" s="2204"/>
      <c r="JLS479" s="2204">
        <f t="shared" si="140"/>
        <v>0</v>
      </c>
      <c r="JLT479" s="2204">
        <f>[16]BV!JME395</f>
        <v>0</v>
      </c>
      <c r="JLU479" s="2204"/>
      <c r="JLV479" s="2204"/>
      <c r="JLW479" s="2204">
        <f t="shared" si="140"/>
        <v>0</v>
      </c>
      <c r="JLX479" s="2204">
        <f>[16]BV!JMI395</f>
        <v>0</v>
      </c>
      <c r="JLY479" s="2204"/>
      <c r="JLZ479" s="2204"/>
      <c r="JMA479" s="2204">
        <f t="shared" si="140"/>
        <v>0</v>
      </c>
      <c r="JMB479" s="2204">
        <f>[16]BV!JMM395</f>
        <v>0</v>
      </c>
      <c r="JMC479" s="2204"/>
      <c r="JMD479" s="2204"/>
      <c r="JME479" s="2204">
        <f t="shared" si="140"/>
        <v>0</v>
      </c>
      <c r="JMF479" s="2204">
        <f>[16]BV!JMQ395</f>
        <v>0</v>
      </c>
      <c r="JMG479" s="2204"/>
      <c r="JMH479" s="2204"/>
      <c r="JMI479" s="2204">
        <f t="shared" ref="JMI479:JOQ479" si="141">JMF479</f>
        <v>0</v>
      </c>
      <c r="JMJ479" s="2204">
        <f>[16]BV!JMU395</f>
        <v>0</v>
      </c>
      <c r="JMK479" s="2204"/>
      <c r="JML479" s="2204"/>
      <c r="JMM479" s="2204">
        <f t="shared" si="141"/>
        <v>0</v>
      </c>
      <c r="JMN479" s="2204">
        <f>[16]BV!JMY395</f>
        <v>0</v>
      </c>
      <c r="JMO479" s="2204"/>
      <c r="JMP479" s="2204"/>
      <c r="JMQ479" s="2204">
        <f t="shared" si="141"/>
        <v>0</v>
      </c>
      <c r="JMR479" s="2204">
        <f>[16]BV!JNC395</f>
        <v>0</v>
      </c>
      <c r="JMS479" s="2204"/>
      <c r="JMT479" s="2204"/>
      <c r="JMU479" s="2204">
        <f t="shared" si="141"/>
        <v>0</v>
      </c>
      <c r="JMV479" s="2204">
        <f>[16]BV!JNG395</f>
        <v>0</v>
      </c>
      <c r="JMW479" s="2204"/>
      <c r="JMX479" s="2204"/>
      <c r="JMY479" s="2204">
        <f t="shared" si="141"/>
        <v>0</v>
      </c>
      <c r="JMZ479" s="2204">
        <f>[16]BV!JNK395</f>
        <v>0</v>
      </c>
      <c r="JNA479" s="2204"/>
      <c r="JNB479" s="2204"/>
      <c r="JNC479" s="2204">
        <f t="shared" si="141"/>
        <v>0</v>
      </c>
      <c r="JND479" s="2204">
        <f>[16]BV!JNO395</f>
        <v>0</v>
      </c>
      <c r="JNE479" s="2204"/>
      <c r="JNF479" s="2204"/>
      <c r="JNG479" s="2204">
        <f t="shared" si="141"/>
        <v>0</v>
      </c>
      <c r="JNH479" s="2204">
        <f>[16]BV!JNS395</f>
        <v>0</v>
      </c>
      <c r="JNI479" s="2204"/>
      <c r="JNJ479" s="2204"/>
      <c r="JNK479" s="2204">
        <f t="shared" si="141"/>
        <v>0</v>
      </c>
      <c r="JNL479" s="2204">
        <f>[16]BV!JNW395</f>
        <v>0</v>
      </c>
      <c r="JNM479" s="2204"/>
      <c r="JNN479" s="2204"/>
      <c r="JNO479" s="2204">
        <f t="shared" si="141"/>
        <v>0</v>
      </c>
      <c r="JNP479" s="2204">
        <f>[16]BV!JOA395</f>
        <v>0</v>
      </c>
      <c r="JNQ479" s="2204"/>
      <c r="JNR479" s="2204"/>
      <c r="JNS479" s="2204">
        <f t="shared" si="141"/>
        <v>0</v>
      </c>
      <c r="JNT479" s="2204">
        <f>[16]BV!JOE395</f>
        <v>0</v>
      </c>
      <c r="JNU479" s="2204"/>
      <c r="JNV479" s="2204"/>
      <c r="JNW479" s="2204">
        <f t="shared" si="141"/>
        <v>0</v>
      </c>
      <c r="JNX479" s="2204">
        <f>[16]BV!JOI395</f>
        <v>0</v>
      </c>
      <c r="JNY479" s="2204"/>
      <c r="JNZ479" s="2204"/>
      <c r="JOA479" s="2204">
        <f t="shared" si="141"/>
        <v>0</v>
      </c>
      <c r="JOB479" s="2204">
        <f>[16]BV!JOM395</f>
        <v>0</v>
      </c>
      <c r="JOC479" s="2204"/>
      <c r="JOD479" s="2204"/>
      <c r="JOE479" s="2204">
        <f t="shared" si="141"/>
        <v>0</v>
      </c>
      <c r="JOF479" s="2204">
        <f>[16]BV!JOQ395</f>
        <v>0</v>
      </c>
      <c r="JOG479" s="2204"/>
      <c r="JOH479" s="2204"/>
      <c r="JOI479" s="2204">
        <f t="shared" si="141"/>
        <v>0</v>
      </c>
      <c r="JOJ479" s="2204">
        <f>[16]BV!JOU395</f>
        <v>0</v>
      </c>
      <c r="JOK479" s="2204"/>
      <c r="JOL479" s="2204"/>
      <c r="JOM479" s="2204">
        <f t="shared" si="141"/>
        <v>0</v>
      </c>
      <c r="JON479" s="2204">
        <f>[16]BV!JOY395</f>
        <v>0</v>
      </c>
      <c r="JOO479" s="2204"/>
      <c r="JOP479" s="2204"/>
      <c r="JOQ479" s="2204">
        <f t="shared" si="141"/>
        <v>0</v>
      </c>
      <c r="JOR479" s="2204">
        <f>[16]BV!JPC395</f>
        <v>0</v>
      </c>
      <c r="JOS479" s="2204"/>
      <c r="JOT479" s="2204"/>
      <c r="JOU479" s="2204">
        <f t="shared" ref="JOU479:JRC479" si="142">JOR479</f>
        <v>0</v>
      </c>
      <c r="JOV479" s="2204">
        <f>[16]BV!JPG395</f>
        <v>0</v>
      </c>
      <c r="JOW479" s="2204"/>
      <c r="JOX479" s="2204"/>
      <c r="JOY479" s="2204">
        <f t="shared" si="142"/>
        <v>0</v>
      </c>
      <c r="JOZ479" s="2204">
        <f>[16]BV!JPK395</f>
        <v>0</v>
      </c>
      <c r="JPA479" s="2204"/>
      <c r="JPB479" s="2204"/>
      <c r="JPC479" s="2204">
        <f t="shared" si="142"/>
        <v>0</v>
      </c>
      <c r="JPD479" s="2204">
        <f>[16]BV!JPO395</f>
        <v>0</v>
      </c>
      <c r="JPE479" s="2204"/>
      <c r="JPF479" s="2204"/>
      <c r="JPG479" s="2204">
        <f t="shared" si="142"/>
        <v>0</v>
      </c>
      <c r="JPH479" s="2204">
        <f>[16]BV!JPS395</f>
        <v>0</v>
      </c>
      <c r="JPI479" s="2204"/>
      <c r="JPJ479" s="2204"/>
      <c r="JPK479" s="2204">
        <f t="shared" si="142"/>
        <v>0</v>
      </c>
      <c r="JPL479" s="2204">
        <f>[16]BV!JPW395</f>
        <v>0</v>
      </c>
      <c r="JPM479" s="2204"/>
      <c r="JPN479" s="2204"/>
      <c r="JPO479" s="2204">
        <f t="shared" si="142"/>
        <v>0</v>
      </c>
      <c r="JPP479" s="2204">
        <f>[16]BV!JQA395</f>
        <v>0</v>
      </c>
      <c r="JPQ479" s="2204"/>
      <c r="JPR479" s="2204"/>
      <c r="JPS479" s="2204">
        <f t="shared" si="142"/>
        <v>0</v>
      </c>
      <c r="JPT479" s="2204">
        <f>[16]BV!JQE395</f>
        <v>0</v>
      </c>
      <c r="JPU479" s="2204"/>
      <c r="JPV479" s="2204"/>
      <c r="JPW479" s="2204">
        <f t="shared" si="142"/>
        <v>0</v>
      </c>
      <c r="JPX479" s="2204">
        <f>[16]BV!JQI395</f>
        <v>0</v>
      </c>
      <c r="JPY479" s="2204"/>
      <c r="JPZ479" s="2204"/>
      <c r="JQA479" s="2204">
        <f t="shared" si="142"/>
        <v>0</v>
      </c>
      <c r="JQB479" s="2204">
        <f>[16]BV!JQM395</f>
        <v>0</v>
      </c>
      <c r="JQC479" s="2204"/>
      <c r="JQD479" s="2204"/>
      <c r="JQE479" s="2204">
        <f t="shared" si="142"/>
        <v>0</v>
      </c>
      <c r="JQF479" s="2204">
        <f>[16]BV!JQQ395</f>
        <v>0</v>
      </c>
      <c r="JQG479" s="2204"/>
      <c r="JQH479" s="2204"/>
      <c r="JQI479" s="2204">
        <f t="shared" si="142"/>
        <v>0</v>
      </c>
      <c r="JQJ479" s="2204">
        <f>[16]BV!JQU395</f>
        <v>0</v>
      </c>
      <c r="JQK479" s="2204"/>
      <c r="JQL479" s="2204"/>
      <c r="JQM479" s="2204">
        <f t="shared" si="142"/>
        <v>0</v>
      </c>
      <c r="JQN479" s="2204">
        <f>[16]BV!JQY395</f>
        <v>0</v>
      </c>
      <c r="JQO479" s="2204"/>
      <c r="JQP479" s="2204"/>
      <c r="JQQ479" s="2204">
        <f t="shared" si="142"/>
        <v>0</v>
      </c>
      <c r="JQR479" s="2204">
        <f>[16]BV!JRC395</f>
        <v>0</v>
      </c>
      <c r="JQS479" s="2204"/>
      <c r="JQT479" s="2204"/>
      <c r="JQU479" s="2204">
        <f t="shared" si="142"/>
        <v>0</v>
      </c>
      <c r="JQV479" s="2204">
        <f>[16]BV!JRG395</f>
        <v>0</v>
      </c>
      <c r="JQW479" s="2204"/>
      <c r="JQX479" s="2204"/>
      <c r="JQY479" s="2204">
        <f t="shared" si="142"/>
        <v>0</v>
      </c>
      <c r="JQZ479" s="2204">
        <f>[16]BV!JRK395</f>
        <v>0</v>
      </c>
      <c r="JRA479" s="2204"/>
      <c r="JRB479" s="2204"/>
      <c r="JRC479" s="2204">
        <f t="shared" si="142"/>
        <v>0</v>
      </c>
      <c r="JRD479" s="2204">
        <f>[16]BV!JRO395</f>
        <v>0</v>
      </c>
      <c r="JRE479" s="2204"/>
      <c r="JRF479" s="2204"/>
      <c r="JRG479" s="2204">
        <f t="shared" ref="JRG479:JTO479" si="143">JRD479</f>
        <v>0</v>
      </c>
      <c r="JRH479" s="2204">
        <f>[16]BV!JRS395</f>
        <v>0</v>
      </c>
      <c r="JRI479" s="2204"/>
      <c r="JRJ479" s="2204"/>
      <c r="JRK479" s="2204">
        <f t="shared" si="143"/>
        <v>0</v>
      </c>
      <c r="JRL479" s="2204">
        <f>[16]BV!JRW395</f>
        <v>0</v>
      </c>
      <c r="JRM479" s="2204"/>
      <c r="JRN479" s="2204"/>
      <c r="JRO479" s="2204">
        <f t="shared" si="143"/>
        <v>0</v>
      </c>
      <c r="JRP479" s="2204">
        <f>[16]BV!JSA395</f>
        <v>0</v>
      </c>
      <c r="JRQ479" s="2204"/>
      <c r="JRR479" s="2204"/>
      <c r="JRS479" s="2204">
        <f t="shared" si="143"/>
        <v>0</v>
      </c>
      <c r="JRT479" s="2204">
        <f>[16]BV!JSE395</f>
        <v>0</v>
      </c>
      <c r="JRU479" s="2204"/>
      <c r="JRV479" s="2204"/>
      <c r="JRW479" s="2204">
        <f t="shared" si="143"/>
        <v>0</v>
      </c>
      <c r="JRX479" s="2204">
        <f>[16]BV!JSI395</f>
        <v>0</v>
      </c>
      <c r="JRY479" s="2204"/>
      <c r="JRZ479" s="2204"/>
      <c r="JSA479" s="2204">
        <f t="shared" si="143"/>
        <v>0</v>
      </c>
      <c r="JSB479" s="2204">
        <f>[16]BV!JSM395</f>
        <v>0</v>
      </c>
      <c r="JSC479" s="2204"/>
      <c r="JSD479" s="2204"/>
      <c r="JSE479" s="2204">
        <f t="shared" si="143"/>
        <v>0</v>
      </c>
      <c r="JSF479" s="2204">
        <f>[16]BV!JSQ395</f>
        <v>0</v>
      </c>
      <c r="JSG479" s="2204"/>
      <c r="JSH479" s="2204"/>
      <c r="JSI479" s="2204">
        <f t="shared" si="143"/>
        <v>0</v>
      </c>
      <c r="JSJ479" s="2204">
        <f>[16]BV!JSU395</f>
        <v>0</v>
      </c>
      <c r="JSK479" s="2204"/>
      <c r="JSL479" s="2204"/>
      <c r="JSM479" s="2204">
        <f t="shared" si="143"/>
        <v>0</v>
      </c>
      <c r="JSN479" s="2204">
        <f>[16]BV!JSY395</f>
        <v>0</v>
      </c>
      <c r="JSO479" s="2204"/>
      <c r="JSP479" s="2204"/>
      <c r="JSQ479" s="2204">
        <f t="shared" si="143"/>
        <v>0</v>
      </c>
      <c r="JSR479" s="2204">
        <f>[16]BV!JTC395</f>
        <v>0</v>
      </c>
      <c r="JSS479" s="2204"/>
      <c r="JST479" s="2204"/>
      <c r="JSU479" s="2204">
        <f t="shared" si="143"/>
        <v>0</v>
      </c>
      <c r="JSV479" s="2204">
        <f>[16]BV!JTG395</f>
        <v>0</v>
      </c>
      <c r="JSW479" s="2204"/>
      <c r="JSX479" s="2204"/>
      <c r="JSY479" s="2204">
        <f t="shared" si="143"/>
        <v>0</v>
      </c>
      <c r="JSZ479" s="2204">
        <f>[16]BV!JTK395</f>
        <v>0</v>
      </c>
      <c r="JTA479" s="2204"/>
      <c r="JTB479" s="2204"/>
      <c r="JTC479" s="2204">
        <f t="shared" si="143"/>
        <v>0</v>
      </c>
      <c r="JTD479" s="2204">
        <f>[16]BV!JTO395</f>
        <v>0</v>
      </c>
      <c r="JTE479" s="2204"/>
      <c r="JTF479" s="2204"/>
      <c r="JTG479" s="2204">
        <f t="shared" si="143"/>
        <v>0</v>
      </c>
      <c r="JTH479" s="2204">
        <f>[16]BV!JTS395</f>
        <v>0</v>
      </c>
      <c r="JTI479" s="2204"/>
      <c r="JTJ479" s="2204"/>
      <c r="JTK479" s="2204">
        <f t="shared" si="143"/>
        <v>0</v>
      </c>
      <c r="JTL479" s="2204">
        <f>[16]BV!JTW395</f>
        <v>0</v>
      </c>
      <c r="JTM479" s="2204"/>
      <c r="JTN479" s="2204"/>
      <c r="JTO479" s="2204">
        <f t="shared" si="143"/>
        <v>0</v>
      </c>
      <c r="JTP479" s="2204">
        <f>[16]BV!JUA395</f>
        <v>0</v>
      </c>
      <c r="JTQ479" s="2204"/>
      <c r="JTR479" s="2204"/>
      <c r="JTS479" s="2204">
        <f t="shared" ref="JTS479:JWA479" si="144">JTP479</f>
        <v>0</v>
      </c>
      <c r="JTT479" s="2204">
        <f>[16]BV!JUE395</f>
        <v>0</v>
      </c>
      <c r="JTU479" s="2204"/>
      <c r="JTV479" s="2204"/>
      <c r="JTW479" s="2204">
        <f t="shared" si="144"/>
        <v>0</v>
      </c>
      <c r="JTX479" s="2204">
        <f>[16]BV!JUI395</f>
        <v>0</v>
      </c>
      <c r="JTY479" s="2204"/>
      <c r="JTZ479" s="2204"/>
      <c r="JUA479" s="2204">
        <f t="shared" si="144"/>
        <v>0</v>
      </c>
      <c r="JUB479" s="2204">
        <f>[16]BV!JUM395</f>
        <v>0</v>
      </c>
      <c r="JUC479" s="2204"/>
      <c r="JUD479" s="2204"/>
      <c r="JUE479" s="2204">
        <f t="shared" si="144"/>
        <v>0</v>
      </c>
      <c r="JUF479" s="2204">
        <f>[16]BV!JUQ395</f>
        <v>0</v>
      </c>
      <c r="JUG479" s="2204"/>
      <c r="JUH479" s="2204"/>
      <c r="JUI479" s="2204">
        <f t="shared" si="144"/>
        <v>0</v>
      </c>
      <c r="JUJ479" s="2204">
        <f>[16]BV!JUU395</f>
        <v>0</v>
      </c>
      <c r="JUK479" s="2204"/>
      <c r="JUL479" s="2204"/>
      <c r="JUM479" s="2204">
        <f t="shared" si="144"/>
        <v>0</v>
      </c>
      <c r="JUN479" s="2204">
        <f>[16]BV!JUY395</f>
        <v>0</v>
      </c>
      <c r="JUO479" s="2204"/>
      <c r="JUP479" s="2204"/>
      <c r="JUQ479" s="2204">
        <f t="shared" si="144"/>
        <v>0</v>
      </c>
      <c r="JUR479" s="2204">
        <f>[16]BV!JVC395</f>
        <v>0</v>
      </c>
      <c r="JUS479" s="2204"/>
      <c r="JUT479" s="2204"/>
      <c r="JUU479" s="2204">
        <f t="shared" si="144"/>
        <v>0</v>
      </c>
      <c r="JUV479" s="2204">
        <f>[16]BV!JVG395</f>
        <v>0</v>
      </c>
      <c r="JUW479" s="2204"/>
      <c r="JUX479" s="2204"/>
      <c r="JUY479" s="2204">
        <f t="shared" si="144"/>
        <v>0</v>
      </c>
      <c r="JUZ479" s="2204">
        <f>[16]BV!JVK395</f>
        <v>0</v>
      </c>
      <c r="JVA479" s="2204"/>
      <c r="JVB479" s="2204"/>
      <c r="JVC479" s="2204">
        <f t="shared" si="144"/>
        <v>0</v>
      </c>
      <c r="JVD479" s="2204">
        <f>[16]BV!JVO395</f>
        <v>0</v>
      </c>
      <c r="JVE479" s="2204"/>
      <c r="JVF479" s="2204"/>
      <c r="JVG479" s="2204">
        <f t="shared" si="144"/>
        <v>0</v>
      </c>
      <c r="JVH479" s="2204">
        <f>[16]BV!JVS395</f>
        <v>0</v>
      </c>
      <c r="JVI479" s="2204"/>
      <c r="JVJ479" s="2204"/>
      <c r="JVK479" s="2204">
        <f t="shared" si="144"/>
        <v>0</v>
      </c>
      <c r="JVL479" s="2204">
        <f>[16]BV!JVW395</f>
        <v>0</v>
      </c>
      <c r="JVM479" s="2204"/>
      <c r="JVN479" s="2204"/>
      <c r="JVO479" s="2204">
        <f t="shared" si="144"/>
        <v>0</v>
      </c>
      <c r="JVP479" s="2204">
        <f>[16]BV!JWA395</f>
        <v>0</v>
      </c>
      <c r="JVQ479" s="2204"/>
      <c r="JVR479" s="2204"/>
      <c r="JVS479" s="2204">
        <f t="shared" si="144"/>
        <v>0</v>
      </c>
      <c r="JVT479" s="2204">
        <f>[16]BV!JWE395</f>
        <v>0</v>
      </c>
      <c r="JVU479" s="2204"/>
      <c r="JVV479" s="2204"/>
      <c r="JVW479" s="2204">
        <f t="shared" si="144"/>
        <v>0</v>
      </c>
      <c r="JVX479" s="2204">
        <f>[16]BV!JWI395</f>
        <v>0</v>
      </c>
      <c r="JVY479" s="2204"/>
      <c r="JVZ479" s="2204"/>
      <c r="JWA479" s="2204">
        <f t="shared" si="144"/>
        <v>0</v>
      </c>
      <c r="JWB479" s="2204">
        <f>[16]BV!JWM395</f>
        <v>0</v>
      </c>
      <c r="JWC479" s="2204"/>
      <c r="JWD479" s="2204"/>
      <c r="JWE479" s="2204">
        <f t="shared" ref="JWE479:JYM479" si="145">JWB479</f>
        <v>0</v>
      </c>
      <c r="JWF479" s="2204">
        <f>[16]BV!JWQ395</f>
        <v>0</v>
      </c>
      <c r="JWG479" s="2204"/>
      <c r="JWH479" s="2204"/>
      <c r="JWI479" s="2204">
        <f t="shared" si="145"/>
        <v>0</v>
      </c>
      <c r="JWJ479" s="2204">
        <f>[16]BV!JWU395</f>
        <v>0</v>
      </c>
      <c r="JWK479" s="2204"/>
      <c r="JWL479" s="2204"/>
      <c r="JWM479" s="2204">
        <f t="shared" si="145"/>
        <v>0</v>
      </c>
      <c r="JWN479" s="2204">
        <f>[16]BV!JWY395</f>
        <v>0</v>
      </c>
      <c r="JWO479" s="2204"/>
      <c r="JWP479" s="2204"/>
      <c r="JWQ479" s="2204">
        <f t="shared" si="145"/>
        <v>0</v>
      </c>
      <c r="JWR479" s="2204">
        <f>[16]BV!JXC395</f>
        <v>0</v>
      </c>
      <c r="JWS479" s="2204"/>
      <c r="JWT479" s="2204"/>
      <c r="JWU479" s="2204">
        <f t="shared" si="145"/>
        <v>0</v>
      </c>
      <c r="JWV479" s="2204">
        <f>[16]BV!JXG395</f>
        <v>0</v>
      </c>
      <c r="JWW479" s="2204"/>
      <c r="JWX479" s="2204"/>
      <c r="JWY479" s="2204">
        <f t="shared" si="145"/>
        <v>0</v>
      </c>
      <c r="JWZ479" s="2204">
        <f>[16]BV!JXK395</f>
        <v>0</v>
      </c>
      <c r="JXA479" s="2204"/>
      <c r="JXB479" s="2204"/>
      <c r="JXC479" s="2204">
        <f t="shared" si="145"/>
        <v>0</v>
      </c>
      <c r="JXD479" s="2204">
        <f>[16]BV!JXO395</f>
        <v>0</v>
      </c>
      <c r="JXE479" s="2204"/>
      <c r="JXF479" s="2204"/>
      <c r="JXG479" s="2204">
        <f t="shared" si="145"/>
        <v>0</v>
      </c>
      <c r="JXH479" s="2204">
        <f>[16]BV!JXS395</f>
        <v>0</v>
      </c>
      <c r="JXI479" s="2204"/>
      <c r="JXJ479" s="2204"/>
      <c r="JXK479" s="2204">
        <f t="shared" si="145"/>
        <v>0</v>
      </c>
      <c r="JXL479" s="2204">
        <f>[16]BV!JXW395</f>
        <v>0</v>
      </c>
      <c r="JXM479" s="2204"/>
      <c r="JXN479" s="2204"/>
      <c r="JXO479" s="2204">
        <f t="shared" si="145"/>
        <v>0</v>
      </c>
      <c r="JXP479" s="2204">
        <f>[16]BV!JYA395</f>
        <v>0</v>
      </c>
      <c r="JXQ479" s="2204"/>
      <c r="JXR479" s="2204"/>
      <c r="JXS479" s="2204">
        <f t="shared" si="145"/>
        <v>0</v>
      </c>
      <c r="JXT479" s="2204">
        <f>[16]BV!JYE395</f>
        <v>0</v>
      </c>
      <c r="JXU479" s="2204"/>
      <c r="JXV479" s="2204"/>
      <c r="JXW479" s="2204">
        <f t="shared" si="145"/>
        <v>0</v>
      </c>
      <c r="JXX479" s="2204">
        <f>[16]BV!JYI395</f>
        <v>0</v>
      </c>
      <c r="JXY479" s="2204"/>
      <c r="JXZ479" s="2204"/>
      <c r="JYA479" s="2204">
        <f t="shared" si="145"/>
        <v>0</v>
      </c>
      <c r="JYB479" s="2204">
        <f>[16]BV!JYM395</f>
        <v>0</v>
      </c>
      <c r="JYC479" s="2204"/>
      <c r="JYD479" s="2204"/>
      <c r="JYE479" s="2204">
        <f t="shared" si="145"/>
        <v>0</v>
      </c>
      <c r="JYF479" s="2204">
        <f>[16]BV!JYQ395</f>
        <v>0</v>
      </c>
      <c r="JYG479" s="2204"/>
      <c r="JYH479" s="2204"/>
      <c r="JYI479" s="2204">
        <f t="shared" si="145"/>
        <v>0</v>
      </c>
      <c r="JYJ479" s="2204">
        <f>[16]BV!JYU395</f>
        <v>0</v>
      </c>
      <c r="JYK479" s="2204"/>
      <c r="JYL479" s="2204"/>
      <c r="JYM479" s="2204">
        <f t="shared" si="145"/>
        <v>0</v>
      </c>
      <c r="JYN479" s="2204">
        <f>[16]BV!JYY395</f>
        <v>0</v>
      </c>
      <c r="JYO479" s="2204"/>
      <c r="JYP479" s="2204"/>
      <c r="JYQ479" s="2204">
        <f t="shared" ref="JYQ479:KAY479" si="146">JYN479</f>
        <v>0</v>
      </c>
      <c r="JYR479" s="2204">
        <f>[16]BV!JZC395</f>
        <v>0</v>
      </c>
      <c r="JYS479" s="2204"/>
      <c r="JYT479" s="2204"/>
      <c r="JYU479" s="2204">
        <f t="shared" si="146"/>
        <v>0</v>
      </c>
      <c r="JYV479" s="2204">
        <f>[16]BV!JZG395</f>
        <v>0</v>
      </c>
      <c r="JYW479" s="2204"/>
      <c r="JYX479" s="2204"/>
      <c r="JYY479" s="2204">
        <f t="shared" si="146"/>
        <v>0</v>
      </c>
      <c r="JYZ479" s="2204">
        <f>[16]BV!JZK395</f>
        <v>0</v>
      </c>
      <c r="JZA479" s="2204"/>
      <c r="JZB479" s="2204"/>
      <c r="JZC479" s="2204">
        <f t="shared" si="146"/>
        <v>0</v>
      </c>
      <c r="JZD479" s="2204">
        <f>[16]BV!JZO395</f>
        <v>0</v>
      </c>
      <c r="JZE479" s="2204"/>
      <c r="JZF479" s="2204"/>
      <c r="JZG479" s="2204">
        <f t="shared" si="146"/>
        <v>0</v>
      </c>
      <c r="JZH479" s="2204">
        <f>[16]BV!JZS395</f>
        <v>0</v>
      </c>
      <c r="JZI479" s="2204"/>
      <c r="JZJ479" s="2204"/>
      <c r="JZK479" s="2204">
        <f t="shared" si="146"/>
        <v>0</v>
      </c>
      <c r="JZL479" s="2204">
        <f>[16]BV!JZW395</f>
        <v>0</v>
      </c>
      <c r="JZM479" s="2204"/>
      <c r="JZN479" s="2204"/>
      <c r="JZO479" s="2204">
        <f t="shared" si="146"/>
        <v>0</v>
      </c>
      <c r="JZP479" s="2204">
        <f>[16]BV!KAA395</f>
        <v>0</v>
      </c>
      <c r="JZQ479" s="2204"/>
      <c r="JZR479" s="2204"/>
      <c r="JZS479" s="2204">
        <f t="shared" si="146"/>
        <v>0</v>
      </c>
      <c r="JZT479" s="2204">
        <f>[16]BV!KAE395</f>
        <v>0</v>
      </c>
      <c r="JZU479" s="2204"/>
      <c r="JZV479" s="2204"/>
      <c r="JZW479" s="2204">
        <f t="shared" si="146"/>
        <v>0</v>
      </c>
      <c r="JZX479" s="2204">
        <f>[16]BV!KAI395</f>
        <v>0</v>
      </c>
      <c r="JZY479" s="2204"/>
      <c r="JZZ479" s="2204"/>
      <c r="KAA479" s="2204">
        <f t="shared" si="146"/>
        <v>0</v>
      </c>
      <c r="KAB479" s="2204">
        <f>[16]BV!KAM395</f>
        <v>0</v>
      </c>
      <c r="KAC479" s="2204"/>
      <c r="KAD479" s="2204"/>
      <c r="KAE479" s="2204">
        <f t="shared" si="146"/>
        <v>0</v>
      </c>
      <c r="KAF479" s="2204">
        <f>[16]BV!KAQ395</f>
        <v>0</v>
      </c>
      <c r="KAG479" s="2204"/>
      <c r="KAH479" s="2204"/>
      <c r="KAI479" s="2204">
        <f t="shared" si="146"/>
        <v>0</v>
      </c>
      <c r="KAJ479" s="2204">
        <f>[16]BV!KAU395</f>
        <v>0</v>
      </c>
      <c r="KAK479" s="2204"/>
      <c r="KAL479" s="2204"/>
      <c r="KAM479" s="2204">
        <f t="shared" si="146"/>
        <v>0</v>
      </c>
      <c r="KAN479" s="2204">
        <f>[16]BV!KAY395</f>
        <v>0</v>
      </c>
      <c r="KAO479" s="2204"/>
      <c r="KAP479" s="2204"/>
      <c r="KAQ479" s="2204">
        <f t="shared" si="146"/>
        <v>0</v>
      </c>
      <c r="KAR479" s="2204">
        <f>[16]BV!KBC395</f>
        <v>0</v>
      </c>
      <c r="KAS479" s="2204"/>
      <c r="KAT479" s="2204"/>
      <c r="KAU479" s="2204">
        <f t="shared" si="146"/>
        <v>0</v>
      </c>
      <c r="KAV479" s="2204">
        <f>[16]BV!KBG395</f>
        <v>0</v>
      </c>
      <c r="KAW479" s="2204"/>
      <c r="KAX479" s="2204"/>
      <c r="KAY479" s="2204">
        <f t="shared" si="146"/>
        <v>0</v>
      </c>
      <c r="KAZ479" s="2204">
        <f>[16]BV!KBK395</f>
        <v>0</v>
      </c>
      <c r="KBA479" s="2204"/>
      <c r="KBB479" s="2204"/>
      <c r="KBC479" s="2204">
        <f t="shared" ref="KBC479:KDK479" si="147">KAZ479</f>
        <v>0</v>
      </c>
      <c r="KBD479" s="2204">
        <f>[16]BV!KBO395</f>
        <v>0</v>
      </c>
      <c r="KBE479" s="2204"/>
      <c r="KBF479" s="2204"/>
      <c r="KBG479" s="2204">
        <f t="shared" si="147"/>
        <v>0</v>
      </c>
      <c r="KBH479" s="2204">
        <f>[16]BV!KBS395</f>
        <v>0</v>
      </c>
      <c r="KBI479" s="2204"/>
      <c r="KBJ479" s="2204"/>
      <c r="KBK479" s="2204">
        <f t="shared" si="147"/>
        <v>0</v>
      </c>
      <c r="KBL479" s="2204">
        <f>[16]BV!KBW395</f>
        <v>0</v>
      </c>
      <c r="KBM479" s="2204"/>
      <c r="KBN479" s="2204"/>
      <c r="KBO479" s="2204">
        <f t="shared" si="147"/>
        <v>0</v>
      </c>
      <c r="KBP479" s="2204">
        <f>[16]BV!KCA395</f>
        <v>0</v>
      </c>
      <c r="KBQ479" s="2204"/>
      <c r="KBR479" s="2204"/>
      <c r="KBS479" s="2204">
        <f t="shared" si="147"/>
        <v>0</v>
      </c>
      <c r="KBT479" s="2204">
        <f>[16]BV!KCE395</f>
        <v>0</v>
      </c>
      <c r="KBU479" s="2204"/>
      <c r="KBV479" s="2204"/>
      <c r="KBW479" s="2204">
        <f t="shared" si="147"/>
        <v>0</v>
      </c>
      <c r="KBX479" s="2204">
        <f>[16]BV!KCI395</f>
        <v>0</v>
      </c>
      <c r="KBY479" s="2204"/>
      <c r="KBZ479" s="2204"/>
      <c r="KCA479" s="2204">
        <f t="shared" si="147"/>
        <v>0</v>
      </c>
      <c r="KCB479" s="2204">
        <f>[16]BV!KCM395</f>
        <v>0</v>
      </c>
      <c r="KCC479" s="2204"/>
      <c r="KCD479" s="2204"/>
      <c r="KCE479" s="2204">
        <f t="shared" si="147"/>
        <v>0</v>
      </c>
      <c r="KCF479" s="2204">
        <f>[16]BV!KCQ395</f>
        <v>0</v>
      </c>
      <c r="KCG479" s="2204"/>
      <c r="KCH479" s="2204"/>
      <c r="KCI479" s="2204">
        <f t="shared" si="147"/>
        <v>0</v>
      </c>
      <c r="KCJ479" s="2204">
        <f>[16]BV!KCU395</f>
        <v>0</v>
      </c>
      <c r="KCK479" s="2204"/>
      <c r="KCL479" s="2204"/>
      <c r="KCM479" s="2204">
        <f t="shared" si="147"/>
        <v>0</v>
      </c>
      <c r="KCN479" s="2204">
        <f>[16]BV!KCY395</f>
        <v>0</v>
      </c>
      <c r="KCO479" s="2204"/>
      <c r="KCP479" s="2204"/>
      <c r="KCQ479" s="2204">
        <f t="shared" si="147"/>
        <v>0</v>
      </c>
      <c r="KCR479" s="2204">
        <f>[16]BV!KDC395</f>
        <v>0</v>
      </c>
      <c r="KCS479" s="2204"/>
      <c r="KCT479" s="2204"/>
      <c r="KCU479" s="2204">
        <f t="shared" si="147"/>
        <v>0</v>
      </c>
      <c r="KCV479" s="2204">
        <f>[16]BV!KDG395</f>
        <v>0</v>
      </c>
      <c r="KCW479" s="2204"/>
      <c r="KCX479" s="2204"/>
      <c r="KCY479" s="2204">
        <f t="shared" si="147"/>
        <v>0</v>
      </c>
      <c r="KCZ479" s="2204">
        <f>[16]BV!KDK395</f>
        <v>0</v>
      </c>
      <c r="KDA479" s="2204"/>
      <c r="KDB479" s="2204"/>
      <c r="KDC479" s="2204">
        <f t="shared" si="147"/>
        <v>0</v>
      </c>
      <c r="KDD479" s="2204">
        <f>[16]BV!KDO395</f>
        <v>0</v>
      </c>
      <c r="KDE479" s="2204"/>
      <c r="KDF479" s="2204"/>
      <c r="KDG479" s="2204">
        <f t="shared" si="147"/>
        <v>0</v>
      </c>
      <c r="KDH479" s="2204">
        <f>[16]BV!KDS395</f>
        <v>0</v>
      </c>
      <c r="KDI479" s="2204"/>
      <c r="KDJ479" s="2204"/>
      <c r="KDK479" s="2204">
        <f t="shared" si="147"/>
        <v>0</v>
      </c>
      <c r="KDL479" s="2204">
        <f>[16]BV!KDW395</f>
        <v>0</v>
      </c>
      <c r="KDM479" s="2204"/>
      <c r="KDN479" s="2204"/>
      <c r="KDO479" s="2204">
        <f t="shared" ref="KDO479:KFW479" si="148">KDL479</f>
        <v>0</v>
      </c>
      <c r="KDP479" s="2204">
        <f>[16]BV!KEA395</f>
        <v>0</v>
      </c>
      <c r="KDQ479" s="2204"/>
      <c r="KDR479" s="2204"/>
      <c r="KDS479" s="2204">
        <f t="shared" si="148"/>
        <v>0</v>
      </c>
      <c r="KDT479" s="2204">
        <f>[16]BV!KEE395</f>
        <v>0</v>
      </c>
      <c r="KDU479" s="2204"/>
      <c r="KDV479" s="2204"/>
      <c r="KDW479" s="2204">
        <f t="shared" si="148"/>
        <v>0</v>
      </c>
      <c r="KDX479" s="2204">
        <f>[16]BV!KEI395</f>
        <v>0</v>
      </c>
      <c r="KDY479" s="2204"/>
      <c r="KDZ479" s="2204"/>
      <c r="KEA479" s="2204">
        <f t="shared" si="148"/>
        <v>0</v>
      </c>
      <c r="KEB479" s="2204">
        <f>[16]BV!KEM395</f>
        <v>0</v>
      </c>
      <c r="KEC479" s="2204"/>
      <c r="KED479" s="2204"/>
      <c r="KEE479" s="2204">
        <f t="shared" si="148"/>
        <v>0</v>
      </c>
      <c r="KEF479" s="2204">
        <f>[16]BV!KEQ395</f>
        <v>0</v>
      </c>
      <c r="KEG479" s="2204"/>
      <c r="KEH479" s="2204"/>
      <c r="KEI479" s="2204">
        <f t="shared" si="148"/>
        <v>0</v>
      </c>
      <c r="KEJ479" s="2204">
        <f>[16]BV!KEU395</f>
        <v>0</v>
      </c>
      <c r="KEK479" s="2204"/>
      <c r="KEL479" s="2204"/>
      <c r="KEM479" s="2204">
        <f t="shared" si="148"/>
        <v>0</v>
      </c>
      <c r="KEN479" s="2204">
        <f>[16]BV!KEY395</f>
        <v>0</v>
      </c>
      <c r="KEO479" s="2204"/>
      <c r="KEP479" s="2204"/>
      <c r="KEQ479" s="2204">
        <f t="shared" si="148"/>
        <v>0</v>
      </c>
      <c r="KER479" s="2204">
        <f>[16]BV!KFC395</f>
        <v>0</v>
      </c>
      <c r="KES479" s="2204"/>
      <c r="KET479" s="2204"/>
      <c r="KEU479" s="2204">
        <f t="shared" si="148"/>
        <v>0</v>
      </c>
      <c r="KEV479" s="2204">
        <f>[16]BV!KFG395</f>
        <v>0</v>
      </c>
      <c r="KEW479" s="2204"/>
      <c r="KEX479" s="2204"/>
      <c r="KEY479" s="2204">
        <f t="shared" si="148"/>
        <v>0</v>
      </c>
      <c r="KEZ479" s="2204">
        <f>[16]BV!KFK395</f>
        <v>0</v>
      </c>
      <c r="KFA479" s="2204"/>
      <c r="KFB479" s="2204"/>
      <c r="KFC479" s="2204">
        <f t="shared" si="148"/>
        <v>0</v>
      </c>
      <c r="KFD479" s="2204">
        <f>[16]BV!KFO395</f>
        <v>0</v>
      </c>
      <c r="KFE479" s="2204"/>
      <c r="KFF479" s="2204"/>
      <c r="KFG479" s="2204">
        <f t="shared" si="148"/>
        <v>0</v>
      </c>
      <c r="KFH479" s="2204">
        <f>[16]BV!KFS395</f>
        <v>0</v>
      </c>
      <c r="KFI479" s="2204"/>
      <c r="KFJ479" s="2204"/>
      <c r="KFK479" s="2204">
        <f t="shared" si="148"/>
        <v>0</v>
      </c>
      <c r="KFL479" s="2204">
        <f>[16]BV!KFW395</f>
        <v>0</v>
      </c>
      <c r="KFM479" s="2204"/>
      <c r="KFN479" s="2204"/>
      <c r="KFO479" s="2204">
        <f t="shared" si="148"/>
        <v>0</v>
      </c>
      <c r="KFP479" s="2204">
        <f>[16]BV!KGA395</f>
        <v>0</v>
      </c>
      <c r="KFQ479" s="2204"/>
      <c r="KFR479" s="2204"/>
      <c r="KFS479" s="2204">
        <f t="shared" si="148"/>
        <v>0</v>
      </c>
      <c r="KFT479" s="2204">
        <f>[16]BV!KGE395</f>
        <v>0</v>
      </c>
      <c r="KFU479" s="2204"/>
      <c r="KFV479" s="2204"/>
      <c r="KFW479" s="2204">
        <f t="shared" si="148"/>
        <v>0</v>
      </c>
      <c r="KFX479" s="2204">
        <f>[16]BV!KGI395</f>
        <v>0</v>
      </c>
      <c r="KFY479" s="2204"/>
      <c r="KFZ479" s="2204"/>
      <c r="KGA479" s="2204">
        <f t="shared" ref="KGA479:KII479" si="149">KFX479</f>
        <v>0</v>
      </c>
      <c r="KGB479" s="2204">
        <f>[16]BV!KGM395</f>
        <v>0</v>
      </c>
      <c r="KGC479" s="2204"/>
      <c r="KGD479" s="2204"/>
      <c r="KGE479" s="2204">
        <f t="shared" si="149"/>
        <v>0</v>
      </c>
      <c r="KGF479" s="2204">
        <f>[16]BV!KGQ395</f>
        <v>0</v>
      </c>
      <c r="KGG479" s="2204"/>
      <c r="KGH479" s="2204"/>
      <c r="KGI479" s="2204">
        <f t="shared" si="149"/>
        <v>0</v>
      </c>
      <c r="KGJ479" s="2204">
        <f>[16]BV!KGU395</f>
        <v>0</v>
      </c>
      <c r="KGK479" s="2204"/>
      <c r="KGL479" s="2204"/>
      <c r="KGM479" s="2204">
        <f t="shared" si="149"/>
        <v>0</v>
      </c>
      <c r="KGN479" s="2204">
        <f>[16]BV!KGY395</f>
        <v>0</v>
      </c>
      <c r="KGO479" s="2204"/>
      <c r="KGP479" s="2204"/>
      <c r="KGQ479" s="2204">
        <f t="shared" si="149"/>
        <v>0</v>
      </c>
      <c r="KGR479" s="2204">
        <f>[16]BV!KHC395</f>
        <v>0</v>
      </c>
      <c r="KGS479" s="2204"/>
      <c r="KGT479" s="2204"/>
      <c r="KGU479" s="2204">
        <f t="shared" si="149"/>
        <v>0</v>
      </c>
      <c r="KGV479" s="2204">
        <f>[16]BV!KHG395</f>
        <v>0</v>
      </c>
      <c r="KGW479" s="2204"/>
      <c r="KGX479" s="2204"/>
      <c r="KGY479" s="2204">
        <f t="shared" si="149"/>
        <v>0</v>
      </c>
      <c r="KGZ479" s="2204">
        <f>[16]BV!KHK395</f>
        <v>0</v>
      </c>
      <c r="KHA479" s="2204"/>
      <c r="KHB479" s="2204"/>
      <c r="KHC479" s="2204">
        <f t="shared" si="149"/>
        <v>0</v>
      </c>
      <c r="KHD479" s="2204">
        <f>[16]BV!KHO395</f>
        <v>0</v>
      </c>
      <c r="KHE479" s="2204"/>
      <c r="KHF479" s="2204"/>
      <c r="KHG479" s="2204">
        <f t="shared" si="149"/>
        <v>0</v>
      </c>
      <c r="KHH479" s="2204">
        <f>[16]BV!KHS395</f>
        <v>0</v>
      </c>
      <c r="KHI479" s="2204"/>
      <c r="KHJ479" s="2204"/>
      <c r="KHK479" s="2204">
        <f t="shared" si="149"/>
        <v>0</v>
      </c>
      <c r="KHL479" s="2204">
        <f>[16]BV!KHW395</f>
        <v>0</v>
      </c>
      <c r="KHM479" s="2204"/>
      <c r="KHN479" s="2204"/>
      <c r="KHO479" s="2204">
        <f t="shared" si="149"/>
        <v>0</v>
      </c>
      <c r="KHP479" s="2204">
        <f>[16]BV!KIA395</f>
        <v>0</v>
      </c>
      <c r="KHQ479" s="2204"/>
      <c r="KHR479" s="2204"/>
      <c r="KHS479" s="2204">
        <f t="shared" si="149"/>
        <v>0</v>
      </c>
      <c r="KHT479" s="2204">
        <f>[16]BV!KIE395</f>
        <v>0</v>
      </c>
      <c r="KHU479" s="2204"/>
      <c r="KHV479" s="2204"/>
      <c r="KHW479" s="2204">
        <f t="shared" si="149"/>
        <v>0</v>
      </c>
      <c r="KHX479" s="2204">
        <f>[16]BV!KII395</f>
        <v>0</v>
      </c>
      <c r="KHY479" s="2204"/>
      <c r="KHZ479" s="2204"/>
      <c r="KIA479" s="2204">
        <f t="shared" si="149"/>
        <v>0</v>
      </c>
      <c r="KIB479" s="2204">
        <f>[16]BV!KIM395</f>
        <v>0</v>
      </c>
      <c r="KIC479" s="2204"/>
      <c r="KID479" s="2204"/>
      <c r="KIE479" s="2204">
        <f t="shared" si="149"/>
        <v>0</v>
      </c>
      <c r="KIF479" s="2204">
        <f>[16]BV!KIQ395</f>
        <v>0</v>
      </c>
      <c r="KIG479" s="2204"/>
      <c r="KIH479" s="2204"/>
      <c r="KII479" s="2204">
        <f t="shared" si="149"/>
        <v>0</v>
      </c>
      <c r="KIJ479" s="2204">
        <f>[16]BV!KIU395</f>
        <v>0</v>
      </c>
      <c r="KIK479" s="2204"/>
      <c r="KIL479" s="2204"/>
      <c r="KIM479" s="2204">
        <f t="shared" ref="KIM479:KKU479" si="150">KIJ479</f>
        <v>0</v>
      </c>
      <c r="KIN479" s="2204">
        <f>[16]BV!KIY395</f>
        <v>0</v>
      </c>
      <c r="KIO479" s="2204"/>
      <c r="KIP479" s="2204"/>
      <c r="KIQ479" s="2204">
        <f t="shared" si="150"/>
        <v>0</v>
      </c>
      <c r="KIR479" s="2204">
        <f>[16]BV!KJC395</f>
        <v>0</v>
      </c>
      <c r="KIS479" s="2204"/>
      <c r="KIT479" s="2204"/>
      <c r="KIU479" s="2204">
        <f t="shared" si="150"/>
        <v>0</v>
      </c>
      <c r="KIV479" s="2204">
        <f>[16]BV!KJG395</f>
        <v>0</v>
      </c>
      <c r="KIW479" s="2204"/>
      <c r="KIX479" s="2204"/>
      <c r="KIY479" s="2204">
        <f t="shared" si="150"/>
        <v>0</v>
      </c>
      <c r="KIZ479" s="2204">
        <f>[16]BV!KJK395</f>
        <v>0</v>
      </c>
      <c r="KJA479" s="2204"/>
      <c r="KJB479" s="2204"/>
      <c r="KJC479" s="2204">
        <f t="shared" si="150"/>
        <v>0</v>
      </c>
      <c r="KJD479" s="2204">
        <f>[16]BV!KJO395</f>
        <v>0</v>
      </c>
      <c r="KJE479" s="2204"/>
      <c r="KJF479" s="2204"/>
      <c r="KJG479" s="2204">
        <f t="shared" si="150"/>
        <v>0</v>
      </c>
      <c r="KJH479" s="2204">
        <f>[16]BV!KJS395</f>
        <v>0</v>
      </c>
      <c r="KJI479" s="2204"/>
      <c r="KJJ479" s="2204"/>
      <c r="KJK479" s="2204">
        <f t="shared" si="150"/>
        <v>0</v>
      </c>
      <c r="KJL479" s="2204">
        <f>[16]BV!KJW395</f>
        <v>0</v>
      </c>
      <c r="KJM479" s="2204"/>
      <c r="KJN479" s="2204"/>
      <c r="KJO479" s="2204">
        <f t="shared" si="150"/>
        <v>0</v>
      </c>
      <c r="KJP479" s="2204">
        <f>[16]BV!KKA395</f>
        <v>0</v>
      </c>
      <c r="KJQ479" s="2204"/>
      <c r="KJR479" s="2204"/>
      <c r="KJS479" s="2204">
        <f t="shared" si="150"/>
        <v>0</v>
      </c>
      <c r="KJT479" s="2204">
        <f>[16]BV!KKE395</f>
        <v>0</v>
      </c>
      <c r="KJU479" s="2204"/>
      <c r="KJV479" s="2204"/>
      <c r="KJW479" s="2204">
        <f t="shared" si="150"/>
        <v>0</v>
      </c>
      <c r="KJX479" s="2204">
        <f>[16]BV!KKI395</f>
        <v>0</v>
      </c>
      <c r="KJY479" s="2204"/>
      <c r="KJZ479" s="2204"/>
      <c r="KKA479" s="2204">
        <f t="shared" si="150"/>
        <v>0</v>
      </c>
      <c r="KKB479" s="2204">
        <f>[16]BV!KKM395</f>
        <v>0</v>
      </c>
      <c r="KKC479" s="2204"/>
      <c r="KKD479" s="2204"/>
      <c r="KKE479" s="2204">
        <f t="shared" si="150"/>
        <v>0</v>
      </c>
      <c r="KKF479" s="2204">
        <f>[16]BV!KKQ395</f>
        <v>0</v>
      </c>
      <c r="KKG479" s="2204"/>
      <c r="KKH479" s="2204"/>
      <c r="KKI479" s="2204">
        <f t="shared" si="150"/>
        <v>0</v>
      </c>
      <c r="KKJ479" s="2204">
        <f>[16]BV!KKU395</f>
        <v>0</v>
      </c>
      <c r="KKK479" s="2204"/>
      <c r="KKL479" s="2204"/>
      <c r="KKM479" s="2204">
        <f t="shared" si="150"/>
        <v>0</v>
      </c>
      <c r="KKN479" s="2204">
        <f>[16]BV!KKY395</f>
        <v>0</v>
      </c>
      <c r="KKO479" s="2204"/>
      <c r="KKP479" s="2204"/>
      <c r="KKQ479" s="2204">
        <f t="shared" si="150"/>
        <v>0</v>
      </c>
      <c r="KKR479" s="2204">
        <f>[16]BV!KLC395</f>
        <v>0</v>
      </c>
      <c r="KKS479" s="2204"/>
      <c r="KKT479" s="2204"/>
      <c r="KKU479" s="2204">
        <f t="shared" si="150"/>
        <v>0</v>
      </c>
      <c r="KKV479" s="2204">
        <f>[16]BV!KLG395</f>
        <v>0</v>
      </c>
      <c r="KKW479" s="2204"/>
      <c r="KKX479" s="2204"/>
      <c r="KKY479" s="2204">
        <f t="shared" ref="KKY479:KNG479" si="151">KKV479</f>
        <v>0</v>
      </c>
      <c r="KKZ479" s="2204">
        <f>[16]BV!KLK395</f>
        <v>0</v>
      </c>
      <c r="KLA479" s="2204"/>
      <c r="KLB479" s="2204"/>
      <c r="KLC479" s="2204">
        <f t="shared" si="151"/>
        <v>0</v>
      </c>
      <c r="KLD479" s="2204">
        <f>[16]BV!KLO395</f>
        <v>0</v>
      </c>
      <c r="KLE479" s="2204"/>
      <c r="KLF479" s="2204"/>
      <c r="KLG479" s="2204">
        <f t="shared" si="151"/>
        <v>0</v>
      </c>
      <c r="KLH479" s="2204">
        <f>[16]BV!KLS395</f>
        <v>0</v>
      </c>
      <c r="KLI479" s="2204"/>
      <c r="KLJ479" s="2204"/>
      <c r="KLK479" s="2204">
        <f t="shared" si="151"/>
        <v>0</v>
      </c>
      <c r="KLL479" s="2204">
        <f>[16]BV!KLW395</f>
        <v>0</v>
      </c>
      <c r="KLM479" s="2204"/>
      <c r="KLN479" s="2204"/>
      <c r="KLO479" s="2204">
        <f t="shared" si="151"/>
        <v>0</v>
      </c>
      <c r="KLP479" s="2204">
        <f>[16]BV!KMA395</f>
        <v>0</v>
      </c>
      <c r="KLQ479" s="2204"/>
      <c r="KLR479" s="2204"/>
      <c r="KLS479" s="2204">
        <f t="shared" si="151"/>
        <v>0</v>
      </c>
      <c r="KLT479" s="2204">
        <f>[16]BV!KME395</f>
        <v>0</v>
      </c>
      <c r="KLU479" s="2204"/>
      <c r="KLV479" s="2204"/>
      <c r="KLW479" s="2204">
        <f t="shared" si="151"/>
        <v>0</v>
      </c>
      <c r="KLX479" s="2204">
        <f>[16]BV!KMI395</f>
        <v>0</v>
      </c>
      <c r="KLY479" s="2204"/>
      <c r="KLZ479" s="2204"/>
      <c r="KMA479" s="2204">
        <f t="shared" si="151"/>
        <v>0</v>
      </c>
      <c r="KMB479" s="2204">
        <f>[16]BV!KMM395</f>
        <v>0</v>
      </c>
      <c r="KMC479" s="2204"/>
      <c r="KMD479" s="2204"/>
      <c r="KME479" s="2204">
        <f t="shared" si="151"/>
        <v>0</v>
      </c>
      <c r="KMF479" s="2204">
        <f>[16]BV!KMQ395</f>
        <v>0</v>
      </c>
      <c r="KMG479" s="2204"/>
      <c r="KMH479" s="2204"/>
      <c r="KMI479" s="2204">
        <f t="shared" si="151"/>
        <v>0</v>
      </c>
      <c r="KMJ479" s="2204">
        <f>[16]BV!KMU395</f>
        <v>0</v>
      </c>
      <c r="KMK479" s="2204"/>
      <c r="KML479" s="2204"/>
      <c r="KMM479" s="2204">
        <f t="shared" si="151"/>
        <v>0</v>
      </c>
      <c r="KMN479" s="2204">
        <f>[16]BV!KMY395</f>
        <v>0</v>
      </c>
      <c r="KMO479" s="2204"/>
      <c r="KMP479" s="2204"/>
      <c r="KMQ479" s="2204">
        <f t="shared" si="151"/>
        <v>0</v>
      </c>
      <c r="KMR479" s="2204">
        <f>[16]BV!KNC395</f>
        <v>0</v>
      </c>
      <c r="KMS479" s="2204"/>
      <c r="KMT479" s="2204"/>
      <c r="KMU479" s="2204">
        <f t="shared" si="151"/>
        <v>0</v>
      </c>
      <c r="KMV479" s="2204">
        <f>[16]BV!KNG395</f>
        <v>0</v>
      </c>
      <c r="KMW479" s="2204"/>
      <c r="KMX479" s="2204"/>
      <c r="KMY479" s="2204">
        <f t="shared" si="151"/>
        <v>0</v>
      </c>
      <c r="KMZ479" s="2204">
        <f>[16]BV!KNK395</f>
        <v>0</v>
      </c>
      <c r="KNA479" s="2204"/>
      <c r="KNB479" s="2204"/>
      <c r="KNC479" s="2204">
        <f t="shared" si="151"/>
        <v>0</v>
      </c>
      <c r="KND479" s="2204">
        <f>[16]BV!KNO395</f>
        <v>0</v>
      </c>
      <c r="KNE479" s="2204"/>
      <c r="KNF479" s="2204"/>
      <c r="KNG479" s="2204">
        <f t="shared" si="151"/>
        <v>0</v>
      </c>
      <c r="KNH479" s="2204">
        <f>[16]BV!KNS395</f>
        <v>0</v>
      </c>
      <c r="KNI479" s="2204"/>
      <c r="KNJ479" s="2204"/>
      <c r="KNK479" s="2204">
        <f t="shared" ref="KNK479:KPS479" si="152">KNH479</f>
        <v>0</v>
      </c>
      <c r="KNL479" s="2204">
        <f>[16]BV!KNW395</f>
        <v>0</v>
      </c>
      <c r="KNM479" s="2204"/>
      <c r="KNN479" s="2204"/>
      <c r="KNO479" s="2204">
        <f t="shared" si="152"/>
        <v>0</v>
      </c>
      <c r="KNP479" s="2204">
        <f>[16]BV!KOA395</f>
        <v>0</v>
      </c>
      <c r="KNQ479" s="2204"/>
      <c r="KNR479" s="2204"/>
      <c r="KNS479" s="2204">
        <f t="shared" si="152"/>
        <v>0</v>
      </c>
      <c r="KNT479" s="2204">
        <f>[16]BV!KOE395</f>
        <v>0</v>
      </c>
      <c r="KNU479" s="2204"/>
      <c r="KNV479" s="2204"/>
      <c r="KNW479" s="2204">
        <f t="shared" si="152"/>
        <v>0</v>
      </c>
      <c r="KNX479" s="2204">
        <f>[16]BV!KOI395</f>
        <v>0</v>
      </c>
      <c r="KNY479" s="2204"/>
      <c r="KNZ479" s="2204"/>
      <c r="KOA479" s="2204">
        <f t="shared" si="152"/>
        <v>0</v>
      </c>
      <c r="KOB479" s="2204">
        <f>[16]BV!KOM395</f>
        <v>0</v>
      </c>
      <c r="KOC479" s="2204"/>
      <c r="KOD479" s="2204"/>
      <c r="KOE479" s="2204">
        <f t="shared" si="152"/>
        <v>0</v>
      </c>
      <c r="KOF479" s="2204">
        <f>[16]BV!KOQ395</f>
        <v>0</v>
      </c>
      <c r="KOG479" s="2204"/>
      <c r="KOH479" s="2204"/>
      <c r="KOI479" s="2204">
        <f t="shared" si="152"/>
        <v>0</v>
      </c>
      <c r="KOJ479" s="2204">
        <f>[16]BV!KOU395</f>
        <v>0</v>
      </c>
      <c r="KOK479" s="2204"/>
      <c r="KOL479" s="2204"/>
      <c r="KOM479" s="2204">
        <f t="shared" si="152"/>
        <v>0</v>
      </c>
      <c r="KON479" s="2204">
        <f>[16]BV!KOY395</f>
        <v>0</v>
      </c>
      <c r="KOO479" s="2204"/>
      <c r="KOP479" s="2204"/>
      <c r="KOQ479" s="2204">
        <f t="shared" si="152"/>
        <v>0</v>
      </c>
      <c r="KOR479" s="2204">
        <f>[16]BV!KPC395</f>
        <v>0</v>
      </c>
      <c r="KOS479" s="2204"/>
      <c r="KOT479" s="2204"/>
      <c r="KOU479" s="2204">
        <f t="shared" si="152"/>
        <v>0</v>
      </c>
      <c r="KOV479" s="2204">
        <f>[16]BV!KPG395</f>
        <v>0</v>
      </c>
      <c r="KOW479" s="2204"/>
      <c r="KOX479" s="2204"/>
      <c r="KOY479" s="2204">
        <f t="shared" si="152"/>
        <v>0</v>
      </c>
      <c r="KOZ479" s="2204">
        <f>[16]BV!KPK395</f>
        <v>0</v>
      </c>
      <c r="KPA479" s="2204"/>
      <c r="KPB479" s="2204"/>
      <c r="KPC479" s="2204">
        <f t="shared" si="152"/>
        <v>0</v>
      </c>
      <c r="KPD479" s="2204">
        <f>[16]BV!KPO395</f>
        <v>0</v>
      </c>
      <c r="KPE479" s="2204"/>
      <c r="KPF479" s="2204"/>
      <c r="KPG479" s="2204">
        <f t="shared" si="152"/>
        <v>0</v>
      </c>
      <c r="KPH479" s="2204">
        <f>[16]BV!KPS395</f>
        <v>0</v>
      </c>
      <c r="KPI479" s="2204"/>
      <c r="KPJ479" s="2204"/>
      <c r="KPK479" s="2204">
        <f t="shared" si="152"/>
        <v>0</v>
      </c>
      <c r="KPL479" s="2204">
        <f>[16]BV!KPW395</f>
        <v>0</v>
      </c>
      <c r="KPM479" s="2204"/>
      <c r="KPN479" s="2204"/>
      <c r="KPO479" s="2204">
        <f t="shared" si="152"/>
        <v>0</v>
      </c>
      <c r="KPP479" s="2204">
        <f>[16]BV!KQA395</f>
        <v>0</v>
      </c>
      <c r="KPQ479" s="2204"/>
      <c r="KPR479" s="2204"/>
      <c r="KPS479" s="2204">
        <f t="shared" si="152"/>
        <v>0</v>
      </c>
      <c r="KPT479" s="2204">
        <f>[16]BV!KQE395</f>
        <v>0</v>
      </c>
      <c r="KPU479" s="2204"/>
      <c r="KPV479" s="2204"/>
      <c r="KPW479" s="2204">
        <f t="shared" ref="KPW479:KSE479" si="153">KPT479</f>
        <v>0</v>
      </c>
      <c r="KPX479" s="2204">
        <f>[16]BV!KQI395</f>
        <v>0</v>
      </c>
      <c r="KPY479" s="2204"/>
      <c r="KPZ479" s="2204"/>
      <c r="KQA479" s="2204">
        <f t="shared" si="153"/>
        <v>0</v>
      </c>
      <c r="KQB479" s="2204">
        <f>[16]BV!KQM395</f>
        <v>0</v>
      </c>
      <c r="KQC479" s="2204"/>
      <c r="KQD479" s="2204"/>
      <c r="KQE479" s="2204">
        <f t="shared" si="153"/>
        <v>0</v>
      </c>
      <c r="KQF479" s="2204">
        <f>[16]BV!KQQ395</f>
        <v>0</v>
      </c>
      <c r="KQG479" s="2204"/>
      <c r="KQH479" s="2204"/>
      <c r="KQI479" s="2204">
        <f t="shared" si="153"/>
        <v>0</v>
      </c>
      <c r="KQJ479" s="2204">
        <f>[16]BV!KQU395</f>
        <v>0</v>
      </c>
      <c r="KQK479" s="2204"/>
      <c r="KQL479" s="2204"/>
      <c r="KQM479" s="2204">
        <f t="shared" si="153"/>
        <v>0</v>
      </c>
      <c r="KQN479" s="2204">
        <f>[16]BV!KQY395</f>
        <v>0</v>
      </c>
      <c r="KQO479" s="2204"/>
      <c r="KQP479" s="2204"/>
      <c r="KQQ479" s="2204">
        <f t="shared" si="153"/>
        <v>0</v>
      </c>
      <c r="KQR479" s="2204">
        <f>[16]BV!KRC395</f>
        <v>0</v>
      </c>
      <c r="KQS479" s="2204"/>
      <c r="KQT479" s="2204"/>
      <c r="KQU479" s="2204">
        <f t="shared" si="153"/>
        <v>0</v>
      </c>
      <c r="KQV479" s="2204">
        <f>[16]BV!KRG395</f>
        <v>0</v>
      </c>
      <c r="KQW479" s="2204"/>
      <c r="KQX479" s="2204"/>
      <c r="KQY479" s="2204">
        <f t="shared" si="153"/>
        <v>0</v>
      </c>
      <c r="KQZ479" s="2204">
        <f>[16]BV!KRK395</f>
        <v>0</v>
      </c>
      <c r="KRA479" s="2204"/>
      <c r="KRB479" s="2204"/>
      <c r="KRC479" s="2204">
        <f t="shared" si="153"/>
        <v>0</v>
      </c>
      <c r="KRD479" s="2204">
        <f>[16]BV!KRO395</f>
        <v>0</v>
      </c>
      <c r="KRE479" s="2204"/>
      <c r="KRF479" s="2204"/>
      <c r="KRG479" s="2204">
        <f t="shared" si="153"/>
        <v>0</v>
      </c>
      <c r="KRH479" s="2204">
        <f>[16]BV!KRS395</f>
        <v>0</v>
      </c>
      <c r="KRI479" s="2204"/>
      <c r="KRJ479" s="2204"/>
      <c r="KRK479" s="2204">
        <f t="shared" si="153"/>
        <v>0</v>
      </c>
      <c r="KRL479" s="2204">
        <f>[16]BV!KRW395</f>
        <v>0</v>
      </c>
      <c r="KRM479" s="2204"/>
      <c r="KRN479" s="2204"/>
      <c r="KRO479" s="2204">
        <f t="shared" si="153"/>
        <v>0</v>
      </c>
      <c r="KRP479" s="2204">
        <f>[16]BV!KSA395</f>
        <v>0</v>
      </c>
      <c r="KRQ479" s="2204"/>
      <c r="KRR479" s="2204"/>
      <c r="KRS479" s="2204">
        <f t="shared" si="153"/>
        <v>0</v>
      </c>
      <c r="KRT479" s="2204">
        <f>[16]BV!KSE395</f>
        <v>0</v>
      </c>
      <c r="KRU479" s="2204"/>
      <c r="KRV479" s="2204"/>
      <c r="KRW479" s="2204">
        <f t="shared" si="153"/>
        <v>0</v>
      </c>
      <c r="KRX479" s="2204">
        <f>[16]BV!KSI395</f>
        <v>0</v>
      </c>
      <c r="KRY479" s="2204"/>
      <c r="KRZ479" s="2204"/>
      <c r="KSA479" s="2204">
        <f t="shared" si="153"/>
        <v>0</v>
      </c>
      <c r="KSB479" s="2204">
        <f>[16]BV!KSM395</f>
        <v>0</v>
      </c>
      <c r="KSC479" s="2204"/>
      <c r="KSD479" s="2204"/>
      <c r="KSE479" s="2204">
        <f t="shared" si="153"/>
        <v>0</v>
      </c>
      <c r="KSF479" s="2204">
        <f>[16]BV!KSQ395</f>
        <v>0</v>
      </c>
      <c r="KSG479" s="2204"/>
      <c r="KSH479" s="2204"/>
      <c r="KSI479" s="2204">
        <f t="shared" ref="KSI479:KUQ479" si="154">KSF479</f>
        <v>0</v>
      </c>
      <c r="KSJ479" s="2204">
        <f>[16]BV!KSU395</f>
        <v>0</v>
      </c>
      <c r="KSK479" s="2204"/>
      <c r="KSL479" s="2204"/>
      <c r="KSM479" s="2204">
        <f t="shared" si="154"/>
        <v>0</v>
      </c>
      <c r="KSN479" s="2204">
        <f>[16]BV!KSY395</f>
        <v>0</v>
      </c>
      <c r="KSO479" s="2204"/>
      <c r="KSP479" s="2204"/>
      <c r="KSQ479" s="2204">
        <f t="shared" si="154"/>
        <v>0</v>
      </c>
      <c r="KSR479" s="2204">
        <f>[16]BV!KTC395</f>
        <v>0</v>
      </c>
      <c r="KSS479" s="2204"/>
      <c r="KST479" s="2204"/>
      <c r="KSU479" s="2204">
        <f t="shared" si="154"/>
        <v>0</v>
      </c>
      <c r="KSV479" s="2204">
        <f>[16]BV!KTG395</f>
        <v>0</v>
      </c>
      <c r="KSW479" s="2204"/>
      <c r="KSX479" s="2204"/>
      <c r="KSY479" s="2204">
        <f t="shared" si="154"/>
        <v>0</v>
      </c>
      <c r="KSZ479" s="2204">
        <f>[16]BV!KTK395</f>
        <v>0</v>
      </c>
      <c r="KTA479" s="2204"/>
      <c r="KTB479" s="2204"/>
      <c r="KTC479" s="2204">
        <f t="shared" si="154"/>
        <v>0</v>
      </c>
      <c r="KTD479" s="2204">
        <f>[16]BV!KTO395</f>
        <v>0</v>
      </c>
      <c r="KTE479" s="2204"/>
      <c r="KTF479" s="2204"/>
      <c r="KTG479" s="2204">
        <f t="shared" si="154"/>
        <v>0</v>
      </c>
      <c r="KTH479" s="2204">
        <f>[16]BV!KTS395</f>
        <v>0</v>
      </c>
      <c r="KTI479" s="2204"/>
      <c r="KTJ479" s="2204"/>
      <c r="KTK479" s="2204">
        <f t="shared" si="154"/>
        <v>0</v>
      </c>
      <c r="KTL479" s="2204">
        <f>[16]BV!KTW395</f>
        <v>0</v>
      </c>
      <c r="KTM479" s="2204"/>
      <c r="KTN479" s="2204"/>
      <c r="KTO479" s="2204">
        <f t="shared" si="154"/>
        <v>0</v>
      </c>
      <c r="KTP479" s="2204">
        <f>[16]BV!KUA395</f>
        <v>0</v>
      </c>
      <c r="KTQ479" s="2204"/>
      <c r="KTR479" s="2204"/>
      <c r="KTS479" s="2204">
        <f t="shared" si="154"/>
        <v>0</v>
      </c>
      <c r="KTT479" s="2204">
        <f>[16]BV!KUE395</f>
        <v>0</v>
      </c>
      <c r="KTU479" s="2204"/>
      <c r="KTV479" s="2204"/>
      <c r="KTW479" s="2204">
        <f t="shared" si="154"/>
        <v>0</v>
      </c>
      <c r="KTX479" s="2204">
        <f>[16]BV!KUI395</f>
        <v>0</v>
      </c>
      <c r="KTY479" s="2204"/>
      <c r="KTZ479" s="2204"/>
      <c r="KUA479" s="2204">
        <f t="shared" si="154"/>
        <v>0</v>
      </c>
      <c r="KUB479" s="2204">
        <f>[16]BV!KUM395</f>
        <v>0</v>
      </c>
      <c r="KUC479" s="2204"/>
      <c r="KUD479" s="2204"/>
      <c r="KUE479" s="2204">
        <f t="shared" si="154"/>
        <v>0</v>
      </c>
      <c r="KUF479" s="2204">
        <f>[16]BV!KUQ395</f>
        <v>0</v>
      </c>
      <c r="KUG479" s="2204"/>
      <c r="KUH479" s="2204"/>
      <c r="KUI479" s="2204">
        <f t="shared" si="154"/>
        <v>0</v>
      </c>
      <c r="KUJ479" s="2204">
        <f>[16]BV!KUU395</f>
        <v>0</v>
      </c>
      <c r="KUK479" s="2204"/>
      <c r="KUL479" s="2204"/>
      <c r="KUM479" s="2204">
        <f t="shared" si="154"/>
        <v>0</v>
      </c>
      <c r="KUN479" s="2204">
        <f>[16]BV!KUY395</f>
        <v>0</v>
      </c>
      <c r="KUO479" s="2204"/>
      <c r="KUP479" s="2204"/>
      <c r="KUQ479" s="2204">
        <f t="shared" si="154"/>
        <v>0</v>
      </c>
      <c r="KUR479" s="2204">
        <f>[16]BV!KVC395</f>
        <v>0</v>
      </c>
      <c r="KUS479" s="2204"/>
      <c r="KUT479" s="2204"/>
      <c r="KUU479" s="2204">
        <f t="shared" ref="KUU479:KXC479" si="155">KUR479</f>
        <v>0</v>
      </c>
      <c r="KUV479" s="2204">
        <f>[16]BV!KVG395</f>
        <v>0</v>
      </c>
      <c r="KUW479" s="2204"/>
      <c r="KUX479" s="2204"/>
      <c r="KUY479" s="2204">
        <f t="shared" si="155"/>
        <v>0</v>
      </c>
      <c r="KUZ479" s="2204">
        <f>[16]BV!KVK395</f>
        <v>0</v>
      </c>
      <c r="KVA479" s="2204"/>
      <c r="KVB479" s="2204"/>
      <c r="KVC479" s="2204">
        <f t="shared" si="155"/>
        <v>0</v>
      </c>
      <c r="KVD479" s="2204">
        <f>[16]BV!KVO395</f>
        <v>0</v>
      </c>
      <c r="KVE479" s="2204"/>
      <c r="KVF479" s="2204"/>
      <c r="KVG479" s="2204">
        <f t="shared" si="155"/>
        <v>0</v>
      </c>
      <c r="KVH479" s="2204">
        <f>[16]BV!KVS395</f>
        <v>0</v>
      </c>
      <c r="KVI479" s="2204"/>
      <c r="KVJ479" s="2204"/>
      <c r="KVK479" s="2204">
        <f t="shared" si="155"/>
        <v>0</v>
      </c>
      <c r="KVL479" s="2204">
        <f>[16]BV!KVW395</f>
        <v>0</v>
      </c>
      <c r="KVM479" s="2204"/>
      <c r="KVN479" s="2204"/>
      <c r="KVO479" s="2204">
        <f t="shared" si="155"/>
        <v>0</v>
      </c>
      <c r="KVP479" s="2204">
        <f>[16]BV!KWA395</f>
        <v>0</v>
      </c>
      <c r="KVQ479" s="2204"/>
      <c r="KVR479" s="2204"/>
      <c r="KVS479" s="2204">
        <f t="shared" si="155"/>
        <v>0</v>
      </c>
      <c r="KVT479" s="2204">
        <f>[16]BV!KWE395</f>
        <v>0</v>
      </c>
      <c r="KVU479" s="2204"/>
      <c r="KVV479" s="2204"/>
      <c r="KVW479" s="2204">
        <f t="shared" si="155"/>
        <v>0</v>
      </c>
      <c r="KVX479" s="2204">
        <f>[16]BV!KWI395</f>
        <v>0</v>
      </c>
      <c r="KVY479" s="2204"/>
      <c r="KVZ479" s="2204"/>
      <c r="KWA479" s="2204">
        <f t="shared" si="155"/>
        <v>0</v>
      </c>
      <c r="KWB479" s="2204">
        <f>[16]BV!KWM395</f>
        <v>0</v>
      </c>
      <c r="KWC479" s="2204"/>
      <c r="KWD479" s="2204"/>
      <c r="KWE479" s="2204">
        <f t="shared" si="155"/>
        <v>0</v>
      </c>
      <c r="KWF479" s="2204">
        <f>[16]BV!KWQ395</f>
        <v>0</v>
      </c>
      <c r="KWG479" s="2204"/>
      <c r="KWH479" s="2204"/>
      <c r="KWI479" s="2204">
        <f t="shared" si="155"/>
        <v>0</v>
      </c>
      <c r="KWJ479" s="2204">
        <f>[16]BV!KWU395</f>
        <v>0</v>
      </c>
      <c r="KWK479" s="2204"/>
      <c r="KWL479" s="2204"/>
      <c r="KWM479" s="2204">
        <f t="shared" si="155"/>
        <v>0</v>
      </c>
      <c r="KWN479" s="2204">
        <f>[16]BV!KWY395</f>
        <v>0</v>
      </c>
      <c r="KWO479" s="2204"/>
      <c r="KWP479" s="2204"/>
      <c r="KWQ479" s="2204">
        <f t="shared" si="155"/>
        <v>0</v>
      </c>
      <c r="KWR479" s="2204">
        <f>[16]BV!KXC395</f>
        <v>0</v>
      </c>
      <c r="KWS479" s="2204"/>
      <c r="KWT479" s="2204"/>
      <c r="KWU479" s="2204">
        <f t="shared" si="155"/>
        <v>0</v>
      </c>
      <c r="KWV479" s="2204">
        <f>[16]BV!KXG395</f>
        <v>0</v>
      </c>
      <c r="KWW479" s="2204"/>
      <c r="KWX479" s="2204"/>
      <c r="KWY479" s="2204">
        <f t="shared" si="155"/>
        <v>0</v>
      </c>
      <c r="KWZ479" s="2204">
        <f>[16]BV!KXK395</f>
        <v>0</v>
      </c>
      <c r="KXA479" s="2204"/>
      <c r="KXB479" s="2204"/>
      <c r="KXC479" s="2204">
        <f t="shared" si="155"/>
        <v>0</v>
      </c>
      <c r="KXD479" s="2204">
        <f>[16]BV!KXO395</f>
        <v>0</v>
      </c>
      <c r="KXE479" s="2204"/>
      <c r="KXF479" s="2204"/>
      <c r="KXG479" s="2204">
        <f t="shared" ref="KXG479:KZO479" si="156">KXD479</f>
        <v>0</v>
      </c>
      <c r="KXH479" s="2204">
        <f>[16]BV!KXS395</f>
        <v>0</v>
      </c>
      <c r="KXI479" s="2204"/>
      <c r="KXJ479" s="2204"/>
      <c r="KXK479" s="2204">
        <f t="shared" si="156"/>
        <v>0</v>
      </c>
      <c r="KXL479" s="2204">
        <f>[16]BV!KXW395</f>
        <v>0</v>
      </c>
      <c r="KXM479" s="2204"/>
      <c r="KXN479" s="2204"/>
      <c r="KXO479" s="2204">
        <f t="shared" si="156"/>
        <v>0</v>
      </c>
      <c r="KXP479" s="2204">
        <f>[16]BV!KYA395</f>
        <v>0</v>
      </c>
      <c r="KXQ479" s="2204"/>
      <c r="KXR479" s="2204"/>
      <c r="KXS479" s="2204">
        <f t="shared" si="156"/>
        <v>0</v>
      </c>
      <c r="KXT479" s="2204">
        <f>[16]BV!KYE395</f>
        <v>0</v>
      </c>
      <c r="KXU479" s="2204"/>
      <c r="KXV479" s="2204"/>
      <c r="KXW479" s="2204">
        <f t="shared" si="156"/>
        <v>0</v>
      </c>
      <c r="KXX479" s="2204">
        <f>[16]BV!KYI395</f>
        <v>0</v>
      </c>
      <c r="KXY479" s="2204"/>
      <c r="KXZ479" s="2204"/>
      <c r="KYA479" s="2204">
        <f t="shared" si="156"/>
        <v>0</v>
      </c>
      <c r="KYB479" s="2204">
        <f>[16]BV!KYM395</f>
        <v>0</v>
      </c>
      <c r="KYC479" s="2204"/>
      <c r="KYD479" s="2204"/>
      <c r="KYE479" s="2204">
        <f t="shared" si="156"/>
        <v>0</v>
      </c>
      <c r="KYF479" s="2204">
        <f>[16]BV!KYQ395</f>
        <v>0</v>
      </c>
      <c r="KYG479" s="2204"/>
      <c r="KYH479" s="2204"/>
      <c r="KYI479" s="2204">
        <f t="shared" si="156"/>
        <v>0</v>
      </c>
      <c r="KYJ479" s="2204">
        <f>[16]BV!KYU395</f>
        <v>0</v>
      </c>
      <c r="KYK479" s="2204"/>
      <c r="KYL479" s="2204"/>
      <c r="KYM479" s="2204">
        <f t="shared" si="156"/>
        <v>0</v>
      </c>
      <c r="KYN479" s="2204">
        <f>[16]BV!KYY395</f>
        <v>0</v>
      </c>
      <c r="KYO479" s="2204"/>
      <c r="KYP479" s="2204"/>
      <c r="KYQ479" s="2204">
        <f t="shared" si="156"/>
        <v>0</v>
      </c>
      <c r="KYR479" s="2204">
        <f>[16]BV!KZC395</f>
        <v>0</v>
      </c>
      <c r="KYS479" s="2204"/>
      <c r="KYT479" s="2204"/>
      <c r="KYU479" s="2204">
        <f t="shared" si="156"/>
        <v>0</v>
      </c>
      <c r="KYV479" s="2204">
        <f>[16]BV!KZG395</f>
        <v>0</v>
      </c>
      <c r="KYW479" s="2204"/>
      <c r="KYX479" s="2204"/>
      <c r="KYY479" s="2204">
        <f t="shared" si="156"/>
        <v>0</v>
      </c>
      <c r="KYZ479" s="2204">
        <f>[16]BV!KZK395</f>
        <v>0</v>
      </c>
      <c r="KZA479" s="2204"/>
      <c r="KZB479" s="2204"/>
      <c r="KZC479" s="2204">
        <f t="shared" si="156"/>
        <v>0</v>
      </c>
      <c r="KZD479" s="2204">
        <f>[16]BV!KZO395</f>
        <v>0</v>
      </c>
      <c r="KZE479" s="2204"/>
      <c r="KZF479" s="2204"/>
      <c r="KZG479" s="2204">
        <f t="shared" si="156"/>
        <v>0</v>
      </c>
      <c r="KZH479" s="2204">
        <f>[16]BV!KZS395</f>
        <v>0</v>
      </c>
      <c r="KZI479" s="2204"/>
      <c r="KZJ479" s="2204"/>
      <c r="KZK479" s="2204">
        <f t="shared" si="156"/>
        <v>0</v>
      </c>
      <c r="KZL479" s="2204">
        <f>[16]BV!KZW395</f>
        <v>0</v>
      </c>
      <c r="KZM479" s="2204"/>
      <c r="KZN479" s="2204"/>
      <c r="KZO479" s="2204">
        <f t="shared" si="156"/>
        <v>0</v>
      </c>
      <c r="KZP479" s="2204">
        <f>[16]BV!LAA395</f>
        <v>0</v>
      </c>
      <c r="KZQ479" s="2204"/>
      <c r="KZR479" s="2204"/>
      <c r="KZS479" s="2204">
        <f t="shared" ref="KZS479:LCA479" si="157">KZP479</f>
        <v>0</v>
      </c>
      <c r="KZT479" s="2204">
        <f>[16]BV!LAE395</f>
        <v>0</v>
      </c>
      <c r="KZU479" s="2204"/>
      <c r="KZV479" s="2204"/>
      <c r="KZW479" s="2204">
        <f t="shared" si="157"/>
        <v>0</v>
      </c>
      <c r="KZX479" s="2204">
        <f>[16]BV!LAI395</f>
        <v>0</v>
      </c>
      <c r="KZY479" s="2204"/>
      <c r="KZZ479" s="2204"/>
      <c r="LAA479" s="2204">
        <f t="shared" si="157"/>
        <v>0</v>
      </c>
      <c r="LAB479" s="2204">
        <f>[16]BV!LAM395</f>
        <v>0</v>
      </c>
      <c r="LAC479" s="2204"/>
      <c r="LAD479" s="2204"/>
      <c r="LAE479" s="2204">
        <f t="shared" si="157"/>
        <v>0</v>
      </c>
      <c r="LAF479" s="2204">
        <f>[16]BV!LAQ395</f>
        <v>0</v>
      </c>
      <c r="LAG479" s="2204"/>
      <c r="LAH479" s="2204"/>
      <c r="LAI479" s="2204">
        <f t="shared" si="157"/>
        <v>0</v>
      </c>
      <c r="LAJ479" s="2204">
        <f>[16]BV!LAU395</f>
        <v>0</v>
      </c>
      <c r="LAK479" s="2204"/>
      <c r="LAL479" s="2204"/>
      <c r="LAM479" s="2204">
        <f t="shared" si="157"/>
        <v>0</v>
      </c>
      <c r="LAN479" s="2204">
        <f>[16]BV!LAY395</f>
        <v>0</v>
      </c>
      <c r="LAO479" s="2204"/>
      <c r="LAP479" s="2204"/>
      <c r="LAQ479" s="2204">
        <f t="shared" si="157"/>
        <v>0</v>
      </c>
      <c r="LAR479" s="2204">
        <f>[16]BV!LBC395</f>
        <v>0</v>
      </c>
      <c r="LAS479" s="2204"/>
      <c r="LAT479" s="2204"/>
      <c r="LAU479" s="2204">
        <f t="shared" si="157"/>
        <v>0</v>
      </c>
      <c r="LAV479" s="2204">
        <f>[16]BV!LBG395</f>
        <v>0</v>
      </c>
      <c r="LAW479" s="2204"/>
      <c r="LAX479" s="2204"/>
      <c r="LAY479" s="2204">
        <f t="shared" si="157"/>
        <v>0</v>
      </c>
      <c r="LAZ479" s="2204">
        <f>[16]BV!LBK395</f>
        <v>0</v>
      </c>
      <c r="LBA479" s="2204"/>
      <c r="LBB479" s="2204"/>
      <c r="LBC479" s="2204">
        <f t="shared" si="157"/>
        <v>0</v>
      </c>
      <c r="LBD479" s="2204">
        <f>[16]BV!LBO395</f>
        <v>0</v>
      </c>
      <c r="LBE479" s="2204"/>
      <c r="LBF479" s="2204"/>
      <c r="LBG479" s="2204">
        <f t="shared" si="157"/>
        <v>0</v>
      </c>
      <c r="LBH479" s="2204">
        <f>[16]BV!LBS395</f>
        <v>0</v>
      </c>
      <c r="LBI479" s="2204"/>
      <c r="LBJ479" s="2204"/>
      <c r="LBK479" s="2204">
        <f t="shared" si="157"/>
        <v>0</v>
      </c>
      <c r="LBL479" s="2204">
        <f>[16]BV!LBW395</f>
        <v>0</v>
      </c>
      <c r="LBM479" s="2204"/>
      <c r="LBN479" s="2204"/>
      <c r="LBO479" s="2204">
        <f t="shared" si="157"/>
        <v>0</v>
      </c>
      <c r="LBP479" s="2204">
        <f>[16]BV!LCA395</f>
        <v>0</v>
      </c>
      <c r="LBQ479" s="2204"/>
      <c r="LBR479" s="2204"/>
      <c r="LBS479" s="2204">
        <f t="shared" si="157"/>
        <v>0</v>
      </c>
      <c r="LBT479" s="2204">
        <f>[16]BV!LCE395</f>
        <v>0</v>
      </c>
      <c r="LBU479" s="2204"/>
      <c r="LBV479" s="2204"/>
      <c r="LBW479" s="2204">
        <f t="shared" si="157"/>
        <v>0</v>
      </c>
      <c r="LBX479" s="2204">
        <f>[16]BV!LCI395</f>
        <v>0</v>
      </c>
      <c r="LBY479" s="2204"/>
      <c r="LBZ479" s="2204"/>
      <c r="LCA479" s="2204">
        <f t="shared" si="157"/>
        <v>0</v>
      </c>
      <c r="LCB479" s="2204">
        <f>[16]BV!LCM395</f>
        <v>0</v>
      </c>
      <c r="LCC479" s="2204"/>
      <c r="LCD479" s="2204"/>
      <c r="LCE479" s="2204">
        <f t="shared" ref="LCE479:LEM479" si="158">LCB479</f>
        <v>0</v>
      </c>
      <c r="LCF479" s="2204">
        <f>[16]BV!LCQ395</f>
        <v>0</v>
      </c>
      <c r="LCG479" s="2204"/>
      <c r="LCH479" s="2204"/>
      <c r="LCI479" s="2204">
        <f t="shared" si="158"/>
        <v>0</v>
      </c>
      <c r="LCJ479" s="2204">
        <f>[16]BV!LCU395</f>
        <v>0</v>
      </c>
      <c r="LCK479" s="2204"/>
      <c r="LCL479" s="2204"/>
      <c r="LCM479" s="2204">
        <f t="shared" si="158"/>
        <v>0</v>
      </c>
      <c r="LCN479" s="2204">
        <f>[16]BV!LCY395</f>
        <v>0</v>
      </c>
      <c r="LCO479" s="2204"/>
      <c r="LCP479" s="2204"/>
      <c r="LCQ479" s="2204">
        <f t="shared" si="158"/>
        <v>0</v>
      </c>
      <c r="LCR479" s="2204">
        <f>[16]BV!LDC395</f>
        <v>0</v>
      </c>
      <c r="LCS479" s="2204"/>
      <c r="LCT479" s="2204"/>
      <c r="LCU479" s="2204">
        <f t="shared" si="158"/>
        <v>0</v>
      </c>
      <c r="LCV479" s="2204">
        <f>[16]BV!LDG395</f>
        <v>0</v>
      </c>
      <c r="LCW479" s="2204"/>
      <c r="LCX479" s="2204"/>
      <c r="LCY479" s="2204">
        <f t="shared" si="158"/>
        <v>0</v>
      </c>
      <c r="LCZ479" s="2204">
        <f>[16]BV!LDK395</f>
        <v>0</v>
      </c>
      <c r="LDA479" s="2204"/>
      <c r="LDB479" s="2204"/>
      <c r="LDC479" s="2204">
        <f t="shared" si="158"/>
        <v>0</v>
      </c>
      <c r="LDD479" s="2204">
        <f>[16]BV!LDO395</f>
        <v>0</v>
      </c>
      <c r="LDE479" s="2204"/>
      <c r="LDF479" s="2204"/>
      <c r="LDG479" s="2204">
        <f t="shared" si="158"/>
        <v>0</v>
      </c>
      <c r="LDH479" s="2204">
        <f>[16]BV!LDS395</f>
        <v>0</v>
      </c>
      <c r="LDI479" s="2204"/>
      <c r="LDJ479" s="2204"/>
      <c r="LDK479" s="2204">
        <f t="shared" si="158"/>
        <v>0</v>
      </c>
      <c r="LDL479" s="2204">
        <f>[16]BV!LDW395</f>
        <v>0</v>
      </c>
      <c r="LDM479" s="2204"/>
      <c r="LDN479" s="2204"/>
      <c r="LDO479" s="2204">
        <f t="shared" si="158"/>
        <v>0</v>
      </c>
      <c r="LDP479" s="2204">
        <f>[16]BV!LEA395</f>
        <v>0</v>
      </c>
      <c r="LDQ479" s="2204"/>
      <c r="LDR479" s="2204"/>
      <c r="LDS479" s="2204">
        <f t="shared" si="158"/>
        <v>0</v>
      </c>
      <c r="LDT479" s="2204">
        <f>[16]BV!LEE395</f>
        <v>0</v>
      </c>
      <c r="LDU479" s="2204"/>
      <c r="LDV479" s="2204"/>
      <c r="LDW479" s="2204">
        <f t="shared" si="158"/>
        <v>0</v>
      </c>
      <c r="LDX479" s="2204">
        <f>[16]BV!LEI395</f>
        <v>0</v>
      </c>
      <c r="LDY479" s="2204"/>
      <c r="LDZ479" s="2204"/>
      <c r="LEA479" s="2204">
        <f t="shared" si="158"/>
        <v>0</v>
      </c>
      <c r="LEB479" s="2204">
        <f>[16]BV!LEM395</f>
        <v>0</v>
      </c>
      <c r="LEC479" s="2204"/>
      <c r="LED479" s="2204"/>
      <c r="LEE479" s="2204">
        <f t="shared" si="158"/>
        <v>0</v>
      </c>
      <c r="LEF479" s="2204">
        <f>[16]BV!LEQ395</f>
        <v>0</v>
      </c>
      <c r="LEG479" s="2204"/>
      <c r="LEH479" s="2204"/>
      <c r="LEI479" s="2204">
        <f t="shared" si="158"/>
        <v>0</v>
      </c>
      <c r="LEJ479" s="2204">
        <f>[16]BV!LEU395</f>
        <v>0</v>
      </c>
      <c r="LEK479" s="2204"/>
      <c r="LEL479" s="2204"/>
      <c r="LEM479" s="2204">
        <f t="shared" si="158"/>
        <v>0</v>
      </c>
      <c r="LEN479" s="2204">
        <f>[16]BV!LEY395</f>
        <v>0</v>
      </c>
      <c r="LEO479" s="2204"/>
      <c r="LEP479" s="2204"/>
      <c r="LEQ479" s="2204">
        <f t="shared" ref="LEQ479:LGY479" si="159">LEN479</f>
        <v>0</v>
      </c>
      <c r="LER479" s="2204">
        <f>[16]BV!LFC395</f>
        <v>0</v>
      </c>
      <c r="LES479" s="2204"/>
      <c r="LET479" s="2204"/>
      <c r="LEU479" s="2204">
        <f t="shared" si="159"/>
        <v>0</v>
      </c>
      <c r="LEV479" s="2204">
        <f>[16]BV!LFG395</f>
        <v>0</v>
      </c>
      <c r="LEW479" s="2204"/>
      <c r="LEX479" s="2204"/>
      <c r="LEY479" s="2204">
        <f t="shared" si="159"/>
        <v>0</v>
      </c>
      <c r="LEZ479" s="2204">
        <f>[16]BV!LFK395</f>
        <v>0</v>
      </c>
      <c r="LFA479" s="2204"/>
      <c r="LFB479" s="2204"/>
      <c r="LFC479" s="2204">
        <f t="shared" si="159"/>
        <v>0</v>
      </c>
      <c r="LFD479" s="2204">
        <f>[16]BV!LFO395</f>
        <v>0</v>
      </c>
      <c r="LFE479" s="2204"/>
      <c r="LFF479" s="2204"/>
      <c r="LFG479" s="2204">
        <f t="shared" si="159"/>
        <v>0</v>
      </c>
      <c r="LFH479" s="2204">
        <f>[16]BV!LFS395</f>
        <v>0</v>
      </c>
      <c r="LFI479" s="2204"/>
      <c r="LFJ479" s="2204"/>
      <c r="LFK479" s="2204">
        <f t="shared" si="159"/>
        <v>0</v>
      </c>
      <c r="LFL479" s="2204">
        <f>[16]BV!LFW395</f>
        <v>0</v>
      </c>
      <c r="LFM479" s="2204"/>
      <c r="LFN479" s="2204"/>
      <c r="LFO479" s="2204">
        <f t="shared" si="159"/>
        <v>0</v>
      </c>
      <c r="LFP479" s="2204">
        <f>[16]BV!LGA395</f>
        <v>0</v>
      </c>
      <c r="LFQ479" s="2204"/>
      <c r="LFR479" s="2204"/>
      <c r="LFS479" s="2204">
        <f t="shared" si="159"/>
        <v>0</v>
      </c>
      <c r="LFT479" s="2204">
        <f>[16]BV!LGE395</f>
        <v>0</v>
      </c>
      <c r="LFU479" s="2204"/>
      <c r="LFV479" s="2204"/>
      <c r="LFW479" s="2204">
        <f t="shared" si="159"/>
        <v>0</v>
      </c>
      <c r="LFX479" s="2204">
        <f>[16]BV!LGI395</f>
        <v>0</v>
      </c>
      <c r="LFY479" s="2204"/>
      <c r="LFZ479" s="2204"/>
      <c r="LGA479" s="2204">
        <f t="shared" si="159"/>
        <v>0</v>
      </c>
      <c r="LGB479" s="2204">
        <f>[16]BV!LGM395</f>
        <v>0</v>
      </c>
      <c r="LGC479" s="2204"/>
      <c r="LGD479" s="2204"/>
      <c r="LGE479" s="2204">
        <f t="shared" si="159"/>
        <v>0</v>
      </c>
      <c r="LGF479" s="2204">
        <f>[16]BV!LGQ395</f>
        <v>0</v>
      </c>
      <c r="LGG479" s="2204"/>
      <c r="LGH479" s="2204"/>
      <c r="LGI479" s="2204">
        <f t="shared" si="159"/>
        <v>0</v>
      </c>
      <c r="LGJ479" s="2204">
        <f>[16]BV!LGU395</f>
        <v>0</v>
      </c>
      <c r="LGK479" s="2204"/>
      <c r="LGL479" s="2204"/>
      <c r="LGM479" s="2204">
        <f t="shared" si="159"/>
        <v>0</v>
      </c>
      <c r="LGN479" s="2204">
        <f>[16]BV!LGY395</f>
        <v>0</v>
      </c>
      <c r="LGO479" s="2204"/>
      <c r="LGP479" s="2204"/>
      <c r="LGQ479" s="2204">
        <f t="shared" si="159"/>
        <v>0</v>
      </c>
      <c r="LGR479" s="2204">
        <f>[16]BV!LHC395</f>
        <v>0</v>
      </c>
      <c r="LGS479" s="2204"/>
      <c r="LGT479" s="2204"/>
      <c r="LGU479" s="2204">
        <f t="shared" si="159"/>
        <v>0</v>
      </c>
      <c r="LGV479" s="2204">
        <f>[16]BV!LHG395</f>
        <v>0</v>
      </c>
      <c r="LGW479" s="2204"/>
      <c r="LGX479" s="2204"/>
      <c r="LGY479" s="2204">
        <f t="shared" si="159"/>
        <v>0</v>
      </c>
      <c r="LGZ479" s="2204">
        <f>[16]BV!LHK395</f>
        <v>0</v>
      </c>
      <c r="LHA479" s="2204"/>
      <c r="LHB479" s="2204"/>
      <c r="LHC479" s="2204">
        <f t="shared" ref="LHC479:LJK479" si="160">LGZ479</f>
        <v>0</v>
      </c>
      <c r="LHD479" s="2204">
        <f>[16]BV!LHO395</f>
        <v>0</v>
      </c>
      <c r="LHE479" s="2204"/>
      <c r="LHF479" s="2204"/>
      <c r="LHG479" s="2204">
        <f t="shared" si="160"/>
        <v>0</v>
      </c>
      <c r="LHH479" s="2204">
        <f>[16]BV!LHS395</f>
        <v>0</v>
      </c>
      <c r="LHI479" s="2204"/>
      <c r="LHJ479" s="2204"/>
      <c r="LHK479" s="2204">
        <f t="shared" si="160"/>
        <v>0</v>
      </c>
      <c r="LHL479" s="2204">
        <f>[16]BV!LHW395</f>
        <v>0</v>
      </c>
      <c r="LHM479" s="2204"/>
      <c r="LHN479" s="2204"/>
      <c r="LHO479" s="2204">
        <f t="shared" si="160"/>
        <v>0</v>
      </c>
      <c r="LHP479" s="2204">
        <f>[16]BV!LIA395</f>
        <v>0</v>
      </c>
      <c r="LHQ479" s="2204"/>
      <c r="LHR479" s="2204"/>
      <c r="LHS479" s="2204">
        <f t="shared" si="160"/>
        <v>0</v>
      </c>
      <c r="LHT479" s="2204">
        <f>[16]BV!LIE395</f>
        <v>0</v>
      </c>
      <c r="LHU479" s="2204"/>
      <c r="LHV479" s="2204"/>
      <c r="LHW479" s="2204">
        <f t="shared" si="160"/>
        <v>0</v>
      </c>
      <c r="LHX479" s="2204">
        <f>[16]BV!LII395</f>
        <v>0</v>
      </c>
      <c r="LHY479" s="2204"/>
      <c r="LHZ479" s="2204"/>
      <c r="LIA479" s="2204">
        <f t="shared" si="160"/>
        <v>0</v>
      </c>
      <c r="LIB479" s="2204">
        <f>[16]BV!LIM395</f>
        <v>0</v>
      </c>
      <c r="LIC479" s="2204"/>
      <c r="LID479" s="2204"/>
      <c r="LIE479" s="2204">
        <f t="shared" si="160"/>
        <v>0</v>
      </c>
      <c r="LIF479" s="2204">
        <f>[16]BV!LIQ395</f>
        <v>0</v>
      </c>
      <c r="LIG479" s="2204"/>
      <c r="LIH479" s="2204"/>
      <c r="LII479" s="2204">
        <f t="shared" si="160"/>
        <v>0</v>
      </c>
      <c r="LIJ479" s="2204">
        <f>[16]BV!LIU395</f>
        <v>0</v>
      </c>
      <c r="LIK479" s="2204"/>
      <c r="LIL479" s="2204"/>
      <c r="LIM479" s="2204">
        <f t="shared" si="160"/>
        <v>0</v>
      </c>
      <c r="LIN479" s="2204">
        <f>[16]BV!LIY395</f>
        <v>0</v>
      </c>
      <c r="LIO479" s="2204"/>
      <c r="LIP479" s="2204"/>
      <c r="LIQ479" s="2204">
        <f t="shared" si="160"/>
        <v>0</v>
      </c>
      <c r="LIR479" s="2204">
        <f>[16]BV!LJC395</f>
        <v>0</v>
      </c>
      <c r="LIS479" s="2204"/>
      <c r="LIT479" s="2204"/>
      <c r="LIU479" s="2204">
        <f t="shared" si="160"/>
        <v>0</v>
      </c>
      <c r="LIV479" s="2204">
        <f>[16]BV!LJG395</f>
        <v>0</v>
      </c>
      <c r="LIW479" s="2204"/>
      <c r="LIX479" s="2204"/>
      <c r="LIY479" s="2204">
        <f t="shared" si="160"/>
        <v>0</v>
      </c>
      <c r="LIZ479" s="2204">
        <f>[16]BV!LJK395</f>
        <v>0</v>
      </c>
      <c r="LJA479" s="2204"/>
      <c r="LJB479" s="2204"/>
      <c r="LJC479" s="2204">
        <f t="shared" si="160"/>
        <v>0</v>
      </c>
      <c r="LJD479" s="2204">
        <f>[16]BV!LJO395</f>
        <v>0</v>
      </c>
      <c r="LJE479" s="2204"/>
      <c r="LJF479" s="2204"/>
      <c r="LJG479" s="2204">
        <f t="shared" si="160"/>
        <v>0</v>
      </c>
      <c r="LJH479" s="2204">
        <f>[16]BV!LJS395</f>
        <v>0</v>
      </c>
      <c r="LJI479" s="2204"/>
      <c r="LJJ479" s="2204"/>
      <c r="LJK479" s="2204">
        <f t="shared" si="160"/>
        <v>0</v>
      </c>
      <c r="LJL479" s="2204">
        <f>[16]BV!LJW395</f>
        <v>0</v>
      </c>
      <c r="LJM479" s="2204"/>
      <c r="LJN479" s="2204"/>
      <c r="LJO479" s="2204">
        <f t="shared" ref="LJO479:LLW479" si="161">LJL479</f>
        <v>0</v>
      </c>
      <c r="LJP479" s="2204">
        <f>[16]BV!LKA395</f>
        <v>0</v>
      </c>
      <c r="LJQ479" s="2204"/>
      <c r="LJR479" s="2204"/>
      <c r="LJS479" s="2204">
        <f t="shared" si="161"/>
        <v>0</v>
      </c>
      <c r="LJT479" s="2204">
        <f>[16]BV!LKE395</f>
        <v>0</v>
      </c>
      <c r="LJU479" s="2204"/>
      <c r="LJV479" s="2204"/>
      <c r="LJW479" s="2204">
        <f t="shared" si="161"/>
        <v>0</v>
      </c>
      <c r="LJX479" s="2204">
        <f>[16]BV!LKI395</f>
        <v>0</v>
      </c>
      <c r="LJY479" s="2204"/>
      <c r="LJZ479" s="2204"/>
      <c r="LKA479" s="2204">
        <f t="shared" si="161"/>
        <v>0</v>
      </c>
      <c r="LKB479" s="2204">
        <f>[16]BV!LKM395</f>
        <v>0</v>
      </c>
      <c r="LKC479" s="2204"/>
      <c r="LKD479" s="2204"/>
      <c r="LKE479" s="2204">
        <f t="shared" si="161"/>
        <v>0</v>
      </c>
      <c r="LKF479" s="2204">
        <f>[16]BV!LKQ395</f>
        <v>0</v>
      </c>
      <c r="LKG479" s="2204"/>
      <c r="LKH479" s="2204"/>
      <c r="LKI479" s="2204">
        <f t="shared" si="161"/>
        <v>0</v>
      </c>
      <c r="LKJ479" s="2204">
        <f>[16]BV!LKU395</f>
        <v>0</v>
      </c>
      <c r="LKK479" s="2204"/>
      <c r="LKL479" s="2204"/>
      <c r="LKM479" s="2204">
        <f t="shared" si="161"/>
        <v>0</v>
      </c>
      <c r="LKN479" s="2204">
        <f>[16]BV!LKY395</f>
        <v>0</v>
      </c>
      <c r="LKO479" s="2204"/>
      <c r="LKP479" s="2204"/>
      <c r="LKQ479" s="2204">
        <f t="shared" si="161"/>
        <v>0</v>
      </c>
      <c r="LKR479" s="2204">
        <f>[16]BV!LLC395</f>
        <v>0</v>
      </c>
      <c r="LKS479" s="2204"/>
      <c r="LKT479" s="2204"/>
      <c r="LKU479" s="2204">
        <f t="shared" si="161"/>
        <v>0</v>
      </c>
      <c r="LKV479" s="2204">
        <f>[16]BV!LLG395</f>
        <v>0</v>
      </c>
      <c r="LKW479" s="2204"/>
      <c r="LKX479" s="2204"/>
      <c r="LKY479" s="2204">
        <f t="shared" si="161"/>
        <v>0</v>
      </c>
      <c r="LKZ479" s="2204">
        <f>[16]BV!LLK395</f>
        <v>0</v>
      </c>
      <c r="LLA479" s="2204"/>
      <c r="LLB479" s="2204"/>
      <c r="LLC479" s="2204">
        <f t="shared" si="161"/>
        <v>0</v>
      </c>
      <c r="LLD479" s="2204">
        <f>[16]BV!LLO395</f>
        <v>0</v>
      </c>
      <c r="LLE479" s="2204"/>
      <c r="LLF479" s="2204"/>
      <c r="LLG479" s="2204">
        <f t="shared" si="161"/>
        <v>0</v>
      </c>
      <c r="LLH479" s="2204">
        <f>[16]BV!LLS395</f>
        <v>0</v>
      </c>
      <c r="LLI479" s="2204"/>
      <c r="LLJ479" s="2204"/>
      <c r="LLK479" s="2204">
        <f t="shared" si="161"/>
        <v>0</v>
      </c>
      <c r="LLL479" s="2204">
        <f>[16]BV!LLW395</f>
        <v>0</v>
      </c>
      <c r="LLM479" s="2204"/>
      <c r="LLN479" s="2204"/>
      <c r="LLO479" s="2204">
        <f t="shared" si="161"/>
        <v>0</v>
      </c>
      <c r="LLP479" s="2204">
        <f>[16]BV!LMA395</f>
        <v>0</v>
      </c>
      <c r="LLQ479" s="2204"/>
      <c r="LLR479" s="2204"/>
      <c r="LLS479" s="2204">
        <f t="shared" si="161"/>
        <v>0</v>
      </c>
      <c r="LLT479" s="2204">
        <f>[16]BV!LME395</f>
        <v>0</v>
      </c>
      <c r="LLU479" s="2204"/>
      <c r="LLV479" s="2204"/>
      <c r="LLW479" s="2204">
        <f t="shared" si="161"/>
        <v>0</v>
      </c>
      <c r="LLX479" s="2204">
        <f>[16]BV!LMI395</f>
        <v>0</v>
      </c>
      <c r="LLY479" s="2204"/>
      <c r="LLZ479" s="2204"/>
      <c r="LMA479" s="2204">
        <f t="shared" ref="LMA479:LOI479" si="162">LLX479</f>
        <v>0</v>
      </c>
      <c r="LMB479" s="2204">
        <f>[16]BV!LMM395</f>
        <v>0</v>
      </c>
      <c r="LMC479" s="2204"/>
      <c r="LMD479" s="2204"/>
      <c r="LME479" s="2204">
        <f t="shared" si="162"/>
        <v>0</v>
      </c>
      <c r="LMF479" s="2204">
        <f>[16]BV!LMQ395</f>
        <v>0</v>
      </c>
      <c r="LMG479" s="2204"/>
      <c r="LMH479" s="2204"/>
      <c r="LMI479" s="2204">
        <f t="shared" si="162"/>
        <v>0</v>
      </c>
      <c r="LMJ479" s="2204">
        <f>[16]BV!LMU395</f>
        <v>0</v>
      </c>
      <c r="LMK479" s="2204"/>
      <c r="LML479" s="2204"/>
      <c r="LMM479" s="2204">
        <f t="shared" si="162"/>
        <v>0</v>
      </c>
      <c r="LMN479" s="2204">
        <f>[16]BV!LMY395</f>
        <v>0</v>
      </c>
      <c r="LMO479" s="2204"/>
      <c r="LMP479" s="2204"/>
      <c r="LMQ479" s="2204">
        <f t="shared" si="162"/>
        <v>0</v>
      </c>
      <c r="LMR479" s="2204">
        <f>[16]BV!LNC395</f>
        <v>0</v>
      </c>
      <c r="LMS479" s="2204"/>
      <c r="LMT479" s="2204"/>
      <c r="LMU479" s="2204">
        <f t="shared" si="162"/>
        <v>0</v>
      </c>
      <c r="LMV479" s="2204">
        <f>[16]BV!LNG395</f>
        <v>0</v>
      </c>
      <c r="LMW479" s="2204"/>
      <c r="LMX479" s="2204"/>
      <c r="LMY479" s="2204">
        <f t="shared" si="162"/>
        <v>0</v>
      </c>
      <c r="LMZ479" s="2204">
        <f>[16]BV!LNK395</f>
        <v>0</v>
      </c>
      <c r="LNA479" s="2204"/>
      <c r="LNB479" s="2204"/>
      <c r="LNC479" s="2204">
        <f t="shared" si="162"/>
        <v>0</v>
      </c>
      <c r="LND479" s="2204">
        <f>[16]BV!LNO395</f>
        <v>0</v>
      </c>
      <c r="LNE479" s="2204"/>
      <c r="LNF479" s="2204"/>
      <c r="LNG479" s="2204">
        <f t="shared" si="162"/>
        <v>0</v>
      </c>
      <c r="LNH479" s="2204">
        <f>[16]BV!LNS395</f>
        <v>0</v>
      </c>
      <c r="LNI479" s="2204"/>
      <c r="LNJ479" s="2204"/>
      <c r="LNK479" s="2204">
        <f t="shared" si="162"/>
        <v>0</v>
      </c>
      <c r="LNL479" s="2204">
        <f>[16]BV!LNW395</f>
        <v>0</v>
      </c>
      <c r="LNM479" s="2204"/>
      <c r="LNN479" s="2204"/>
      <c r="LNO479" s="2204">
        <f t="shared" si="162"/>
        <v>0</v>
      </c>
      <c r="LNP479" s="2204">
        <f>[16]BV!LOA395</f>
        <v>0</v>
      </c>
      <c r="LNQ479" s="2204"/>
      <c r="LNR479" s="2204"/>
      <c r="LNS479" s="2204">
        <f t="shared" si="162"/>
        <v>0</v>
      </c>
      <c r="LNT479" s="2204">
        <f>[16]BV!LOE395</f>
        <v>0</v>
      </c>
      <c r="LNU479" s="2204"/>
      <c r="LNV479" s="2204"/>
      <c r="LNW479" s="2204">
        <f t="shared" si="162"/>
        <v>0</v>
      </c>
      <c r="LNX479" s="2204">
        <f>[16]BV!LOI395</f>
        <v>0</v>
      </c>
      <c r="LNY479" s="2204"/>
      <c r="LNZ479" s="2204"/>
      <c r="LOA479" s="2204">
        <f t="shared" si="162"/>
        <v>0</v>
      </c>
      <c r="LOB479" s="2204">
        <f>[16]BV!LOM395</f>
        <v>0</v>
      </c>
      <c r="LOC479" s="2204"/>
      <c r="LOD479" s="2204"/>
      <c r="LOE479" s="2204">
        <f t="shared" si="162"/>
        <v>0</v>
      </c>
      <c r="LOF479" s="2204">
        <f>[16]BV!LOQ395</f>
        <v>0</v>
      </c>
      <c r="LOG479" s="2204"/>
      <c r="LOH479" s="2204"/>
      <c r="LOI479" s="2204">
        <f t="shared" si="162"/>
        <v>0</v>
      </c>
      <c r="LOJ479" s="2204">
        <f>[16]BV!LOU395</f>
        <v>0</v>
      </c>
      <c r="LOK479" s="2204"/>
      <c r="LOL479" s="2204"/>
      <c r="LOM479" s="2204">
        <f t="shared" ref="LOM479:LQU479" si="163">LOJ479</f>
        <v>0</v>
      </c>
      <c r="LON479" s="2204">
        <f>[16]BV!LOY395</f>
        <v>0</v>
      </c>
      <c r="LOO479" s="2204"/>
      <c r="LOP479" s="2204"/>
      <c r="LOQ479" s="2204">
        <f t="shared" si="163"/>
        <v>0</v>
      </c>
      <c r="LOR479" s="2204">
        <f>[16]BV!LPC395</f>
        <v>0</v>
      </c>
      <c r="LOS479" s="2204"/>
      <c r="LOT479" s="2204"/>
      <c r="LOU479" s="2204">
        <f t="shared" si="163"/>
        <v>0</v>
      </c>
      <c r="LOV479" s="2204">
        <f>[16]BV!LPG395</f>
        <v>0</v>
      </c>
      <c r="LOW479" s="2204"/>
      <c r="LOX479" s="2204"/>
      <c r="LOY479" s="2204">
        <f t="shared" si="163"/>
        <v>0</v>
      </c>
      <c r="LOZ479" s="2204">
        <f>[16]BV!LPK395</f>
        <v>0</v>
      </c>
      <c r="LPA479" s="2204"/>
      <c r="LPB479" s="2204"/>
      <c r="LPC479" s="2204">
        <f t="shared" si="163"/>
        <v>0</v>
      </c>
      <c r="LPD479" s="2204">
        <f>[16]BV!LPO395</f>
        <v>0</v>
      </c>
      <c r="LPE479" s="2204"/>
      <c r="LPF479" s="2204"/>
      <c r="LPG479" s="2204">
        <f t="shared" si="163"/>
        <v>0</v>
      </c>
      <c r="LPH479" s="2204">
        <f>[16]BV!LPS395</f>
        <v>0</v>
      </c>
      <c r="LPI479" s="2204"/>
      <c r="LPJ479" s="2204"/>
      <c r="LPK479" s="2204">
        <f t="shared" si="163"/>
        <v>0</v>
      </c>
      <c r="LPL479" s="2204">
        <f>[16]BV!LPW395</f>
        <v>0</v>
      </c>
      <c r="LPM479" s="2204"/>
      <c r="LPN479" s="2204"/>
      <c r="LPO479" s="2204">
        <f t="shared" si="163"/>
        <v>0</v>
      </c>
      <c r="LPP479" s="2204">
        <f>[16]BV!LQA395</f>
        <v>0</v>
      </c>
      <c r="LPQ479" s="2204"/>
      <c r="LPR479" s="2204"/>
      <c r="LPS479" s="2204">
        <f t="shared" si="163"/>
        <v>0</v>
      </c>
      <c r="LPT479" s="2204">
        <f>[16]BV!LQE395</f>
        <v>0</v>
      </c>
      <c r="LPU479" s="2204"/>
      <c r="LPV479" s="2204"/>
      <c r="LPW479" s="2204">
        <f t="shared" si="163"/>
        <v>0</v>
      </c>
      <c r="LPX479" s="2204">
        <f>[16]BV!LQI395</f>
        <v>0</v>
      </c>
      <c r="LPY479" s="2204"/>
      <c r="LPZ479" s="2204"/>
      <c r="LQA479" s="2204">
        <f t="shared" si="163"/>
        <v>0</v>
      </c>
      <c r="LQB479" s="2204">
        <f>[16]BV!LQM395</f>
        <v>0</v>
      </c>
      <c r="LQC479" s="2204"/>
      <c r="LQD479" s="2204"/>
      <c r="LQE479" s="2204">
        <f t="shared" si="163"/>
        <v>0</v>
      </c>
      <c r="LQF479" s="2204">
        <f>[16]BV!LQQ395</f>
        <v>0</v>
      </c>
      <c r="LQG479" s="2204"/>
      <c r="LQH479" s="2204"/>
      <c r="LQI479" s="2204">
        <f t="shared" si="163"/>
        <v>0</v>
      </c>
      <c r="LQJ479" s="2204">
        <f>[16]BV!LQU395</f>
        <v>0</v>
      </c>
      <c r="LQK479" s="2204"/>
      <c r="LQL479" s="2204"/>
      <c r="LQM479" s="2204">
        <f t="shared" si="163"/>
        <v>0</v>
      </c>
      <c r="LQN479" s="2204">
        <f>[16]BV!LQY395</f>
        <v>0</v>
      </c>
      <c r="LQO479" s="2204"/>
      <c r="LQP479" s="2204"/>
      <c r="LQQ479" s="2204">
        <f t="shared" si="163"/>
        <v>0</v>
      </c>
      <c r="LQR479" s="2204">
        <f>[16]BV!LRC395</f>
        <v>0</v>
      </c>
      <c r="LQS479" s="2204"/>
      <c r="LQT479" s="2204"/>
      <c r="LQU479" s="2204">
        <f t="shared" si="163"/>
        <v>0</v>
      </c>
      <c r="LQV479" s="2204">
        <f>[16]BV!LRG395</f>
        <v>0</v>
      </c>
      <c r="LQW479" s="2204"/>
      <c r="LQX479" s="2204"/>
      <c r="LQY479" s="2204">
        <f t="shared" ref="LQY479:LTG479" si="164">LQV479</f>
        <v>0</v>
      </c>
      <c r="LQZ479" s="2204">
        <f>[16]BV!LRK395</f>
        <v>0</v>
      </c>
      <c r="LRA479" s="2204"/>
      <c r="LRB479" s="2204"/>
      <c r="LRC479" s="2204">
        <f t="shared" si="164"/>
        <v>0</v>
      </c>
      <c r="LRD479" s="2204">
        <f>[16]BV!LRO395</f>
        <v>0</v>
      </c>
      <c r="LRE479" s="2204"/>
      <c r="LRF479" s="2204"/>
      <c r="LRG479" s="2204">
        <f t="shared" si="164"/>
        <v>0</v>
      </c>
      <c r="LRH479" s="2204">
        <f>[16]BV!LRS395</f>
        <v>0</v>
      </c>
      <c r="LRI479" s="2204"/>
      <c r="LRJ479" s="2204"/>
      <c r="LRK479" s="2204">
        <f t="shared" si="164"/>
        <v>0</v>
      </c>
      <c r="LRL479" s="2204">
        <f>[16]BV!LRW395</f>
        <v>0</v>
      </c>
      <c r="LRM479" s="2204"/>
      <c r="LRN479" s="2204"/>
      <c r="LRO479" s="2204">
        <f t="shared" si="164"/>
        <v>0</v>
      </c>
      <c r="LRP479" s="2204">
        <f>[16]BV!LSA395</f>
        <v>0</v>
      </c>
      <c r="LRQ479" s="2204"/>
      <c r="LRR479" s="2204"/>
      <c r="LRS479" s="2204">
        <f t="shared" si="164"/>
        <v>0</v>
      </c>
      <c r="LRT479" s="2204">
        <f>[16]BV!LSE395</f>
        <v>0</v>
      </c>
      <c r="LRU479" s="2204"/>
      <c r="LRV479" s="2204"/>
      <c r="LRW479" s="2204">
        <f t="shared" si="164"/>
        <v>0</v>
      </c>
      <c r="LRX479" s="2204">
        <f>[16]BV!LSI395</f>
        <v>0</v>
      </c>
      <c r="LRY479" s="2204"/>
      <c r="LRZ479" s="2204"/>
      <c r="LSA479" s="2204">
        <f t="shared" si="164"/>
        <v>0</v>
      </c>
      <c r="LSB479" s="2204">
        <f>[16]BV!LSM395</f>
        <v>0</v>
      </c>
      <c r="LSC479" s="2204"/>
      <c r="LSD479" s="2204"/>
      <c r="LSE479" s="2204">
        <f t="shared" si="164"/>
        <v>0</v>
      </c>
      <c r="LSF479" s="2204">
        <f>[16]BV!LSQ395</f>
        <v>0</v>
      </c>
      <c r="LSG479" s="2204"/>
      <c r="LSH479" s="2204"/>
      <c r="LSI479" s="2204">
        <f t="shared" si="164"/>
        <v>0</v>
      </c>
      <c r="LSJ479" s="2204">
        <f>[16]BV!LSU395</f>
        <v>0</v>
      </c>
      <c r="LSK479" s="2204"/>
      <c r="LSL479" s="2204"/>
      <c r="LSM479" s="2204">
        <f t="shared" si="164"/>
        <v>0</v>
      </c>
      <c r="LSN479" s="2204">
        <f>[16]BV!LSY395</f>
        <v>0</v>
      </c>
      <c r="LSO479" s="2204"/>
      <c r="LSP479" s="2204"/>
      <c r="LSQ479" s="2204">
        <f t="shared" si="164"/>
        <v>0</v>
      </c>
      <c r="LSR479" s="2204">
        <f>[16]BV!LTC395</f>
        <v>0</v>
      </c>
      <c r="LSS479" s="2204"/>
      <c r="LST479" s="2204"/>
      <c r="LSU479" s="2204">
        <f t="shared" si="164"/>
        <v>0</v>
      </c>
      <c r="LSV479" s="2204">
        <f>[16]BV!LTG395</f>
        <v>0</v>
      </c>
      <c r="LSW479" s="2204"/>
      <c r="LSX479" s="2204"/>
      <c r="LSY479" s="2204">
        <f t="shared" si="164"/>
        <v>0</v>
      </c>
      <c r="LSZ479" s="2204">
        <f>[16]BV!LTK395</f>
        <v>0</v>
      </c>
      <c r="LTA479" s="2204"/>
      <c r="LTB479" s="2204"/>
      <c r="LTC479" s="2204">
        <f t="shared" si="164"/>
        <v>0</v>
      </c>
      <c r="LTD479" s="2204">
        <f>[16]BV!LTO395</f>
        <v>0</v>
      </c>
      <c r="LTE479" s="2204"/>
      <c r="LTF479" s="2204"/>
      <c r="LTG479" s="2204">
        <f t="shared" si="164"/>
        <v>0</v>
      </c>
      <c r="LTH479" s="2204">
        <f>[16]BV!LTS395</f>
        <v>0</v>
      </c>
      <c r="LTI479" s="2204"/>
      <c r="LTJ479" s="2204"/>
      <c r="LTK479" s="2204">
        <f t="shared" ref="LTK479:LVS479" si="165">LTH479</f>
        <v>0</v>
      </c>
      <c r="LTL479" s="2204">
        <f>[16]BV!LTW395</f>
        <v>0</v>
      </c>
      <c r="LTM479" s="2204"/>
      <c r="LTN479" s="2204"/>
      <c r="LTO479" s="2204">
        <f t="shared" si="165"/>
        <v>0</v>
      </c>
      <c r="LTP479" s="2204">
        <f>[16]BV!LUA395</f>
        <v>0</v>
      </c>
      <c r="LTQ479" s="2204"/>
      <c r="LTR479" s="2204"/>
      <c r="LTS479" s="2204">
        <f t="shared" si="165"/>
        <v>0</v>
      </c>
      <c r="LTT479" s="2204">
        <f>[16]BV!LUE395</f>
        <v>0</v>
      </c>
      <c r="LTU479" s="2204"/>
      <c r="LTV479" s="2204"/>
      <c r="LTW479" s="2204">
        <f t="shared" si="165"/>
        <v>0</v>
      </c>
      <c r="LTX479" s="2204">
        <f>[16]BV!LUI395</f>
        <v>0</v>
      </c>
      <c r="LTY479" s="2204"/>
      <c r="LTZ479" s="2204"/>
      <c r="LUA479" s="2204">
        <f t="shared" si="165"/>
        <v>0</v>
      </c>
      <c r="LUB479" s="2204">
        <f>[16]BV!LUM395</f>
        <v>0</v>
      </c>
      <c r="LUC479" s="2204"/>
      <c r="LUD479" s="2204"/>
      <c r="LUE479" s="2204">
        <f t="shared" si="165"/>
        <v>0</v>
      </c>
      <c r="LUF479" s="2204">
        <f>[16]BV!LUQ395</f>
        <v>0</v>
      </c>
      <c r="LUG479" s="2204"/>
      <c r="LUH479" s="2204"/>
      <c r="LUI479" s="2204">
        <f t="shared" si="165"/>
        <v>0</v>
      </c>
      <c r="LUJ479" s="2204">
        <f>[16]BV!LUU395</f>
        <v>0</v>
      </c>
      <c r="LUK479" s="2204"/>
      <c r="LUL479" s="2204"/>
      <c r="LUM479" s="2204">
        <f t="shared" si="165"/>
        <v>0</v>
      </c>
      <c r="LUN479" s="2204">
        <f>[16]BV!LUY395</f>
        <v>0</v>
      </c>
      <c r="LUO479" s="2204"/>
      <c r="LUP479" s="2204"/>
      <c r="LUQ479" s="2204">
        <f t="shared" si="165"/>
        <v>0</v>
      </c>
      <c r="LUR479" s="2204">
        <f>[16]BV!LVC395</f>
        <v>0</v>
      </c>
      <c r="LUS479" s="2204"/>
      <c r="LUT479" s="2204"/>
      <c r="LUU479" s="2204">
        <f t="shared" si="165"/>
        <v>0</v>
      </c>
      <c r="LUV479" s="2204">
        <f>[16]BV!LVG395</f>
        <v>0</v>
      </c>
      <c r="LUW479" s="2204"/>
      <c r="LUX479" s="2204"/>
      <c r="LUY479" s="2204">
        <f t="shared" si="165"/>
        <v>0</v>
      </c>
      <c r="LUZ479" s="2204">
        <f>[16]BV!LVK395</f>
        <v>0</v>
      </c>
      <c r="LVA479" s="2204"/>
      <c r="LVB479" s="2204"/>
      <c r="LVC479" s="2204">
        <f t="shared" si="165"/>
        <v>0</v>
      </c>
      <c r="LVD479" s="2204">
        <f>[16]BV!LVO395</f>
        <v>0</v>
      </c>
      <c r="LVE479" s="2204"/>
      <c r="LVF479" s="2204"/>
      <c r="LVG479" s="2204">
        <f t="shared" si="165"/>
        <v>0</v>
      </c>
      <c r="LVH479" s="2204">
        <f>[16]BV!LVS395</f>
        <v>0</v>
      </c>
      <c r="LVI479" s="2204"/>
      <c r="LVJ479" s="2204"/>
      <c r="LVK479" s="2204">
        <f t="shared" si="165"/>
        <v>0</v>
      </c>
      <c r="LVL479" s="2204">
        <f>[16]BV!LVW395</f>
        <v>0</v>
      </c>
      <c r="LVM479" s="2204"/>
      <c r="LVN479" s="2204"/>
      <c r="LVO479" s="2204">
        <f t="shared" si="165"/>
        <v>0</v>
      </c>
      <c r="LVP479" s="2204">
        <f>[16]BV!LWA395</f>
        <v>0</v>
      </c>
      <c r="LVQ479" s="2204"/>
      <c r="LVR479" s="2204"/>
      <c r="LVS479" s="2204">
        <f t="shared" si="165"/>
        <v>0</v>
      </c>
      <c r="LVT479" s="2204">
        <f>[16]BV!LWE395</f>
        <v>0</v>
      </c>
      <c r="LVU479" s="2204"/>
      <c r="LVV479" s="2204"/>
      <c r="LVW479" s="2204">
        <f t="shared" ref="LVW479:LYE479" si="166">LVT479</f>
        <v>0</v>
      </c>
      <c r="LVX479" s="2204">
        <f>[16]BV!LWI395</f>
        <v>0</v>
      </c>
      <c r="LVY479" s="2204"/>
      <c r="LVZ479" s="2204"/>
      <c r="LWA479" s="2204">
        <f t="shared" si="166"/>
        <v>0</v>
      </c>
      <c r="LWB479" s="2204">
        <f>[16]BV!LWM395</f>
        <v>0</v>
      </c>
      <c r="LWC479" s="2204"/>
      <c r="LWD479" s="2204"/>
      <c r="LWE479" s="2204">
        <f t="shared" si="166"/>
        <v>0</v>
      </c>
      <c r="LWF479" s="2204">
        <f>[16]BV!LWQ395</f>
        <v>0</v>
      </c>
      <c r="LWG479" s="2204"/>
      <c r="LWH479" s="2204"/>
      <c r="LWI479" s="2204">
        <f t="shared" si="166"/>
        <v>0</v>
      </c>
      <c r="LWJ479" s="2204">
        <f>[16]BV!LWU395</f>
        <v>0</v>
      </c>
      <c r="LWK479" s="2204"/>
      <c r="LWL479" s="2204"/>
      <c r="LWM479" s="2204">
        <f t="shared" si="166"/>
        <v>0</v>
      </c>
      <c r="LWN479" s="2204">
        <f>[16]BV!LWY395</f>
        <v>0</v>
      </c>
      <c r="LWO479" s="2204"/>
      <c r="LWP479" s="2204"/>
      <c r="LWQ479" s="2204">
        <f t="shared" si="166"/>
        <v>0</v>
      </c>
      <c r="LWR479" s="2204">
        <f>[16]BV!LXC395</f>
        <v>0</v>
      </c>
      <c r="LWS479" s="2204"/>
      <c r="LWT479" s="2204"/>
      <c r="LWU479" s="2204">
        <f t="shared" si="166"/>
        <v>0</v>
      </c>
      <c r="LWV479" s="2204">
        <f>[16]BV!LXG395</f>
        <v>0</v>
      </c>
      <c r="LWW479" s="2204"/>
      <c r="LWX479" s="2204"/>
      <c r="LWY479" s="2204">
        <f t="shared" si="166"/>
        <v>0</v>
      </c>
      <c r="LWZ479" s="2204">
        <f>[16]BV!LXK395</f>
        <v>0</v>
      </c>
      <c r="LXA479" s="2204"/>
      <c r="LXB479" s="2204"/>
      <c r="LXC479" s="2204">
        <f t="shared" si="166"/>
        <v>0</v>
      </c>
      <c r="LXD479" s="2204">
        <f>[16]BV!LXO395</f>
        <v>0</v>
      </c>
      <c r="LXE479" s="2204"/>
      <c r="LXF479" s="2204"/>
      <c r="LXG479" s="2204">
        <f t="shared" si="166"/>
        <v>0</v>
      </c>
      <c r="LXH479" s="2204">
        <f>[16]BV!LXS395</f>
        <v>0</v>
      </c>
      <c r="LXI479" s="2204"/>
      <c r="LXJ479" s="2204"/>
      <c r="LXK479" s="2204">
        <f t="shared" si="166"/>
        <v>0</v>
      </c>
      <c r="LXL479" s="2204">
        <f>[16]BV!LXW395</f>
        <v>0</v>
      </c>
      <c r="LXM479" s="2204"/>
      <c r="LXN479" s="2204"/>
      <c r="LXO479" s="2204">
        <f t="shared" si="166"/>
        <v>0</v>
      </c>
      <c r="LXP479" s="2204">
        <f>[16]BV!LYA395</f>
        <v>0</v>
      </c>
      <c r="LXQ479" s="2204"/>
      <c r="LXR479" s="2204"/>
      <c r="LXS479" s="2204">
        <f t="shared" si="166"/>
        <v>0</v>
      </c>
      <c r="LXT479" s="2204">
        <f>[16]BV!LYE395</f>
        <v>0</v>
      </c>
      <c r="LXU479" s="2204"/>
      <c r="LXV479" s="2204"/>
      <c r="LXW479" s="2204">
        <f t="shared" si="166"/>
        <v>0</v>
      </c>
      <c r="LXX479" s="2204">
        <f>[16]BV!LYI395</f>
        <v>0</v>
      </c>
      <c r="LXY479" s="2204"/>
      <c r="LXZ479" s="2204"/>
      <c r="LYA479" s="2204">
        <f t="shared" si="166"/>
        <v>0</v>
      </c>
      <c r="LYB479" s="2204">
        <f>[16]BV!LYM395</f>
        <v>0</v>
      </c>
      <c r="LYC479" s="2204"/>
      <c r="LYD479" s="2204"/>
      <c r="LYE479" s="2204">
        <f t="shared" si="166"/>
        <v>0</v>
      </c>
      <c r="LYF479" s="2204">
        <f>[16]BV!LYQ395</f>
        <v>0</v>
      </c>
      <c r="LYG479" s="2204"/>
      <c r="LYH479" s="2204"/>
      <c r="LYI479" s="2204">
        <f t="shared" ref="LYI479:MAQ479" si="167">LYF479</f>
        <v>0</v>
      </c>
      <c r="LYJ479" s="2204">
        <f>[16]BV!LYU395</f>
        <v>0</v>
      </c>
      <c r="LYK479" s="2204"/>
      <c r="LYL479" s="2204"/>
      <c r="LYM479" s="2204">
        <f t="shared" si="167"/>
        <v>0</v>
      </c>
      <c r="LYN479" s="2204">
        <f>[16]BV!LYY395</f>
        <v>0</v>
      </c>
      <c r="LYO479" s="2204"/>
      <c r="LYP479" s="2204"/>
      <c r="LYQ479" s="2204">
        <f t="shared" si="167"/>
        <v>0</v>
      </c>
      <c r="LYR479" s="2204">
        <f>[16]BV!LZC395</f>
        <v>0</v>
      </c>
      <c r="LYS479" s="2204"/>
      <c r="LYT479" s="2204"/>
      <c r="LYU479" s="2204">
        <f t="shared" si="167"/>
        <v>0</v>
      </c>
      <c r="LYV479" s="2204">
        <f>[16]BV!LZG395</f>
        <v>0</v>
      </c>
      <c r="LYW479" s="2204"/>
      <c r="LYX479" s="2204"/>
      <c r="LYY479" s="2204">
        <f t="shared" si="167"/>
        <v>0</v>
      </c>
      <c r="LYZ479" s="2204">
        <f>[16]BV!LZK395</f>
        <v>0</v>
      </c>
      <c r="LZA479" s="2204"/>
      <c r="LZB479" s="2204"/>
      <c r="LZC479" s="2204">
        <f t="shared" si="167"/>
        <v>0</v>
      </c>
      <c r="LZD479" s="2204">
        <f>[16]BV!LZO395</f>
        <v>0</v>
      </c>
      <c r="LZE479" s="2204"/>
      <c r="LZF479" s="2204"/>
      <c r="LZG479" s="2204">
        <f t="shared" si="167"/>
        <v>0</v>
      </c>
      <c r="LZH479" s="2204">
        <f>[16]BV!LZS395</f>
        <v>0</v>
      </c>
      <c r="LZI479" s="2204"/>
      <c r="LZJ479" s="2204"/>
      <c r="LZK479" s="2204">
        <f t="shared" si="167"/>
        <v>0</v>
      </c>
      <c r="LZL479" s="2204">
        <f>[16]BV!LZW395</f>
        <v>0</v>
      </c>
      <c r="LZM479" s="2204"/>
      <c r="LZN479" s="2204"/>
      <c r="LZO479" s="2204">
        <f t="shared" si="167"/>
        <v>0</v>
      </c>
      <c r="LZP479" s="2204">
        <f>[16]BV!MAA395</f>
        <v>0</v>
      </c>
      <c r="LZQ479" s="2204"/>
      <c r="LZR479" s="2204"/>
      <c r="LZS479" s="2204">
        <f t="shared" si="167"/>
        <v>0</v>
      </c>
      <c r="LZT479" s="2204">
        <f>[16]BV!MAE395</f>
        <v>0</v>
      </c>
      <c r="LZU479" s="2204"/>
      <c r="LZV479" s="2204"/>
      <c r="LZW479" s="2204">
        <f t="shared" si="167"/>
        <v>0</v>
      </c>
      <c r="LZX479" s="2204">
        <f>[16]BV!MAI395</f>
        <v>0</v>
      </c>
      <c r="LZY479" s="2204"/>
      <c r="LZZ479" s="2204"/>
      <c r="MAA479" s="2204">
        <f t="shared" si="167"/>
        <v>0</v>
      </c>
      <c r="MAB479" s="2204">
        <f>[16]BV!MAM395</f>
        <v>0</v>
      </c>
      <c r="MAC479" s="2204"/>
      <c r="MAD479" s="2204"/>
      <c r="MAE479" s="2204">
        <f t="shared" si="167"/>
        <v>0</v>
      </c>
      <c r="MAF479" s="2204">
        <f>[16]BV!MAQ395</f>
        <v>0</v>
      </c>
      <c r="MAG479" s="2204"/>
      <c r="MAH479" s="2204"/>
      <c r="MAI479" s="2204">
        <f t="shared" si="167"/>
        <v>0</v>
      </c>
      <c r="MAJ479" s="2204">
        <f>[16]BV!MAU395</f>
        <v>0</v>
      </c>
      <c r="MAK479" s="2204"/>
      <c r="MAL479" s="2204"/>
      <c r="MAM479" s="2204">
        <f t="shared" si="167"/>
        <v>0</v>
      </c>
      <c r="MAN479" s="2204">
        <f>[16]BV!MAY395</f>
        <v>0</v>
      </c>
      <c r="MAO479" s="2204"/>
      <c r="MAP479" s="2204"/>
      <c r="MAQ479" s="2204">
        <f t="shared" si="167"/>
        <v>0</v>
      </c>
      <c r="MAR479" s="2204">
        <f>[16]BV!MBC395</f>
        <v>0</v>
      </c>
      <c r="MAS479" s="2204"/>
      <c r="MAT479" s="2204"/>
      <c r="MAU479" s="2204">
        <f t="shared" ref="MAU479:MDC479" si="168">MAR479</f>
        <v>0</v>
      </c>
      <c r="MAV479" s="2204">
        <f>[16]BV!MBG395</f>
        <v>0</v>
      </c>
      <c r="MAW479" s="2204"/>
      <c r="MAX479" s="2204"/>
      <c r="MAY479" s="2204">
        <f t="shared" si="168"/>
        <v>0</v>
      </c>
      <c r="MAZ479" s="2204">
        <f>[16]BV!MBK395</f>
        <v>0</v>
      </c>
      <c r="MBA479" s="2204"/>
      <c r="MBB479" s="2204"/>
      <c r="MBC479" s="2204">
        <f t="shared" si="168"/>
        <v>0</v>
      </c>
      <c r="MBD479" s="2204">
        <f>[16]BV!MBO395</f>
        <v>0</v>
      </c>
      <c r="MBE479" s="2204"/>
      <c r="MBF479" s="2204"/>
      <c r="MBG479" s="2204">
        <f t="shared" si="168"/>
        <v>0</v>
      </c>
      <c r="MBH479" s="2204">
        <f>[16]BV!MBS395</f>
        <v>0</v>
      </c>
      <c r="MBI479" s="2204"/>
      <c r="MBJ479" s="2204"/>
      <c r="MBK479" s="2204">
        <f t="shared" si="168"/>
        <v>0</v>
      </c>
      <c r="MBL479" s="2204">
        <f>[16]BV!MBW395</f>
        <v>0</v>
      </c>
      <c r="MBM479" s="2204"/>
      <c r="MBN479" s="2204"/>
      <c r="MBO479" s="2204">
        <f t="shared" si="168"/>
        <v>0</v>
      </c>
      <c r="MBP479" s="2204">
        <f>[16]BV!MCA395</f>
        <v>0</v>
      </c>
      <c r="MBQ479" s="2204"/>
      <c r="MBR479" s="2204"/>
      <c r="MBS479" s="2204">
        <f t="shared" si="168"/>
        <v>0</v>
      </c>
      <c r="MBT479" s="2204">
        <f>[16]BV!MCE395</f>
        <v>0</v>
      </c>
      <c r="MBU479" s="2204"/>
      <c r="MBV479" s="2204"/>
      <c r="MBW479" s="2204">
        <f t="shared" si="168"/>
        <v>0</v>
      </c>
      <c r="MBX479" s="2204">
        <f>[16]BV!MCI395</f>
        <v>0</v>
      </c>
      <c r="MBY479" s="2204"/>
      <c r="MBZ479" s="2204"/>
      <c r="MCA479" s="2204">
        <f t="shared" si="168"/>
        <v>0</v>
      </c>
      <c r="MCB479" s="2204">
        <f>[16]BV!MCM395</f>
        <v>0</v>
      </c>
      <c r="MCC479" s="2204"/>
      <c r="MCD479" s="2204"/>
      <c r="MCE479" s="2204">
        <f t="shared" si="168"/>
        <v>0</v>
      </c>
      <c r="MCF479" s="2204">
        <f>[16]BV!MCQ395</f>
        <v>0</v>
      </c>
      <c r="MCG479" s="2204"/>
      <c r="MCH479" s="2204"/>
      <c r="MCI479" s="2204">
        <f t="shared" si="168"/>
        <v>0</v>
      </c>
      <c r="MCJ479" s="2204">
        <f>[16]BV!MCU395</f>
        <v>0</v>
      </c>
      <c r="MCK479" s="2204"/>
      <c r="MCL479" s="2204"/>
      <c r="MCM479" s="2204">
        <f t="shared" si="168"/>
        <v>0</v>
      </c>
      <c r="MCN479" s="2204">
        <f>[16]BV!MCY395</f>
        <v>0</v>
      </c>
      <c r="MCO479" s="2204"/>
      <c r="MCP479" s="2204"/>
      <c r="MCQ479" s="2204">
        <f t="shared" si="168"/>
        <v>0</v>
      </c>
      <c r="MCR479" s="2204">
        <f>[16]BV!MDC395</f>
        <v>0</v>
      </c>
      <c r="MCS479" s="2204"/>
      <c r="MCT479" s="2204"/>
      <c r="MCU479" s="2204">
        <f t="shared" si="168"/>
        <v>0</v>
      </c>
      <c r="MCV479" s="2204">
        <f>[16]BV!MDG395</f>
        <v>0</v>
      </c>
      <c r="MCW479" s="2204"/>
      <c r="MCX479" s="2204"/>
      <c r="MCY479" s="2204">
        <f t="shared" si="168"/>
        <v>0</v>
      </c>
      <c r="MCZ479" s="2204">
        <f>[16]BV!MDK395</f>
        <v>0</v>
      </c>
      <c r="MDA479" s="2204"/>
      <c r="MDB479" s="2204"/>
      <c r="MDC479" s="2204">
        <f t="shared" si="168"/>
        <v>0</v>
      </c>
      <c r="MDD479" s="2204">
        <f>[16]BV!MDO395</f>
        <v>0</v>
      </c>
      <c r="MDE479" s="2204"/>
      <c r="MDF479" s="2204"/>
      <c r="MDG479" s="2204">
        <f t="shared" ref="MDG479:MFO479" si="169">MDD479</f>
        <v>0</v>
      </c>
      <c r="MDH479" s="2204">
        <f>[16]BV!MDS395</f>
        <v>0</v>
      </c>
      <c r="MDI479" s="2204"/>
      <c r="MDJ479" s="2204"/>
      <c r="MDK479" s="2204">
        <f t="shared" si="169"/>
        <v>0</v>
      </c>
      <c r="MDL479" s="2204">
        <f>[16]BV!MDW395</f>
        <v>0</v>
      </c>
      <c r="MDM479" s="2204"/>
      <c r="MDN479" s="2204"/>
      <c r="MDO479" s="2204">
        <f t="shared" si="169"/>
        <v>0</v>
      </c>
      <c r="MDP479" s="2204">
        <f>[16]BV!MEA395</f>
        <v>0</v>
      </c>
      <c r="MDQ479" s="2204"/>
      <c r="MDR479" s="2204"/>
      <c r="MDS479" s="2204">
        <f t="shared" si="169"/>
        <v>0</v>
      </c>
      <c r="MDT479" s="2204">
        <f>[16]BV!MEE395</f>
        <v>0</v>
      </c>
      <c r="MDU479" s="2204"/>
      <c r="MDV479" s="2204"/>
      <c r="MDW479" s="2204">
        <f t="shared" si="169"/>
        <v>0</v>
      </c>
      <c r="MDX479" s="2204">
        <f>[16]BV!MEI395</f>
        <v>0</v>
      </c>
      <c r="MDY479" s="2204"/>
      <c r="MDZ479" s="2204"/>
      <c r="MEA479" s="2204">
        <f t="shared" si="169"/>
        <v>0</v>
      </c>
      <c r="MEB479" s="2204">
        <f>[16]BV!MEM395</f>
        <v>0</v>
      </c>
      <c r="MEC479" s="2204"/>
      <c r="MED479" s="2204"/>
      <c r="MEE479" s="2204">
        <f t="shared" si="169"/>
        <v>0</v>
      </c>
      <c r="MEF479" s="2204">
        <f>[16]BV!MEQ395</f>
        <v>0</v>
      </c>
      <c r="MEG479" s="2204"/>
      <c r="MEH479" s="2204"/>
      <c r="MEI479" s="2204">
        <f t="shared" si="169"/>
        <v>0</v>
      </c>
      <c r="MEJ479" s="2204">
        <f>[16]BV!MEU395</f>
        <v>0</v>
      </c>
      <c r="MEK479" s="2204"/>
      <c r="MEL479" s="2204"/>
      <c r="MEM479" s="2204">
        <f t="shared" si="169"/>
        <v>0</v>
      </c>
      <c r="MEN479" s="2204">
        <f>[16]BV!MEY395</f>
        <v>0</v>
      </c>
      <c r="MEO479" s="2204"/>
      <c r="MEP479" s="2204"/>
      <c r="MEQ479" s="2204">
        <f t="shared" si="169"/>
        <v>0</v>
      </c>
      <c r="MER479" s="2204">
        <f>[16]BV!MFC395</f>
        <v>0</v>
      </c>
      <c r="MES479" s="2204"/>
      <c r="MET479" s="2204"/>
      <c r="MEU479" s="2204">
        <f t="shared" si="169"/>
        <v>0</v>
      </c>
      <c r="MEV479" s="2204">
        <f>[16]BV!MFG395</f>
        <v>0</v>
      </c>
      <c r="MEW479" s="2204"/>
      <c r="MEX479" s="2204"/>
      <c r="MEY479" s="2204">
        <f t="shared" si="169"/>
        <v>0</v>
      </c>
      <c r="MEZ479" s="2204">
        <f>[16]BV!MFK395</f>
        <v>0</v>
      </c>
      <c r="MFA479" s="2204"/>
      <c r="MFB479" s="2204"/>
      <c r="MFC479" s="2204">
        <f t="shared" si="169"/>
        <v>0</v>
      </c>
      <c r="MFD479" s="2204">
        <f>[16]BV!MFO395</f>
        <v>0</v>
      </c>
      <c r="MFE479" s="2204"/>
      <c r="MFF479" s="2204"/>
      <c r="MFG479" s="2204">
        <f t="shared" si="169"/>
        <v>0</v>
      </c>
      <c r="MFH479" s="2204">
        <f>[16]BV!MFS395</f>
        <v>0</v>
      </c>
      <c r="MFI479" s="2204"/>
      <c r="MFJ479" s="2204"/>
      <c r="MFK479" s="2204">
        <f t="shared" si="169"/>
        <v>0</v>
      </c>
      <c r="MFL479" s="2204">
        <f>[16]BV!MFW395</f>
        <v>0</v>
      </c>
      <c r="MFM479" s="2204"/>
      <c r="MFN479" s="2204"/>
      <c r="MFO479" s="2204">
        <f t="shared" si="169"/>
        <v>0</v>
      </c>
      <c r="MFP479" s="2204">
        <f>[16]BV!MGA395</f>
        <v>0</v>
      </c>
      <c r="MFQ479" s="2204"/>
      <c r="MFR479" s="2204"/>
      <c r="MFS479" s="2204">
        <f t="shared" ref="MFS479:MIA479" si="170">MFP479</f>
        <v>0</v>
      </c>
      <c r="MFT479" s="2204">
        <f>[16]BV!MGE395</f>
        <v>0</v>
      </c>
      <c r="MFU479" s="2204"/>
      <c r="MFV479" s="2204"/>
      <c r="MFW479" s="2204">
        <f t="shared" si="170"/>
        <v>0</v>
      </c>
      <c r="MFX479" s="2204">
        <f>[16]BV!MGI395</f>
        <v>0</v>
      </c>
      <c r="MFY479" s="2204"/>
      <c r="MFZ479" s="2204"/>
      <c r="MGA479" s="2204">
        <f t="shared" si="170"/>
        <v>0</v>
      </c>
      <c r="MGB479" s="2204">
        <f>[16]BV!MGM395</f>
        <v>0</v>
      </c>
      <c r="MGC479" s="2204"/>
      <c r="MGD479" s="2204"/>
      <c r="MGE479" s="2204">
        <f t="shared" si="170"/>
        <v>0</v>
      </c>
      <c r="MGF479" s="2204">
        <f>[16]BV!MGQ395</f>
        <v>0</v>
      </c>
      <c r="MGG479" s="2204"/>
      <c r="MGH479" s="2204"/>
      <c r="MGI479" s="2204">
        <f t="shared" si="170"/>
        <v>0</v>
      </c>
      <c r="MGJ479" s="2204">
        <f>[16]BV!MGU395</f>
        <v>0</v>
      </c>
      <c r="MGK479" s="2204"/>
      <c r="MGL479" s="2204"/>
      <c r="MGM479" s="2204">
        <f t="shared" si="170"/>
        <v>0</v>
      </c>
      <c r="MGN479" s="2204">
        <f>[16]BV!MGY395</f>
        <v>0</v>
      </c>
      <c r="MGO479" s="2204"/>
      <c r="MGP479" s="2204"/>
      <c r="MGQ479" s="2204">
        <f t="shared" si="170"/>
        <v>0</v>
      </c>
      <c r="MGR479" s="2204">
        <f>[16]BV!MHC395</f>
        <v>0</v>
      </c>
      <c r="MGS479" s="2204"/>
      <c r="MGT479" s="2204"/>
      <c r="MGU479" s="2204">
        <f t="shared" si="170"/>
        <v>0</v>
      </c>
      <c r="MGV479" s="2204">
        <f>[16]BV!MHG395</f>
        <v>0</v>
      </c>
      <c r="MGW479" s="2204"/>
      <c r="MGX479" s="2204"/>
      <c r="MGY479" s="2204">
        <f t="shared" si="170"/>
        <v>0</v>
      </c>
      <c r="MGZ479" s="2204">
        <f>[16]BV!MHK395</f>
        <v>0</v>
      </c>
      <c r="MHA479" s="2204"/>
      <c r="MHB479" s="2204"/>
      <c r="MHC479" s="2204">
        <f t="shared" si="170"/>
        <v>0</v>
      </c>
      <c r="MHD479" s="2204">
        <f>[16]BV!MHO395</f>
        <v>0</v>
      </c>
      <c r="MHE479" s="2204"/>
      <c r="MHF479" s="2204"/>
      <c r="MHG479" s="2204">
        <f t="shared" si="170"/>
        <v>0</v>
      </c>
      <c r="MHH479" s="2204">
        <f>[16]BV!MHS395</f>
        <v>0</v>
      </c>
      <c r="MHI479" s="2204"/>
      <c r="MHJ479" s="2204"/>
      <c r="MHK479" s="2204">
        <f t="shared" si="170"/>
        <v>0</v>
      </c>
      <c r="MHL479" s="2204">
        <f>[16]BV!MHW395</f>
        <v>0</v>
      </c>
      <c r="MHM479" s="2204"/>
      <c r="MHN479" s="2204"/>
      <c r="MHO479" s="2204">
        <f t="shared" si="170"/>
        <v>0</v>
      </c>
      <c r="MHP479" s="2204">
        <f>[16]BV!MIA395</f>
        <v>0</v>
      </c>
      <c r="MHQ479" s="2204"/>
      <c r="MHR479" s="2204"/>
      <c r="MHS479" s="2204">
        <f t="shared" si="170"/>
        <v>0</v>
      </c>
      <c r="MHT479" s="2204">
        <f>[16]BV!MIE395</f>
        <v>0</v>
      </c>
      <c r="MHU479" s="2204"/>
      <c r="MHV479" s="2204"/>
      <c r="MHW479" s="2204">
        <f t="shared" si="170"/>
        <v>0</v>
      </c>
      <c r="MHX479" s="2204">
        <f>[16]BV!MII395</f>
        <v>0</v>
      </c>
      <c r="MHY479" s="2204"/>
      <c r="MHZ479" s="2204"/>
      <c r="MIA479" s="2204">
        <f t="shared" si="170"/>
        <v>0</v>
      </c>
      <c r="MIB479" s="2204">
        <f>[16]BV!MIM395</f>
        <v>0</v>
      </c>
      <c r="MIC479" s="2204"/>
      <c r="MID479" s="2204"/>
      <c r="MIE479" s="2204">
        <f t="shared" ref="MIE479:MKM479" si="171">MIB479</f>
        <v>0</v>
      </c>
      <c r="MIF479" s="2204">
        <f>[16]BV!MIQ395</f>
        <v>0</v>
      </c>
      <c r="MIG479" s="2204"/>
      <c r="MIH479" s="2204"/>
      <c r="MII479" s="2204">
        <f t="shared" si="171"/>
        <v>0</v>
      </c>
      <c r="MIJ479" s="2204">
        <f>[16]BV!MIU395</f>
        <v>0</v>
      </c>
      <c r="MIK479" s="2204"/>
      <c r="MIL479" s="2204"/>
      <c r="MIM479" s="2204">
        <f t="shared" si="171"/>
        <v>0</v>
      </c>
      <c r="MIN479" s="2204">
        <f>[16]BV!MIY395</f>
        <v>0</v>
      </c>
      <c r="MIO479" s="2204"/>
      <c r="MIP479" s="2204"/>
      <c r="MIQ479" s="2204">
        <f t="shared" si="171"/>
        <v>0</v>
      </c>
      <c r="MIR479" s="2204">
        <f>[16]BV!MJC395</f>
        <v>0</v>
      </c>
      <c r="MIS479" s="2204"/>
      <c r="MIT479" s="2204"/>
      <c r="MIU479" s="2204">
        <f t="shared" si="171"/>
        <v>0</v>
      </c>
      <c r="MIV479" s="2204">
        <f>[16]BV!MJG395</f>
        <v>0</v>
      </c>
      <c r="MIW479" s="2204"/>
      <c r="MIX479" s="2204"/>
      <c r="MIY479" s="2204">
        <f t="shared" si="171"/>
        <v>0</v>
      </c>
      <c r="MIZ479" s="2204">
        <f>[16]BV!MJK395</f>
        <v>0</v>
      </c>
      <c r="MJA479" s="2204"/>
      <c r="MJB479" s="2204"/>
      <c r="MJC479" s="2204">
        <f t="shared" si="171"/>
        <v>0</v>
      </c>
      <c r="MJD479" s="2204">
        <f>[16]BV!MJO395</f>
        <v>0</v>
      </c>
      <c r="MJE479" s="2204"/>
      <c r="MJF479" s="2204"/>
      <c r="MJG479" s="2204">
        <f t="shared" si="171"/>
        <v>0</v>
      </c>
      <c r="MJH479" s="2204">
        <f>[16]BV!MJS395</f>
        <v>0</v>
      </c>
      <c r="MJI479" s="2204"/>
      <c r="MJJ479" s="2204"/>
      <c r="MJK479" s="2204">
        <f t="shared" si="171"/>
        <v>0</v>
      </c>
      <c r="MJL479" s="2204">
        <f>[16]BV!MJW395</f>
        <v>0</v>
      </c>
      <c r="MJM479" s="2204"/>
      <c r="MJN479" s="2204"/>
      <c r="MJO479" s="2204">
        <f t="shared" si="171"/>
        <v>0</v>
      </c>
      <c r="MJP479" s="2204">
        <f>[16]BV!MKA395</f>
        <v>0</v>
      </c>
      <c r="MJQ479" s="2204"/>
      <c r="MJR479" s="2204"/>
      <c r="MJS479" s="2204">
        <f t="shared" si="171"/>
        <v>0</v>
      </c>
      <c r="MJT479" s="2204">
        <f>[16]BV!MKE395</f>
        <v>0</v>
      </c>
      <c r="MJU479" s="2204"/>
      <c r="MJV479" s="2204"/>
      <c r="MJW479" s="2204">
        <f t="shared" si="171"/>
        <v>0</v>
      </c>
      <c r="MJX479" s="2204">
        <f>[16]BV!MKI395</f>
        <v>0</v>
      </c>
      <c r="MJY479" s="2204"/>
      <c r="MJZ479" s="2204"/>
      <c r="MKA479" s="2204">
        <f t="shared" si="171"/>
        <v>0</v>
      </c>
      <c r="MKB479" s="2204">
        <f>[16]BV!MKM395</f>
        <v>0</v>
      </c>
      <c r="MKC479" s="2204"/>
      <c r="MKD479" s="2204"/>
      <c r="MKE479" s="2204">
        <f t="shared" si="171"/>
        <v>0</v>
      </c>
      <c r="MKF479" s="2204">
        <f>[16]BV!MKQ395</f>
        <v>0</v>
      </c>
      <c r="MKG479" s="2204"/>
      <c r="MKH479" s="2204"/>
      <c r="MKI479" s="2204">
        <f t="shared" si="171"/>
        <v>0</v>
      </c>
      <c r="MKJ479" s="2204">
        <f>[16]BV!MKU395</f>
        <v>0</v>
      </c>
      <c r="MKK479" s="2204"/>
      <c r="MKL479" s="2204"/>
      <c r="MKM479" s="2204">
        <f t="shared" si="171"/>
        <v>0</v>
      </c>
      <c r="MKN479" s="2204">
        <f>[16]BV!MKY395</f>
        <v>0</v>
      </c>
      <c r="MKO479" s="2204"/>
      <c r="MKP479" s="2204"/>
      <c r="MKQ479" s="2204">
        <f t="shared" ref="MKQ479:MMY479" si="172">MKN479</f>
        <v>0</v>
      </c>
      <c r="MKR479" s="2204">
        <f>[16]BV!MLC395</f>
        <v>0</v>
      </c>
      <c r="MKS479" s="2204"/>
      <c r="MKT479" s="2204"/>
      <c r="MKU479" s="2204">
        <f t="shared" si="172"/>
        <v>0</v>
      </c>
      <c r="MKV479" s="2204">
        <f>[16]BV!MLG395</f>
        <v>0</v>
      </c>
      <c r="MKW479" s="2204"/>
      <c r="MKX479" s="2204"/>
      <c r="MKY479" s="2204">
        <f t="shared" si="172"/>
        <v>0</v>
      </c>
      <c r="MKZ479" s="2204">
        <f>[16]BV!MLK395</f>
        <v>0</v>
      </c>
      <c r="MLA479" s="2204"/>
      <c r="MLB479" s="2204"/>
      <c r="MLC479" s="2204">
        <f t="shared" si="172"/>
        <v>0</v>
      </c>
      <c r="MLD479" s="2204">
        <f>[16]BV!MLO395</f>
        <v>0</v>
      </c>
      <c r="MLE479" s="2204"/>
      <c r="MLF479" s="2204"/>
      <c r="MLG479" s="2204">
        <f t="shared" si="172"/>
        <v>0</v>
      </c>
      <c r="MLH479" s="2204">
        <f>[16]BV!MLS395</f>
        <v>0</v>
      </c>
      <c r="MLI479" s="2204"/>
      <c r="MLJ479" s="2204"/>
      <c r="MLK479" s="2204">
        <f t="shared" si="172"/>
        <v>0</v>
      </c>
      <c r="MLL479" s="2204">
        <f>[16]BV!MLW395</f>
        <v>0</v>
      </c>
      <c r="MLM479" s="2204"/>
      <c r="MLN479" s="2204"/>
      <c r="MLO479" s="2204">
        <f t="shared" si="172"/>
        <v>0</v>
      </c>
      <c r="MLP479" s="2204">
        <f>[16]BV!MMA395</f>
        <v>0</v>
      </c>
      <c r="MLQ479" s="2204"/>
      <c r="MLR479" s="2204"/>
      <c r="MLS479" s="2204">
        <f t="shared" si="172"/>
        <v>0</v>
      </c>
      <c r="MLT479" s="2204">
        <f>[16]BV!MME395</f>
        <v>0</v>
      </c>
      <c r="MLU479" s="2204"/>
      <c r="MLV479" s="2204"/>
      <c r="MLW479" s="2204">
        <f t="shared" si="172"/>
        <v>0</v>
      </c>
      <c r="MLX479" s="2204">
        <f>[16]BV!MMI395</f>
        <v>0</v>
      </c>
      <c r="MLY479" s="2204"/>
      <c r="MLZ479" s="2204"/>
      <c r="MMA479" s="2204">
        <f t="shared" si="172"/>
        <v>0</v>
      </c>
      <c r="MMB479" s="2204">
        <f>[16]BV!MMM395</f>
        <v>0</v>
      </c>
      <c r="MMC479" s="2204"/>
      <c r="MMD479" s="2204"/>
      <c r="MME479" s="2204">
        <f t="shared" si="172"/>
        <v>0</v>
      </c>
      <c r="MMF479" s="2204">
        <f>[16]BV!MMQ395</f>
        <v>0</v>
      </c>
      <c r="MMG479" s="2204"/>
      <c r="MMH479" s="2204"/>
      <c r="MMI479" s="2204">
        <f t="shared" si="172"/>
        <v>0</v>
      </c>
      <c r="MMJ479" s="2204">
        <f>[16]BV!MMU395</f>
        <v>0</v>
      </c>
      <c r="MMK479" s="2204"/>
      <c r="MML479" s="2204"/>
      <c r="MMM479" s="2204">
        <f t="shared" si="172"/>
        <v>0</v>
      </c>
      <c r="MMN479" s="2204">
        <f>[16]BV!MMY395</f>
        <v>0</v>
      </c>
      <c r="MMO479" s="2204"/>
      <c r="MMP479" s="2204"/>
      <c r="MMQ479" s="2204">
        <f t="shared" si="172"/>
        <v>0</v>
      </c>
      <c r="MMR479" s="2204">
        <f>[16]BV!MNC395</f>
        <v>0</v>
      </c>
      <c r="MMS479" s="2204"/>
      <c r="MMT479" s="2204"/>
      <c r="MMU479" s="2204">
        <f t="shared" si="172"/>
        <v>0</v>
      </c>
      <c r="MMV479" s="2204">
        <f>[16]BV!MNG395</f>
        <v>0</v>
      </c>
      <c r="MMW479" s="2204"/>
      <c r="MMX479" s="2204"/>
      <c r="MMY479" s="2204">
        <f t="shared" si="172"/>
        <v>0</v>
      </c>
      <c r="MMZ479" s="2204">
        <f>[16]BV!MNK395</f>
        <v>0</v>
      </c>
      <c r="MNA479" s="2204"/>
      <c r="MNB479" s="2204"/>
      <c r="MNC479" s="2204">
        <f t="shared" ref="MNC479:MPK479" si="173">MMZ479</f>
        <v>0</v>
      </c>
      <c r="MND479" s="2204">
        <f>[16]BV!MNO395</f>
        <v>0</v>
      </c>
      <c r="MNE479" s="2204"/>
      <c r="MNF479" s="2204"/>
      <c r="MNG479" s="2204">
        <f t="shared" si="173"/>
        <v>0</v>
      </c>
      <c r="MNH479" s="2204">
        <f>[16]BV!MNS395</f>
        <v>0</v>
      </c>
      <c r="MNI479" s="2204"/>
      <c r="MNJ479" s="2204"/>
      <c r="MNK479" s="2204">
        <f t="shared" si="173"/>
        <v>0</v>
      </c>
      <c r="MNL479" s="2204">
        <f>[16]BV!MNW395</f>
        <v>0</v>
      </c>
      <c r="MNM479" s="2204"/>
      <c r="MNN479" s="2204"/>
      <c r="MNO479" s="2204">
        <f t="shared" si="173"/>
        <v>0</v>
      </c>
      <c r="MNP479" s="2204">
        <f>[16]BV!MOA395</f>
        <v>0</v>
      </c>
      <c r="MNQ479" s="2204"/>
      <c r="MNR479" s="2204"/>
      <c r="MNS479" s="2204">
        <f t="shared" si="173"/>
        <v>0</v>
      </c>
      <c r="MNT479" s="2204">
        <f>[16]BV!MOE395</f>
        <v>0</v>
      </c>
      <c r="MNU479" s="2204"/>
      <c r="MNV479" s="2204"/>
      <c r="MNW479" s="2204">
        <f t="shared" si="173"/>
        <v>0</v>
      </c>
      <c r="MNX479" s="2204">
        <f>[16]BV!MOI395</f>
        <v>0</v>
      </c>
      <c r="MNY479" s="2204"/>
      <c r="MNZ479" s="2204"/>
      <c r="MOA479" s="2204">
        <f t="shared" si="173"/>
        <v>0</v>
      </c>
      <c r="MOB479" s="2204">
        <f>[16]BV!MOM395</f>
        <v>0</v>
      </c>
      <c r="MOC479" s="2204"/>
      <c r="MOD479" s="2204"/>
      <c r="MOE479" s="2204">
        <f t="shared" si="173"/>
        <v>0</v>
      </c>
      <c r="MOF479" s="2204">
        <f>[16]BV!MOQ395</f>
        <v>0</v>
      </c>
      <c r="MOG479" s="2204"/>
      <c r="MOH479" s="2204"/>
      <c r="MOI479" s="2204">
        <f t="shared" si="173"/>
        <v>0</v>
      </c>
      <c r="MOJ479" s="2204">
        <f>[16]BV!MOU395</f>
        <v>0</v>
      </c>
      <c r="MOK479" s="2204"/>
      <c r="MOL479" s="2204"/>
      <c r="MOM479" s="2204">
        <f t="shared" si="173"/>
        <v>0</v>
      </c>
      <c r="MON479" s="2204">
        <f>[16]BV!MOY395</f>
        <v>0</v>
      </c>
      <c r="MOO479" s="2204"/>
      <c r="MOP479" s="2204"/>
      <c r="MOQ479" s="2204">
        <f t="shared" si="173"/>
        <v>0</v>
      </c>
      <c r="MOR479" s="2204">
        <f>[16]BV!MPC395</f>
        <v>0</v>
      </c>
      <c r="MOS479" s="2204"/>
      <c r="MOT479" s="2204"/>
      <c r="MOU479" s="2204">
        <f t="shared" si="173"/>
        <v>0</v>
      </c>
      <c r="MOV479" s="2204">
        <f>[16]BV!MPG395</f>
        <v>0</v>
      </c>
      <c r="MOW479" s="2204"/>
      <c r="MOX479" s="2204"/>
      <c r="MOY479" s="2204">
        <f t="shared" si="173"/>
        <v>0</v>
      </c>
      <c r="MOZ479" s="2204">
        <f>[16]BV!MPK395</f>
        <v>0</v>
      </c>
      <c r="MPA479" s="2204"/>
      <c r="MPB479" s="2204"/>
      <c r="MPC479" s="2204">
        <f t="shared" si="173"/>
        <v>0</v>
      </c>
      <c r="MPD479" s="2204">
        <f>[16]BV!MPO395</f>
        <v>0</v>
      </c>
      <c r="MPE479" s="2204"/>
      <c r="MPF479" s="2204"/>
      <c r="MPG479" s="2204">
        <f t="shared" si="173"/>
        <v>0</v>
      </c>
      <c r="MPH479" s="2204">
        <f>[16]BV!MPS395</f>
        <v>0</v>
      </c>
      <c r="MPI479" s="2204"/>
      <c r="MPJ479" s="2204"/>
      <c r="MPK479" s="2204">
        <f t="shared" si="173"/>
        <v>0</v>
      </c>
      <c r="MPL479" s="2204">
        <f>[16]BV!MPW395</f>
        <v>0</v>
      </c>
      <c r="MPM479" s="2204"/>
      <c r="MPN479" s="2204"/>
      <c r="MPO479" s="2204">
        <f t="shared" ref="MPO479:MRW479" si="174">MPL479</f>
        <v>0</v>
      </c>
      <c r="MPP479" s="2204">
        <f>[16]BV!MQA395</f>
        <v>0</v>
      </c>
      <c r="MPQ479" s="2204"/>
      <c r="MPR479" s="2204"/>
      <c r="MPS479" s="2204">
        <f t="shared" si="174"/>
        <v>0</v>
      </c>
      <c r="MPT479" s="2204">
        <f>[16]BV!MQE395</f>
        <v>0</v>
      </c>
      <c r="MPU479" s="2204"/>
      <c r="MPV479" s="2204"/>
      <c r="MPW479" s="2204">
        <f t="shared" si="174"/>
        <v>0</v>
      </c>
      <c r="MPX479" s="2204">
        <f>[16]BV!MQI395</f>
        <v>0</v>
      </c>
      <c r="MPY479" s="2204"/>
      <c r="MPZ479" s="2204"/>
      <c r="MQA479" s="2204">
        <f t="shared" si="174"/>
        <v>0</v>
      </c>
      <c r="MQB479" s="2204">
        <f>[16]BV!MQM395</f>
        <v>0</v>
      </c>
      <c r="MQC479" s="2204"/>
      <c r="MQD479" s="2204"/>
      <c r="MQE479" s="2204">
        <f t="shared" si="174"/>
        <v>0</v>
      </c>
      <c r="MQF479" s="2204">
        <f>[16]BV!MQQ395</f>
        <v>0</v>
      </c>
      <c r="MQG479" s="2204"/>
      <c r="MQH479" s="2204"/>
      <c r="MQI479" s="2204">
        <f t="shared" si="174"/>
        <v>0</v>
      </c>
      <c r="MQJ479" s="2204">
        <f>[16]BV!MQU395</f>
        <v>0</v>
      </c>
      <c r="MQK479" s="2204"/>
      <c r="MQL479" s="2204"/>
      <c r="MQM479" s="2204">
        <f t="shared" si="174"/>
        <v>0</v>
      </c>
      <c r="MQN479" s="2204">
        <f>[16]BV!MQY395</f>
        <v>0</v>
      </c>
      <c r="MQO479" s="2204"/>
      <c r="MQP479" s="2204"/>
      <c r="MQQ479" s="2204">
        <f t="shared" si="174"/>
        <v>0</v>
      </c>
      <c r="MQR479" s="2204">
        <f>[16]BV!MRC395</f>
        <v>0</v>
      </c>
      <c r="MQS479" s="2204"/>
      <c r="MQT479" s="2204"/>
      <c r="MQU479" s="2204">
        <f t="shared" si="174"/>
        <v>0</v>
      </c>
      <c r="MQV479" s="2204">
        <f>[16]BV!MRG395</f>
        <v>0</v>
      </c>
      <c r="MQW479" s="2204"/>
      <c r="MQX479" s="2204"/>
      <c r="MQY479" s="2204">
        <f t="shared" si="174"/>
        <v>0</v>
      </c>
      <c r="MQZ479" s="2204">
        <f>[16]BV!MRK395</f>
        <v>0</v>
      </c>
      <c r="MRA479" s="2204"/>
      <c r="MRB479" s="2204"/>
      <c r="MRC479" s="2204">
        <f t="shared" si="174"/>
        <v>0</v>
      </c>
      <c r="MRD479" s="2204">
        <f>[16]BV!MRO395</f>
        <v>0</v>
      </c>
      <c r="MRE479" s="2204"/>
      <c r="MRF479" s="2204"/>
      <c r="MRG479" s="2204">
        <f t="shared" si="174"/>
        <v>0</v>
      </c>
      <c r="MRH479" s="2204">
        <f>[16]BV!MRS395</f>
        <v>0</v>
      </c>
      <c r="MRI479" s="2204"/>
      <c r="MRJ479" s="2204"/>
      <c r="MRK479" s="2204">
        <f t="shared" si="174"/>
        <v>0</v>
      </c>
      <c r="MRL479" s="2204">
        <f>[16]BV!MRW395</f>
        <v>0</v>
      </c>
      <c r="MRM479" s="2204"/>
      <c r="MRN479" s="2204"/>
      <c r="MRO479" s="2204">
        <f t="shared" si="174"/>
        <v>0</v>
      </c>
      <c r="MRP479" s="2204">
        <f>[16]BV!MSA395</f>
        <v>0</v>
      </c>
      <c r="MRQ479" s="2204"/>
      <c r="MRR479" s="2204"/>
      <c r="MRS479" s="2204">
        <f t="shared" si="174"/>
        <v>0</v>
      </c>
      <c r="MRT479" s="2204">
        <f>[16]BV!MSE395</f>
        <v>0</v>
      </c>
      <c r="MRU479" s="2204"/>
      <c r="MRV479" s="2204"/>
      <c r="MRW479" s="2204">
        <f t="shared" si="174"/>
        <v>0</v>
      </c>
      <c r="MRX479" s="2204">
        <f>[16]BV!MSI395</f>
        <v>0</v>
      </c>
      <c r="MRY479" s="2204"/>
      <c r="MRZ479" s="2204"/>
      <c r="MSA479" s="2204">
        <f t="shared" ref="MSA479:MUI479" si="175">MRX479</f>
        <v>0</v>
      </c>
      <c r="MSB479" s="2204">
        <f>[16]BV!MSM395</f>
        <v>0</v>
      </c>
      <c r="MSC479" s="2204"/>
      <c r="MSD479" s="2204"/>
      <c r="MSE479" s="2204">
        <f t="shared" si="175"/>
        <v>0</v>
      </c>
      <c r="MSF479" s="2204">
        <f>[16]BV!MSQ395</f>
        <v>0</v>
      </c>
      <c r="MSG479" s="2204"/>
      <c r="MSH479" s="2204"/>
      <c r="MSI479" s="2204">
        <f t="shared" si="175"/>
        <v>0</v>
      </c>
      <c r="MSJ479" s="2204">
        <f>[16]BV!MSU395</f>
        <v>0</v>
      </c>
      <c r="MSK479" s="2204"/>
      <c r="MSL479" s="2204"/>
      <c r="MSM479" s="2204">
        <f t="shared" si="175"/>
        <v>0</v>
      </c>
      <c r="MSN479" s="2204">
        <f>[16]BV!MSY395</f>
        <v>0</v>
      </c>
      <c r="MSO479" s="2204"/>
      <c r="MSP479" s="2204"/>
      <c r="MSQ479" s="2204">
        <f t="shared" si="175"/>
        <v>0</v>
      </c>
      <c r="MSR479" s="2204">
        <f>[16]BV!MTC395</f>
        <v>0</v>
      </c>
      <c r="MSS479" s="2204"/>
      <c r="MST479" s="2204"/>
      <c r="MSU479" s="2204">
        <f t="shared" si="175"/>
        <v>0</v>
      </c>
      <c r="MSV479" s="2204">
        <f>[16]BV!MTG395</f>
        <v>0</v>
      </c>
      <c r="MSW479" s="2204"/>
      <c r="MSX479" s="2204"/>
      <c r="MSY479" s="2204">
        <f t="shared" si="175"/>
        <v>0</v>
      </c>
      <c r="MSZ479" s="2204">
        <f>[16]BV!MTK395</f>
        <v>0</v>
      </c>
      <c r="MTA479" s="2204"/>
      <c r="MTB479" s="2204"/>
      <c r="MTC479" s="2204">
        <f t="shared" si="175"/>
        <v>0</v>
      </c>
      <c r="MTD479" s="2204">
        <f>[16]BV!MTO395</f>
        <v>0</v>
      </c>
      <c r="MTE479" s="2204"/>
      <c r="MTF479" s="2204"/>
      <c r="MTG479" s="2204">
        <f t="shared" si="175"/>
        <v>0</v>
      </c>
      <c r="MTH479" s="2204">
        <f>[16]BV!MTS395</f>
        <v>0</v>
      </c>
      <c r="MTI479" s="2204"/>
      <c r="MTJ479" s="2204"/>
      <c r="MTK479" s="2204">
        <f t="shared" si="175"/>
        <v>0</v>
      </c>
      <c r="MTL479" s="2204">
        <f>[16]BV!MTW395</f>
        <v>0</v>
      </c>
      <c r="MTM479" s="2204"/>
      <c r="MTN479" s="2204"/>
      <c r="MTO479" s="2204">
        <f t="shared" si="175"/>
        <v>0</v>
      </c>
      <c r="MTP479" s="2204">
        <f>[16]BV!MUA395</f>
        <v>0</v>
      </c>
      <c r="MTQ479" s="2204"/>
      <c r="MTR479" s="2204"/>
      <c r="MTS479" s="2204">
        <f t="shared" si="175"/>
        <v>0</v>
      </c>
      <c r="MTT479" s="2204">
        <f>[16]BV!MUE395</f>
        <v>0</v>
      </c>
      <c r="MTU479" s="2204"/>
      <c r="MTV479" s="2204"/>
      <c r="MTW479" s="2204">
        <f t="shared" si="175"/>
        <v>0</v>
      </c>
      <c r="MTX479" s="2204">
        <f>[16]BV!MUI395</f>
        <v>0</v>
      </c>
      <c r="MTY479" s="2204"/>
      <c r="MTZ479" s="2204"/>
      <c r="MUA479" s="2204">
        <f t="shared" si="175"/>
        <v>0</v>
      </c>
      <c r="MUB479" s="2204">
        <f>[16]BV!MUM395</f>
        <v>0</v>
      </c>
      <c r="MUC479" s="2204"/>
      <c r="MUD479" s="2204"/>
      <c r="MUE479" s="2204">
        <f t="shared" si="175"/>
        <v>0</v>
      </c>
      <c r="MUF479" s="2204">
        <f>[16]BV!MUQ395</f>
        <v>0</v>
      </c>
      <c r="MUG479" s="2204"/>
      <c r="MUH479" s="2204"/>
      <c r="MUI479" s="2204">
        <f t="shared" si="175"/>
        <v>0</v>
      </c>
      <c r="MUJ479" s="2204">
        <f>[16]BV!MUU395</f>
        <v>0</v>
      </c>
      <c r="MUK479" s="2204"/>
      <c r="MUL479" s="2204"/>
      <c r="MUM479" s="2204">
        <f t="shared" ref="MUM479:MWU479" si="176">MUJ479</f>
        <v>0</v>
      </c>
      <c r="MUN479" s="2204">
        <f>[16]BV!MUY395</f>
        <v>0</v>
      </c>
      <c r="MUO479" s="2204"/>
      <c r="MUP479" s="2204"/>
      <c r="MUQ479" s="2204">
        <f t="shared" si="176"/>
        <v>0</v>
      </c>
      <c r="MUR479" s="2204">
        <f>[16]BV!MVC395</f>
        <v>0</v>
      </c>
      <c r="MUS479" s="2204"/>
      <c r="MUT479" s="2204"/>
      <c r="MUU479" s="2204">
        <f t="shared" si="176"/>
        <v>0</v>
      </c>
      <c r="MUV479" s="2204">
        <f>[16]BV!MVG395</f>
        <v>0</v>
      </c>
      <c r="MUW479" s="2204"/>
      <c r="MUX479" s="2204"/>
      <c r="MUY479" s="2204">
        <f t="shared" si="176"/>
        <v>0</v>
      </c>
      <c r="MUZ479" s="2204">
        <f>[16]BV!MVK395</f>
        <v>0</v>
      </c>
      <c r="MVA479" s="2204"/>
      <c r="MVB479" s="2204"/>
      <c r="MVC479" s="2204">
        <f t="shared" si="176"/>
        <v>0</v>
      </c>
      <c r="MVD479" s="2204">
        <f>[16]BV!MVO395</f>
        <v>0</v>
      </c>
      <c r="MVE479" s="2204"/>
      <c r="MVF479" s="2204"/>
      <c r="MVG479" s="2204">
        <f t="shared" si="176"/>
        <v>0</v>
      </c>
      <c r="MVH479" s="2204">
        <f>[16]BV!MVS395</f>
        <v>0</v>
      </c>
      <c r="MVI479" s="2204"/>
      <c r="MVJ479" s="2204"/>
      <c r="MVK479" s="2204">
        <f t="shared" si="176"/>
        <v>0</v>
      </c>
      <c r="MVL479" s="2204">
        <f>[16]BV!MVW395</f>
        <v>0</v>
      </c>
      <c r="MVM479" s="2204"/>
      <c r="MVN479" s="2204"/>
      <c r="MVO479" s="2204">
        <f t="shared" si="176"/>
        <v>0</v>
      </c>
      <c r="MVP479" s="2204">
        <f>[16]BV!MWA395</f>
        <v>0</v>
      </c>
      <c r="MVQ479" s="2204"/>
      <c r="MVR479" s="2204"/>
      <c r="MVS479" s="2204">
        <f t="shared" si="176"/>
        <v>0</v>
      </c>
      <c r="MVT479" s="2204">
        <f>[16]BV!MWE395</f>
        <v>0</v>
      </c>
      <c r="MVU479" s="2204"/>
      <c r="MVV479" s="2204"/>
      <c r="MVW479" s="2204">
        <f t="shared" si="176"/>
        <v>0</v>
      </c>
      <c r="MVX479" s="2204">
        <f>[16]BV!MWI395</f>
        <v>0</v>
      </c>
      <c r="MVY479" s="2204"/>
      <c r="MVZ479" s="2204"/>
      <c r="MWA479" s="2204">
        <f t="shared" si="176"/>
        <v>0</v>
      </c>
      <c r="MWB479" s="2204">
        <f>[16]BV!MWM395</f>
        <v>0</v>
      </c>
      <c r="MWC479" s="2204"/>
      <c r="MWD479" s="2204"/>
      <c r="MWE479" s="2204">
        <f t="shared" si="176"/>
        <v>0</v>
      </c>
      <c r="MWF479" s="2204">
        <f>[16]BV!MWQ395</f>
        <v>0</v>
      </c>
      <c r="MWG479" s="2204"/>
      <c r="MWH479" s="2204"/>
      <c r="MWI479" s="2204">
        <f t="shared" si="176"/>
        <v>0</v>
      </c>
      <c r="MWJ479" s="2204">
        <f>[16]BV!MWU395</f>
        <v>0</v>
      </c>
      <c r="MWK479" s="2204"/>
      <c r="MWL479" s="2204"/>
      <c r="MWM479" s="2204">
        <f t="shared" si="176"/>
        <v>0</v>
      </c>
      <c r="MWN479" s="2204">
        <f>[16]BV!MWY395</f>
        <v>0</v>
      </c>
      <c r="MWO479" s="2204"/>
      <c r="MWP479" s="2204"/>
      <c r="MWQ479" s="2204">
        <f t="shared" si="176"/>
        <v>0</v>
      </c>
      <c r="MWR479" s="2204">
        <f>[16]BV!MXC395</f>
        <v>0</v>
      </c>
      <c r="MWS479" s="2204"/>
      <c r="MWT479" s="2204"/>
      <c r="MWU479" s="2204">
        <f t="shared" si="176"/>
        <v>0</v>
      </c>
      <c r="MWV479" s="2204">
        <f>[16]BV!MXG395</f>
        <v>0</v>
      </c>
      <c r="MWW479" s="2204"/>
      <c r="MWX479" s="2204"/>
      <c r="MWY479" s="2204">
        <f t="shared" ref="MWY479:MZG479" si="177">MWV479</f>
        <v>0</v>
      </c>
      <c r="MWZ479" s="2204">
        <f>[16]BV!MXK395</f>
        <v>0</v>
      </c>
      <c r="MXA479" s="2204"/>
      <c r="MXB479" s="2204"/>
      <c r="MXC479" s="2204">
        <f t="shared" si="177"/>
        <v>0</v>
      </c>
      <c r="MXD479" s="2204">
        <f>[16]BV!MXO395</f>
        <v>0</v>
      </c>
      <c r="MXE479" s="2204"/>
      <c r="MXF479" s="2204"/>
      <c r="MXG479" s="2204">
        <f t="shared" si="177"/>
        <v>0</v>
      </c>
      <c r="MXH479" s="2204">
        <f>[16]BV!MXS395</f>
        <v>0</v>
      </c>
      <c r="MXI479" s="2204"/>
      <c r="MXJ479" s="2204"/>
      <c r="MXK479" s="2204">
        <f t="shared" si="177"/>
        <v>0</v>
      </c>
      <c r="MXL479" s="2204">
        <f>[16]BV!MXW395</f>
        <v>0</v>
      </c>
      <c r="MXM479" s="2204"/>
      <c r="MXN479" s="2204"/>
      <c r="MXO479" s="2204">
        <f t="shared" si="177"/>
        <v>0</v>
      </c>
      <c r="MXP479" s="2204">
        <f>[16]BV!MYA395</f>
        <v>0</v>
      </c>
      <c r="MXQ479" s="2204"/>
      <c r="MXR479" s="2204"/>
      <c r="MXS479" s="2204">
        <f t="shared" si="177"/>
        <v>0</v>
      </c>
      <c r="MXT479" s="2204">
        <f>[16]BV!MYE395</f>
        <v>0</v>
      </c>
      <c r="MXU479" s="2204"/>
      <c r="MXV479" s="2204"/>
      <c r="MXW479" s="2204">
        <f t="shared" si="177"/>
        <v>0</v>
      </c>
      <c r="MXX479" s="2204">
        <f>[16]BV!MYI395</f>
        <v>0</v>
      </c>
      <c r="MXY479" s="2204"/>
      <c r="MXZ479" s="2204"/>
      <c r="MYA479" s="2204">
        <f t="shared" si="177"/>
        <v>0</v>
      </c>
      <c r="MYB479" s="2204">
        <f>[16]BV!MYM395</f>
        <v>0</v>
      </c>
      <c r="MYC479" s="2204"/>
      <c r="MYD479" s="2204"/>
      <c r="MYE479" s="2204">
        <f t="shared" si="177"/>
        <v>0</v>
      </c>
      <c r="MYF479" s="2204">
        <f>[16]BV!MYQ395</f>
        <v>0</v>
      </c>
      <c r="MYG479" s="2204"/>
      <c r="MYH479" s="2204"/>
      <c r="MYI479" s="2204">
        <f t="shared" si="177"/>
        <v>0</v>
      </c>
      <c r="MYJ479" s="2204">
        <f>[16]BV!MYU395</f>
        <v>0</v>
      </c>
      <c r="MYK479" s="2204"/>
      <c r="MYL479" s="2204"/>
      <c r="MYM479" s="2204">
        <f t="shared" si="177"/>
        <v>0</v>
      </c>
      <c r="MYN479" s="2204">
        <f>[16]BV!MYY395</f>
        <v>0</v>
      </c>
      <c r="MYO479" s="2204"/>
      <c r="MYP479" s="2204"/>
      <c r="MYQ479" s="2204">
        <f t="shared" si="177"/>
        <v>0</v>
      </c>
      <c r="MYR479" s="2204">
        <f>[16]BV!MZC395</f>
        <v>0</v>
      </c>
      <c r="MYS479" s="2204"/>
      <c r="MYT479" s="2204"/>
      <c r="MYU479" s="2204">
        <f t="shared" si="177"/>
        <v>0</v>
      </c>
      <c r="MYV479" s="2204">
        <f>[16]BV!MZG395</f>
        <v>0</v>
      </c>
      <c r="MYW479" s="2204"/>
      <c r="MYX479" s="2204"/>
      <c r="MYY479" s="2204">
        <f t="shared" si="177"/>
        <v>0</v>
      </c>
      <c r="MYZ479" s="2204">
        <f>[16]BV!MZK395</f>
        <v>0</v>
      </c>
      <c r="MZA479" s="2204"/>
      <c r="MZB479" s="2204"/>
      <c r="MZC479" s="2204">
        <f t="shared" si="177"/>
        <v>0</v>
      </c>
      <c r="MZD479" s="2204">
        <f>[16]BV!MZO395</f>
        <v>0</v>
      </c>
      <c r="MZE479" s="2204"/>
      <c r="MZF479" s="2204"/>
      <c r="MZG479" s="2204">
        <f t="shared" si="177"/>
        <v>0</v>
      </c>
      <c r="MZH479" s="2204">
        <f>[16]BV!MZS395</f>
        <v>0</v>
      </c>
      <c r="MZI479" s="2204"/>
      <c r="MZJ479" s="2204"/>
      <c r="MZK479" s="2204">
        <f t="shared" ref="MZK479:NBS479" si="178">MZH479</f>
        <v>0</v>
      </c>
      <c r="MZL479" s="2204">
        <f>[16]BV!MZW395</f>
        <v>0</v>
      </c>
      <c r="MZM479" s="2204"/>
      <c r="MZN479" s="2204"/>
      <c r="MZO479" s="2204">
        <f t="shared" si="178"/>
        <v>0</v>
      </c>
      <c r="MZP479" s="2204">
        <f>[16]BV!NAA395</f>
        <v>0</v>
      </c>
      <c r="MZQ479" s="2204"/>
      <c r="MZR479" s="2204"/>
      <c r="MZS479" s="2204">
        <f t="shared" si="178"/>
        <v>0</v>
      </c>
      <c r="MZT479" s="2204">
        <f>[16]BV!NAE395</f>
        <v>0</v>
      </c>
      <c r="MZU479" s="2204"/>
      <c r="MZV479" s="2204"/>
      <c r="MZW479" s="2204">
        <f t="shared" si="178"/>
        <v>0</v>
      </c>
      <c r="MZX479" s="2204">
        <f>[16]BV!NAI395</f>
        <v>0</v>
      </c>
      <c r="MZY479" s="2204"/>
      <c r="MZZ479" s="2204"/>
      <c r="NAA479" s="2204">
        <f t="shared" si="178"/>
        <v>0</v>
      </c>
      <c r="NAB479" s="2204">
        <f>[16]BV!NAM395</f>
        <v>0</v>
      </c>
      <c r="NAC479" s="2204"/>
      <c r="NAD479" s="2204"/>
      <c r="NAE479" s="2204">
        <f t="shared" si="178"/>
        <v>0</v>
      </c>
      <c r="NAF479" s="2204">
        <f>[16]BV!NAQ395</f>
        <v>0</v>
      </c>
      <c r="NAG479" s="2204"/>
      <c r="NAH479" s="2204"/>
      <c r="NAI479" s="2204">
        <f t="shared" si="178"/>
        <v>0</v>
      </c>
      <c r="NAJ479" s="2204">
        <f>[16]BV!NAU395</f>
        <v>0</v>
      </c>
      <c r="NAK479" s="2204"/>
      <c r="NAL479" s="2204"/>
      <c r="NAM479" s="2204">
        <f t="shared" si="178"/>
        <v>0</v>
      </c>
      <c r="NAN479" s="2204">
        <f>[16]BV!NAY395</f>
        <v>0</v>
      </c>
      <c r="NAO479" s="2204"/>
      <c r="NAP479" s="2204"/>
      <c r="NAQ479" s="2204">
        <f t="shared" si="178"/>
        <v>0</v>
      </c>
      <c r="NAR479" s="2204">
        <f>[16]BV!NBC395</f>
        <v>0</v>
      </c>
      <c r="NAS479" s="2204"/>
      <c r="NAT479" s="2204"/>
      <c r="NAU479" s="2204">
        <f t="shared" si="178"/>
        <v>0</v>
      </c>
      <c r="NAV479" s="2204">
        <f>[16]BV!NBG395</f>
        <v>0</v>
      </c>
      <c r="NAW479" s="2204"/>
      <c r="NAX479" s="2204"/>
      <c r="NAY479" s="2204">
        <f t="shared" si="178"/>
        <v>0</v>
      </c>
      <c r="NAZ479" s="2204">
        <f>[16]BV!NBK395</f>
        <v>0</v>
      </c>
      <c r="NBA479" s="2204"/>
      <c r="NBB479" s="2204"/>
      <c r="NBC479" s="2204">
        <f t="shared" si="178"/>
        <v>0</v>
      </c>
      <c r="NBD479" s="2204">
        <f>[16]BV!NBO395</f>
        <v>0</v>
      </c>
      <c r="NBE479" s="2204"/>
      <c r="NBF479" s="2204"/>
      <c r="NBG479" s="2204">
        <f t="shared" si="178"/>
        <v>0</v>
      </c>
      <c r="NBH479" s="2204">
        <f>[16]BV!NBS395</f>
        <v>0</v>
      </c>
      <c r="NBI479" s="2204"/>
      <c r="NBJ479" s="2204"/>
      <c r="NBK479" s="2204">
        <f t="shared" si="178"/>
        <v>0</v>
      </c>
      <c r="NBL479" s="2204">
        <f>[16]BV!NBW395</f>
        <v>0</v>
      </c>
      <c r="NBM479" s="2204"/>
      <c r="NBN479" s="2204"/>
      <c r="NBO479" s="2204">
        <f t="shared" si="178"/>
        <v>0</v>
      </c>
      <c r="NBP479" s="2204">
        <f>[16]BV!NCA395</f>
        <v>0</v>
      </c>
      <c r="NBQ479" s="2204"/>
      <c r="NBR479" s="2204"/>
      <c r="NBS479" s="2204">
        <f t="shared" si="178"/>
        <v>0</v>
      </c>
      <c r="NBT479" s="2204">
        <f>[16]BV!NCE395</f>
        <v>0</v>
      </c>
      <c r="NBU479" s="2204"/>
      <c r="NBV479" s="2204"/>
      <c r="NBW479" s="2204">
        <f t="shared" ref="NBW479:NEE479" si="179">NBT479</f>
        <v>0</v>
      </c>
      <c r="NBX479" s="2204">
        <f>[16]BV!NCI395</f>
        <v>0</v>
      </c>
      <c r="NBY479" s="2204"/>
      <c r="NBZ479" s="2204"/>
      <c r="NCA479" s="2204">
        <f t="shared" si="179"/>
        <v>0</v>
      </c>
      <c r="NCB479" s="2204">
        <f>[16]BV!NCM395</f>
        <v>0</v>
      </c>
      <c r="NCC479" s="2204"/>
      <c r="NCD479" s="2204"/>
      <c r="NCE479" s="2204">
        <f t="shared" si="179"/>
        <v>0</v>
      </c>
      <c r="NCF479" s="2204">
        <f>[16]BV!NCQ395</f>
        <v>0</v>
      </c>
      <c r="NCG479" s="2204"/>
      <c r="NCH479" s="2204"/>
      <c r="NCI479" s="2204">
        <f t="shared" si="179"/>
        <v>0</v>
      </c>
      <c r="NCJ479" s="2204">
        <f>[16]BV!NCU395</f>
        <v>0</v>
      </c>
      <c r="NCK479" s="2204"/>
      <c r="NCL479" s="2204"/>
      <c r="NCM479" s="2204">
        <f t="shared" si="179"/>
        <v>0</v>
      </c>
      <c r="NCN479" s="2204">
        <f>[16]BV!NCY395</f>
        <v>0</v>
      </c>
      <c r="NCO479" s="2204"/>
      <c r="NCP479" s="2204"/>
      <c r="NCQ479" s="2204">
        <f t="shared" si="179"/>
        <v>0</v>
      </c>
      <c r="NCR479" s="2204">
        <f>[16]BV!NDC395</f>
        <v>0</v>
      </c>
      <c r="NCS479" s="2204"/>
      <c r="NCT479" s="2204"/>
      <c r="NCU479" s="2204">
        <f t="shared" si="179"/>
        <v>0</v>
      </c>
      <c r="NCV479" s="2204">
        <f>[16]BV!NDG395</f>
        <v>0</v>
      </c>
      <c r="NCW479" s="2204"/>
      <c r="NCX479" s="2204"/>
      <c r="NCY479" s="2204">
        <f t="shared" si="179"/>
        <v>0</v>
      </c>
      <c r="NCZ479" s="2204">
        <f>[16]BV!NDK395</f>
        <v>0</v>
      </c>
      <c r="NDA479" s="2204"/>
      <c r="NDB479" s="2204"/>
      <c r="NDC479" s="2204">
        <f t="shared" si="179"/>
        <v>0</v>
      </c>
      <c r="NDD479" s="2204">
        <f>[16]BV!NDO395</f>
        <v>0</v>
      </c>
      <c r="NDE479" s="2204"/>
      <c r="NDF479" s="2204"/>
      <c r="NDG479" s="2204">
        <f t="shared" si="179"/>
        <v>0</v>
      </c>
      <c r="NDH479" s="2204">
        <f>[16]BV!NDS395</f>
        <v>0</v>
      </c>
      <c r="NDI479" s="2204"/>
      <c r="NDJ479" s="2204"/>
      <c r="NDK479" s="2204">
        <f t="shared" si="179"/>
        <v>0</v>
      </c>
      <c r="NDL479" s="2204">
        <f>[16]BV!NDW395</f>
        <v>0</v>
      </c>
      <c r="NDM479" s="2204"/>
      <c r="NDN479" s="2204"/>
      <c r="NDO479" s="2204">
        <f t="shared" si="179"/>
        <v>0</v>
      </c>
      <c r="NDP479" s="2204">
        <f>[16]BV!NEA395</f>
        <v>0</v>
      </c>
      <c r="NDQ479" s="2204"/>
      <c r="NDR479" s="2204"/>
      <c r="NDS479" s="2204">
        <f t="shared" si="179"/>
        <v>0</v>
      </c>
      <c r="NDT479" s="2204">
        <f>[16]BV!NEE395</f>
        <v>0</v>
      </c>
      <c r="NDU479" s="2204"/>
      <c r="NDV479" s="2204"/>
      <c r="NDW479" s="2204">
        <f t="shared" si="179"/>
        <v>0</v>
      </c>
      <c r="NDX479" s="2204">
        <f>[16]BV!NEI395</f>
        <v>0</v>
      </c>
      <c r="NDY479" s="2204"/>
      <c r="NDZ479" s="2204"/>
      <c r="NEA479" s="2204">
        <f t="shared" si="179"/>
        <v>0</v>
      </c>
      <c r="NEB479" s="2204">
        <f>[16]BV!NEM395</f>
        <v>0</v>
      </c>
      <c r="NEC479" s="2204"/>
      <c r="NED479" s="2204"/>
      <c r="NEE479" s="2204">
        <f t="shared" si="179"/>
        <v>0</v>
      </c>
      <c r="NEF479" s="2204">
        <f>[16]BV!NEQ395</f>
        <v>0</v>
      </c>
      <c r="NEG479" s="2204"/>
      <c r="NEH479" s="2204"/>
      <c r="NEI479" s="2204">
        <f t="shared" ref="NEI479:NGQ479" si="180">NEF479</f>
        <v>0</v>
      </c>
      <c r="NEJ479" s="2204">
        <f>[16]BV!NEU395</f>
        <v>0</v>
      </c>
      <c r="NEK479" s="2204"/>
      <c r="NEL479" s="2204"/>
      <c r="NEM479" s="2204">
        <f t="shared" si="180"/>
        <v>0</v>
      </c>
      <c r="NEN479" s="2204">
        <f>[16]BV!NEY395</f>
        <v>0</v>
      </c>
      <c r="NEO479" s="2204"/>
      <c r="NEP479" s="2204"/>
      <c r="NEQ479" s="2204">
        <f t="shared" si="180"/>
        <v>0</v>
      </c>
      <c r="NER479" s="2204">
        <f>[16]BV!NFC395</f>
        <v>0</v>
      </c>
      <c r="NES479" s="2204"/>
      <c r="NET479" s="2204"/>
      <c r="NEU479" s="2204">
        <f t="shared" si="180"/>
        <v>0</v>
      </c>
      <c r="NEV479" s="2204">
        <f>[16]BV!NFG395</f>
        <v>0</v>
      </c>
      <c r="NEW479" s="2204"/>
      <c r="NEX479" s="2204"/>
      <c r="NEY479" s="2204">
        <f t="shared" si="180"/>
        <v>0</v>
      </c>
      <c r="NEZ479" s="2204">
        <f>[16]BV!NFK395</f>
        <v>0</v>
      </c>
      <c r="NFA479" s="2204"/>
      <c r="NFB479" s="2204"/>
      <c r="NFC479" s="2204">
        <f t="shared" si="180"/>
        <v>0</v>
      </c>
      <c r="NFD479" s="2204">
        <f>[16]BV!NFO395</f>
        <v>0</v>
      </c>
      <c r="NFE479" s="2204"/>
      <c r="NFF479" s="2204"/>
      <c r="NFG479" s="2204">
        <f t="shared" si="180"/>
        <v>0</v>
      </c>
      <c r="NFH479" s="2204">
        <f>[16]BV!NFS395</f>
        <v>0</v>
      </c>
      <c r="NFI479" s="2204"/>
      <c r="NFJ479" s="2204"/>
      <c r="NFK479" s="2204">
        <f t="shared" si="180"/>
        <v>0</v>
      </c>
      <c r="NFL479" s="2204">
        <f>[16]BV!NFW395</f>
        <v>0</v>
      </c>
      <c r="NFM479" s="2204"/>
      <c r="NFN479" s="2204"/>
      <c r="NFO479" s="2204">
        <f t="shared" si="180"/>
        <v>0</v>
      </c>
      <c r="NFP479" s="2204">
        <f>[16]BV!NGA395</f>
        <v>0</v>
      </c>
      <c r="NFQ479" s="2204"/>
      <c r="NFR479" s="2204"/>
      <c r="NFS479" s="2204">
        <f t="shared" si="180"/>
        <v>0</v>
      </c>
      <c r="NFT479" s="2204">
        <f>[16]BV!NGE395</f>
        <v>0</v>
      </c>
      <c r="NFU479" s="2204"/>
      <c r="NFV479" s="2204"/>
      <c r="NFW479" s="2204">
        <f t="shared" si="180"/>
        <v>0</v>
      </c>
      <c r="NFX479" s="2204">
        <f>[16]BV!NGI395</f>
        <v>0</v>
      </c>
      <c r="NFY479" s="2204"/>
      <c r="NFZ479" s="2204"/>
      <c r="NGA479" s="2204">
        <f t="shared" si="180"/>
        <v>0</v>
      </c>
      <c r="NGB479" s="2204">
        <f>[16]BV!NGM395</f>
        <v>0</v>
      </c>
      <c r="NGC479" s="2204"/>
      <c r="NGD479" s="2204"/>
      <c r="NGE479" s="2204">
        <f t="shared" si="180"/>
        <v>0</v>
      </c>
      <c r="NGF479" s="2204">
        <f>[16]BV!NGQ395</f>
        <v>0</v>
      </c>
      <c r="NGG479" s="2204"/>
      <c r="NGH479" s="2204"/>
      <c r="NGI479" s="2204">
        <f t="shared" si="180"/>
        <v>0</v>
      </c>
      <c r="NGJ479" s="2204">
        <f>[16]BV!NGU395</f>
        <v>0</v>
      </c>
      <c r="NGK479" s="2204"/>
      <c r="NGL479" s="2204"/>
      <c r="NGM479" s="2204">
        <f t="shared" si="180"/>
        <v>0</v>
      </c>
      <c r="NGN479" s="2204">
        <f>[16]BV!NGY395</f>
        <v>0</v>
      </c>
      <c r="NGO479" s="2204"/>
      <c r="NGP479" s="2204"/>
      <c r="NGQ479" s="2204">
        <f t="shared" si="180"/>
        <v>0</v>
      </c>
      <c r="NGR479" s="2204">
        <f>[16]BV!NHC395</f>
        <v>0</v>
      </c>
      <c r="NGS479" s="2204"/>
      <c r="NGT479" s="2204"/>
      <c r="NGU479" s="2204">
        <f t="shared" ref="NGU479:NJC479" si="181">NGR479</f>
        <v>0</v>
      </c>
      <c r="NGV479" s="2204">
        <f>[16]BV!NHG395</f>
        <v>0</v>
      </c>
      <c r="NGW479" s="2204"/>
      <c r="NGX479" s="2204"/>
      <c r="NGY479" s="2204">
        <f t="shared" si="181"/>
        <v>0</v>
      </c>
      <c r="NGZ479" s="2204">
        <f>[16]BV!NHK395</f>
        <v>0</v>
      </c>
      <c r="NHA479" s="2204"/>
      <c r="NHB479" s="2204"/>
      <c r="NHC479" s="2204">
        <f t="shared" si="181"/>
        <v>0</v>
      </c>
      <c r="NHD479" s="2204">
        <f>[16]BV!NHO395</f>
        <v>0</v>
      </c>
      <c r="NHE479" s="2204"/>
      <c r="NHF479" s="2204"/>
      <c r="NHG479" s="2204">
        <f t="shared" si="181"/>
        <v>0</v>
      </c>
      <c r="NHH479" s="2204">
        <f>[16]BV!NHS395</f>
        <v>0</v>
      </c>
      <c r="NHI479" s="2204"/>
      <c r="NHJ479" s="2204"/>
      <c r="NHK479" s="2204">
        <f t="shared" si="181"/>
        <v>0</v>
      </c>
      <c r="NHL479" s="2204">
        <f>[16]BV!NHW395</f>
        <v>0</v>
      </c>
      <c r="NHM479" s="2204"/>
      <c r="NHN479" s="2204"/>
      <c r="NHO479" s="2204">
        <f t="shared" si="181"/>
        <v>0</v>
      </c>
      <c r="NHP479" s="2204">
        <f>[16]BV!NIA395</f>
        <v>0</v>
      </c>
      <c r="NHQ479" s="2204"/>
      <c r="NHR479" s="2204"/>
      <c r="NHS479" s="2204">
        <f t="shared" si="181"/>
        <v>0</v>
      </c>
      <c r="NHT479" s="2204">
        <f>[16]BV!NIE395</f>
        <v>0</v>
      </c>
      <c r="NHU479" s="2204"/>
      <c r="NHV479" s="2204"/>
      <c r="NHW479" s="2204">
        <f t="shared" si="181"/>
        <v>0</v>
      </c>
      <c r="NHX479" s="2204">
        <f>[16]BV!NII395</f>
        <v>0</v>
      </c>
      <c r="NHY479" s="2204"/>
      <c r="NHZ479" s="2204"/>
      <c r="NIA479" s="2204">
        <f t="shared" si="181"/>
        <v>0</v>
      </c>
      <c r="NIB479" s="2204">
        <f>[16]BV!NIM395</f>
        <v>0</v>
      </c>
      <c r="NIC479" s="2204"/>
      <c r="NID479" s="2204"/>
      <c r="NIE479" s="2204">
        <f t="shared" si="181"/>
        <v>0</v>
      </c>
      <c r="NIF479" s="2204">
        <f>[16]BV!NIQ395</f>
        <v>0</v>
      </c>
      <c r="NIG479" s="2204"/>
      <c r="NIH479" s="2204"/>
      <c r="NII479" s="2204">
        <f t="shared" si="181"/>
        <v>0</v>
      </c>
      <c r="NIJ479" s="2204">
        <f>[16]BV!NIU395</f>
        <v>0</v>
      </c>
      <c r="NIK479" s="2204"/>
      <c r="NIL479" s="2204"/>
      <c r="NIM479" s="2204">
        <f t="shared" si="181"/>
        <v>0</v>
      </c>
      <c r="NIN479" s="2204">
        <f>[16]BV!NIY395</f>
        <v>0</v>
      </c>
      <c r="NIO479" s="2204"/>
      <c r="NIP479" s="2204"/>
      <c r="NIQ479" s="2204">
        <f t="shared" si="181"/>
        <v>0</v>
      </c>
      <c r="NIR479" s="2204">
        <f>[16]BV!NJC395</f>
        <v>0</v>
      </c>
      <c r="NIS479" s="2204"/>
      <c r="NIT479" s="2204"/>
      <c r="NIU479" s="2204">
        <f t="shared" si="181"/>
        <v>0</v>
      </c>
      <c r="NIV479" s="2204">
        <f>[16]BV!NJG395</f>
        <v>0</v>
      </c>
      <c r="NIW479" s="2204"/>
      <c r="NIX479" s="2204"/>
      <c r="NIY479" s="2204">
        <f t="shared" si="181"/>
        <v>0</v>
      </c>
      <c r="NIZ479" s="2204">
        <f>[16]BV!NJK395</f>
        <v>0</v>
      </c>
      <c r="NJA479" s="2204"/>
      <c r="NJB479" s="2204"/>
      <c r="NJC479" s="2204">
        <f t="shared" si="181"/>
        <v>0</v>
      </c>
      <c r="NJD479" s="2204">
        <f>[16]BV!NJO395</f>
        <v>0</v>
      </c>
      <c r="NJE479" s="2204"/>
      <c r="NJF479" s="2204"/>
      <c r="NJG479" s="2204">
        <f t="shared" ref="NJG479:NLO479" si="182">NJD479</f>
        <v>0</v>
      </c>
      <c r="NJH479" s="2204">
        <f>[16]BV!NJS395</f>
        <v>0</v>
      </c>
      <c r="NJI479" s="2204"/>
      <c r="NJJ479" s="2204"/>
      <c r="NJK479" s="2204">
        <f t="shared" si="182"/>
        <v>0</v>
      </c>
      <c r="NJL479" s="2204">
        <f>[16]BV!NJW395</f>
        <v>0</v>
      </c>
      <c r="NJM479" s="2204"/>
      <c r="NJN479" s="2204"/>
      <c r="NJO479" s="2204">
        <f t="shared" si="182"/>
        <v>0</v>
      </c>
      <c r="NJP479" s="2204">
        <f>[16]BV!NKA395</f>
        <v>0</v>
      </c>
      <c r="NJQ479" s="2204"/>
      <c r="NJR479" s="2204"/>
      <c r="NJS479" s="2204">
        <f t="shared" si="182"/>
        <v>0</v>
      </c>
      <c r="NJT479" s="2204">
        <f>[16]BV!NKE395</f>
        <v>0</v>
      </c>
      <c r="NJU479" s="2204"/>
      <c r="NJV479" s="2204"/>
      <c r="NJW479" s="2204">
        <f t="shared" si="182"/>
        <v>0</v>
      </c>
      <c r="NJX479" s="2204">
        <f>[16]BV!NKI395</f>
        <v>0</v>
      </c>
      <c r="NJY479" s="2204"/>
      <c r="NJZ479" s="2204"/>
      <c r="NKA479" s="2204">
        <f t="shared" si="182"/>
        <v>0</v>
      </c>
      <c r="NKB479" s="2204">
        <f>[16]BV!NKM395</f>
        <v>0</v>
      </c>
      <c r="NKC479" s="2204"/>
      <c r="NKD479" s="2204"/>
      <c r="NKE479" s="2204">
        <f t="shared" si="182"/>
        <v>0</v>
      </c>
      <c r="NKF479" s="2204">
        <f>[16]BV!NKQ395</f>
        <v>0</v>
      </c>
      <c r="NKG479" s="2204"/>
      <c r="NKH479" s="2204"/>
      <c r="NKI479" s="2204">
        <f t="shared" si="182"/>
        <v>0</v>
      </c>
      <c r="NKJ479" s="2204">
        <f>[16]BV!NKU395</f>
        <v>0</v>
      </c>
      <c r="NKK479" s="2204"/>
      <c r="NKL479" s="2204"/>
      <c r="NKM479" s="2204">
        <f t="shared" si="182"/>
        <v>0</v>
      </c>
      <c r="NKN479" s="2204">
        <f>[16]BV!NKY395</f>
        <v>0</v>
      </c>
      <c r="NKO479" s="2204"/>
      <c r="NKP479" s="2204"/>
      <c r="NKQ479" s="2204">
        <f t="shared" si="182"/>
        <v>0</v>
      </c>
      <c r="NKR479" s="2204">
        <f>[16]BV!NLC395</f>
        <v>0</v>
      </c>
      <c r="NKS479" s="2204"/>
      <c r="NKT479" s="2204"/>
      <c r="NKU479" s="2204">
        <f t="shared" si="182"/>
        <v>0</v>
      </c>
      <c r="NKV479" s="2204">
        <f>[16]BV!NLG395</f>
        <v>0</v>
      </c>
      <c r="NKW479" s="2204"/>
      <c r="NKX479" s="2204"/>
      <c r="NKY479" s="2204">
        <f t="shared" si="182"/>
        <v>0</v>
      </c>
      <c r="NKZ479" s="2204">
        <f>[16]BV!NLK395</f>
        <v>0</v>
      </c>
      <c r="NLA479" s="2204"/>
      <c r="NLB479" s="2204"/>
      <c r="NLC479" s="2204">
        <f t="shared" si="182"/>
        <v>0</v>
      </c>
      <c r="NLD479" s="2204">
        <f>[16]BV!NLO395</f>
        <v>0</v>
      </c>
      <c r="NLE479" s="2204"/>
      <c r="NLF479" s="2204"/>
      <c r="NLG479" s="2204">
        <f t="shared" si="182"/>
        <v>0</v>
      </c>
      <c r="NLH479" s="2204">
        <f>[16]BV!NLS395</f>
        <v>0</v>
      </c>
      <c r="NLI479" s="2204"/>
      <c r="NLJ479" s="2204"/>
      <c r="NLK479" s="2204">
        <f t="shared" si="182"/>
        <v>0</v>
      </c>
      <c r="NLL479" s="2204">
        <f>[16]BV!NLW395</f>
        <v>0</v>
      </c>
      <c r="NLM479" s="2204"/>
      <c r="NLN479" s="2204"/>
      <c r="NLO479" s="2204">
        <f t="shared" si="182"/>
        <v>0</v>
      </c>
      <c r="NLP479" s="2204">
        <f>[16]BV!NMA395</f>
        <v>0</v>
      </c>
      <c r="NLQ479" s="2204"/>
      <c r="NLR479" s="2204"/>
      <c r="NLS479" s="2204">
        <f t="shared" ref="NLS479:NOA479" si="183">NLP479</f>
        <v>0</v>
      </c>
      <c r="NLT479" s="2204">
        <f>[16]BV!NME395</f>
        <v>0</v>
      </c>
      <c r="NLU479" s="2204"/>
      <c r="NLV479" s="2204"/>
      <c r="NLW479" s="2204">
        <f t="shared" si="183"/>
        <v>0</v>
      </c>
      <c r="NLX479" s="2204">
        <f>[16]BV!NMI395</f>
        <v>0</v>
      </c>
      <c r="NLY479" s="2204"/>
      <c r="NLZ479" s="2204"/>
      <c r="NMA479" s="2204">
        <f t="shared" si="183"/>
        <v>0</v>
      </c>
      <c r="NMB479" s="2204">
        <f>[16]BV!NMM395</f>
        <v>0</v>
      </c>
      <c r="NMC479" s="2204"/>
      <c r="NMD479" s="2204"/>
      <c r="NME479" s="2204">
        <f t="shared" si="183"/>
        <v>0</v>
      </c>
      <c r="NMF479" s="2204">
        <f>[16]BV!NMQ395</f>
        <v>0</v>
      </c>
      <c r="NMG479" s="2204"/>
      <c r="NMH479" s="2204"/>
      <c r="NMI479" s="2204">
        <f t="shared" si="183"/>
        <v>0</v>
      </c>
      <c r="NMJ479" s="2204">
        <f>[16]BV!NMU395</f>
        <v>0</v>
      </c>
      <c r="NMK479" s="2204"/>
      <c r="NML479" s="2204"/>
      <c r="NMM479" s="2204">
        <f t="shared" si="183"/>
        <v>0</v>
      </c>
      <c r="NMN479" s="2204">
        <f>[16]BV!NMY395</f>
        <v>0</v>
      </c>
      <c r="NMO479" s="2204"/>
      <c r="NMP479" s="2204"/>
      <c r="NMQ479" s="2204">
        <f t="shared" si="183"/>
        <v>0</v>
      </c>
      <c r="NMR479" s="2204">
        <f>[16]BV!NNC395</f>
        <v>0</v>
      </c>
      <c r="NMS479" s="2204"/>
      <c r="NMT479" s="2204"/>
      <c r="NMU479" s="2204">
        <f t="shared" si="183"/>
        <v>0</v>
      </c>
      <c r="NMV479" s="2204">
        <f>[16]BV!NNG395</f>
        <v>0</v>
      </c>
      <c r="NMW479" s="2204"/>
      <c r="NMX479" s="2204"/>
      <c r="NMY479" s="2204">
        <f t="shared" si="183"/>
        <v>0</v>
      </c>
      <c r="NMZ479" s="2204">
        <f>[16]BV!NNK395</f>
        <v>0</v>
      </c>
      <c r="NNA479" s="2204"/>
      <c r="NNB479" s="2204"/>
      <c r="NNC479" s="2204">
        <f t="shared" si="183"/>
        <v>0</v>
      </c>
      <c r="NND479" s="2204">
        <f>[16]BV!NNO395</f>
        <v>0</v>
      </c>
      <c r="NNE479" s="2204"/>
      <c r="NNF479" s="2204"/>
      <c r="NNG479" s="2204">
        <f t="shared" si="183"/>
        <v>0</v>
      </c>
      <c r="NNH479" s="2204">
        <f>[16]BV!NNS395</f>
        <v>0</v>
      </c>
      <c r="NNI479" s="2204"/>
      <c r="NNJ479" s="2204"/>
      <c r="NNK479" s="2204">
        <f t="shared" si="183"/>
        <v>0</v>
      </c>
      <c r="NNL479" s="2204">
        <f>[16]BV!NNW395</f>
        <v>0</v>
      </c>
      <c r="NNM479" s="2204"/>
      <c r="NNN479" s="2204"/>
      <c r="NNO479" s="2204">
        <f t="shared" si="183"/>
        <v>0</v>
      </c>
      <c r="NNP479" s="2204">
        <f>[16]BV!NOA395</f>
        <v>0</v>
      </c>
      <c r="NNQ479" s="2204"/>
      <c r="NNR479" s="2204"/>
      <c r="NNS479" s="2204">
        <f t="shared" si="183"/>
        <v>0</v>
      </c>
      <c r="NNT479" s="2204">
        <f>[16]BV!NOE395</f>
        <v>0</v>
      </c>
      <c r="NNU479" s="2204"/>
      <c r="NNV479" s="2204"/>
      <c r="NNW479" s="2204">
        <f t="shared" si="183"/>
        <v>0</v>
      </c>
      <c r="NNX479" s="2204">
        <f>[16]BV!NOI395</f>
        <v>0</v>
      </c>
      <c r="NNY479" s="2204"/>
      <c r="NNZ479" s="2204"/>
      <c r="NOA479" s="2204">
        <f t="shared" si="183"/>
        <v>0</v>
      </c>
      <c r="NOB479" s="2204">
        <f>[16]BV!NOM395</f>
        <v>0</v>
      </c>
      <c r="NOC479" s="2204"/>
      <c r="NOD479" s="2204"/>
      <c r="NOE479" s="2204">
        <f t="shared" ref="NOE479:NQM479" si="184">NOB479</f>
        <v>0</v>
      </c>
      <c r="NOF479" s="2204">
        <f>[16]BV!NOQ395</f>
        <v>0</v>
      </c>
      <c r="NOG479" s="2204"/>
      <c r="NOH479" s="2204"/>
      <c r="NOI479" s="2204">
        <f t="shared" si="184"/>
        <v>0</v>
      </c>
      <c r="NOJ479" s="2204">
        <f>[16]BV!NOU395</f>
        <v>0</v>
      </c>
      <c r="NOK479" s="2204"/>
      <c r="NOL479" s="2204"/>
      <c r="NOM479" s="2204">
        <f t="shared" si="184"/>
        <v>0</v>
      </c>
      <c r="NON479" s="2204">
        <f>[16]BV!NOY395</f>
        <v>0</v>
      </c>
      <c r="NOO479" s="2204"/>
      <c r="NOP479" s="2204"/>
      <c r="NOQ479" s="2204">
        <f t="shared" si="184"/>
        <v>0</v>
      </c>
      <c r="NOR479" s="2204">
        <f>[16]BV!NPC395</f>
        <v>0</v>
      </c>
      <c r="NOS479" s="2204"/>
      <c r="NOT479" s="2204"/>
      <c r="NOU479" s="2204">
        <f t="shared" si="184"/>
        <v>0</v>
      </c>
      <c r="NOV479" s="2204">
        <f>[16]BV!NPG395</f>
        <v>0</v>
      </c>
      <c r="NOW479" s="2204"/>
      <c r="NOX479" s="2204"/>
      <c r="NOY479" s="2204">
        <f t="shared" si="184"/>
        <v>0</v>
      </c>
      <c r="NOZ479" s="2204">
        <f>[16]BV!NPK395</f>
        <v>0</v>
      </c>
      <c r="NPA479" s="2204"/>
      <c r="NPB479" s="2204"/>
      <c r="NPC479" s="2204">
        <f t="shared" si="184"/>
        <v>0</v>
      </c>
      <c r="NPD479" s="2204">
        <f>[16]BV!NPO395</f>
        <v>0</v>
      </c>
      <c r="NPE479" s="2204"/>
      <c r="NPF479" s="2204"/>
      <c r="NPG479" s="2204">
        <f t="shared" si="184"/>
        <v>0</v>
      </c>
      <c r="NPH479" s="2204">
        <f>[16]BV!NPS395</f>
        <v>0</v>
      </c>
      <c r="NPI479" s="2204"/>
      <c r="NPJ479" s="2204"/>
      <c r="NPK479" s="2204">
        <f t="shared" si="184"/>
        <v>0</v>
      </c>
      <c r="NPL479" s="2204">
        <f>[16]BV!NPW395</f>
        <v>0</v>
      </c>
      <c r="NPM479" s="2204"/>
      <c r="NPN479" s="2204"/>
      <c r="NPO479" s="2204">
        <f t="shared" si="184"/>
        <v>0</v>
      </c>
      <c r="NPP479" s="2204">
        <f>[16]BV!NQA395</f>
        <v>0</v>
      </c>
      <c r="NPQ479" s="2204"/>
      <c r="NPR479" s="2204"/>
      <c r="NPS479" s="2204">
        <f t="shared" si="184"/>
        <v>0</v>
      </c>
      <c r="NPT479" s="2204">
        <f>[16]BV!NQE395</f>
        <v>0</v>
      </c>
      <c r="NPU479" s="2204"/>
      <c r="NPV479" s="2204"/>
      <c r="NPW479" s="2204">
        <f t="shared" si="184"/>
        <v>0</v>
      </c>
      <c r="NPX479" s="2204">
        <f>[16]BV!NQI395</f>
        <v>0</v>
      </c>
      <c r="NPY479" s="2204"/>
      <c r="NPZ479" s="2204"/>
      <c r="NQA479" s="2204">
        <f t="shared" si="184"/>
        <v>0</v>
      </c>
      <c r="NQB479" s="2204">
        <f>[16]BV!NQM395</f>
        <v>0</v>
      </c>
      <c r="NQC479" s="2204"/>
      <c r="NQD479" s="2204"/>
      <c r="NQE479" s="2204">
        <f t="shared" si="184"/>
        <v>0</v>
      </c>
      <c r="NQF479" s="2204">
        <f>[16]BV!NQQ395</f>
        <v>0</v>
      </c>
      <c r="NQG479" s="2204"/>
      <c r="NQH479" s="2204"/>
      <c r="NQI479" s="2204">
        <f t="shared" si="184"/>
        <v>0</v>
      </c>
      <c r="NQJ479" s="2204">
        <f>[16]BV!NQU395</f>
        <v>0</v>
      </c>
      <c r="NQK479" s="2204"/>
      <c r="NQL479" s="2204"/>
      <c r="NQM479" s="2204">
        <f t="shared" si="184"/>
        <v>0</v>
      </c>
      <c r="NQN479" s="2204">
        <f>[16]BV!NQY395</f>
        <v>0</v>
      </c>
      <c r="NQO479" s="2204"/>
      <c r="NQP479" s="2204"/>
      <c r="NQQ479" s="2204">
        <f t="shared" ref="NQQ479:NSY479" si="185">NQN479</f>
        <v>0</v>
      </c>
      <c r="NQR479" s="2204">
        <f>[16]BV!NRC395</f>
        <v>0</v>
      </c>
      <c r="NQS479" s="2204"/>
      <c r="NQT479" s="2204"/>
      <c r="NQU479" s="2204">
        <f t="shared" si="185"/>
        <v>0</v>
      </c>
      <c r="NQV479" s="2204">
        <f>[16]BV!NRG395</f>
        <v>0</v>
      </c>
      <c r="NQW479" s="2204"/>
      <c r="NQX479" s="2204"/>
      <c r="NQY479" s="2204">
        <f t="shared" si="185"/>
        <v>0</v>
      </c>
      <c r="NQZ479" s="2204">
        <f>[16]BV!NRK395</f>
        <v>0</v>
      </c>
      <c r="NRA479" s="2204"/>
      <c r="NRB479" s="2204"/>
      <c r="NRC479" s="2204">
        <f t="shared" si="185"/>
        <v>0</v>
      </c>
      <c r="NRD479" s="2204">
        <f>[16]BV!NRO395</f>
        <v>0</v>
      </c>
      <c r="NRE479" s="2204"/>
      <c r="NRF479" s="2204"/>
      <c r="NRG479" s="2204">
        <f t="shared" si="185"/>
        <v>0</v>
      </c>
      <c r="NRH479" s="2204">
        <f>[16]BV!NRS395</f>
        <v>0</v>
      </c>
      <c r="NRI479" s="2204"/>
      <c r="NRJ479" s="2204"/>
      <c r="NRK479" s="2204">
        <f t="shared" si="185"/>
        <v>0</v>
      </c>
      <c r="NRL479" s="2204">
        <f>[16]BV!NRW395</f>
        <v>0</v>
      </c>
      <c r="NRM479" s="2204"/>
      <c r="NRN479" s="2204"/>
      <c r="NRO479" s="2204">
        <f t="shared" si="185"/>
        <v>0</v>
      </c>
      <c r="NRP479" s="2204">
        <f>[16]BV!NSA395</f>
        <v>0</v>
      </c>
      <c r="NRQ479" s="2204"/>
      <c r="NRR479" s="2204"/>
      <c r="NRS479" s="2204">
        <f t="shared" si="185"/>
        <v>0</v>
      </c>
      <c r="NRT479" s="2204">
        <f>[16]BV!NSE395</f>
        <v>0</v>
      </c>
      <c r="NRU479" s="2204"/>
      <c r="NRV479" s="2204"/>
      <c r="NRW479" s="2204">
        <f t="shared" si="185"/>
        <v>0</v>
      </c>
      <c r="NRX479" s="2204">
        <f>[16]BV!NSI395</f>
        <v>0</v>
      </c>
      <c r="NRY479" s="2204"/>
      <c r="NRZ479" s="2204"/>
      <c r="NSA479" s="2204">
        <f t="shared" si="185"/>
        <v>0</v>
      </c>
      <c r="NSB479" s="2204">
        <f>[16]BV!NSM395</f>
        <v>0</v>
      </c>
      <c r="NSC479" s="2204"/>
      <c r="NSD479" s="2204"/>
      <c r="NSE479" s="2204">
        <f t="shared" si="185"/>
        <v>0</v>
      </c>
      <c r="NSF479" s="2204">
        <f>[16]BV!NSQ395</f>
        <v>0</v>
      </c>
      <c r="NSG479" s="2204"/>
      <c r="NSH479" s="2204"/>
      <c r="NSI479" s="2204">
        <f t="shared" si="185"/>
        <v>0</v>
      </c>
      <c r="NSJ479" s="2204">
        <f>[16]BV!NSU395</f>
        <v>0</v>
      </c>
      <c r="NSK479" s="2204"/>
      <c r="NSL479" s="2204"/>
      <c r="NSM479" s="2204">
        <f t="shared" si="185"/>
        <v>0</v>
      </c>
      <c r="NSN479" s="2204">
        <f>[16]BV!NSY395</f>
        <v>0</v>
      </c>
      <c r="NSO479" s="2204"/>
      <c r="NSP479" s="2204"/>
      <c r="NSQ479" s="2204">
        <f t="shared" si="185"/>
        <v>0</v>
      </c>
      <c r="NSR479" s="2204">
        <f>[16]BV!NTC395</f>
        <v>0</v>
      </c>
      <c r="NSS479" s="2204"/>
      <c r="NST479" s="2204"/>
      <c r="NSU479" s="2204">
        <f t="shared" si="185"/>
        <v>0</v>
      </c>
      <c r="NSV479" s="2204">
        <f>[16]BV!NTG395</f>
        <v>0</v>
      </c>
      <c r="NSW479" s="2204"/>
      <c r="NSX479" s="2204"/>
      <c r="NSY479" s="2204">
        <f t="shared" si="185"/>
        <v>0</v>
      </c>
      <c r="NSZ479" s="2204">
        <f>[16]BV!NTK395</f>
        <v>0</v>
      </c>
      <c r="NTA479" s="2204"/>
      <c r="NTB479" s="2204"/>
      <c r="NTC479" s="2204">
        <f t="shared" ref="NTC479:NVK479" si="186">NSZ479</f>
        <v>0</v>
      </c>
      <c r="NTD479" s="2204">
        <f>[16]BV!NTO395</f>
        <v>0</v>
      </c>
      <c r="NTE479" s="2204"/>
      <c r="NTF479" s="2204"/>
      <c r="NTG479" s="2204">
        <f t="shared" si="186"/>
        <v>0</v>
      </c>
      <c r="NTH479" s="2204">
        <f>[16]BV!NTS395</f>
        <v>0</v>
      </c>
      <c r="NTI479" s="2204"/>
      <c r="NTJ479" s="2204"/>
      <c r="NTK479" s="2204">
        <f t="shared" si="186"/>
        <v>0</v>
      </c>
      <c r="NTL479" s="2204">
        <f>[16]BV!NTW395</f>
        <v>0</v>
      </c>
      <c r="NTM479" s="2204"/>
      <c r="NTN479" s="2204"/>
      <c r="NTO479" s="2204">
        <f t="shared" si="186"/>
        <v>0</v>
      </c>
      <c r="NTP479" s="2204">
        <f>[16]BV!NUA395</f>
        <v>0</v>
      </c>
      <c r="NTQ479" s="2204"/>
      <c r="NTR479" s="2204"/>
      <c r="NTS479" s="2204">
        <f t="shared" si="186"/>
        <v>0</v>
      </c>
      <c r="NTT479" s="2204">
        <f>[16]BV!NUE395</f>
        <v>0</v>
      </c>
      <c r="NTU479" s="2204"/>
      <c r="NTV479" s="2204"/>
      <c r="NTW479" s="2204">
        <f t="shared" si="186"/>
        <v>0</v>
      </c>
      <c r="NTX479" s="2204">
        <f>[16]BV!NUI395</f>
        <v>0</v>
      </c>
      <c r="NTY479" s="2204"/>
      <c r="NTZ479" s="2204"/>
      <c r="NUA479" s="2204">
        <f t="shared" si="186"/>
        <v>0</v>
      </c>
      <c r="NUB479" s="2204">
        <f>[16]BV!NUM395</f>
        <v>0</v>
      </c>
      <c r="NUC479" s="2204"/>
      <c r="NUD479" s="2204"/>
      <c r="NUE479" s="2204">
        <f t="shared" si="186"/>
        <v>0</v>
      </c>
      <c r="NUF479" s="2204">
        <f>[16]BV!NUQ395</f>
        <v>0</v>
      </c>
      <c r="NUG479" s="2204"/>
      <c r="NUH479" s="2204"/>
      <c r="NUI479" s="2204">
        <f t="shared" si="186"/>
        <v>0</v>
      </c>
      <c r="NUJ479" s="2204">
        <f>[16]BV!NUU395</f>
        <v>0</v>
      </c>
      <c r="NUK479" s="2204"/>
      <c r="NUL479" s="2204"/>
      <c r="NUM479" s="2204">
        <f t="shared" si="186"/>
        <v>0</v>
      </c>
      <c r="NUN479" s="2204">
        <f>[16]BV!NUY395</f>
        <v>0</v>
      </c>
      <c r="NUO479" s="2204"/>
      <c r="NUP479" s="2204"/>
      <c r="NUQ479" s="2204">
        <f t="shared" si="186"/>
        <v>0</v>
      </c>
      <c r="NUR479" s="2204">
        <f>[16]BV!NVC395</f>
        <v>0</v>
      </c>
      <c r="NUS479" s="2204"/>
      <c r="NUT479" s="2204"/>
      <c r="NUU479" s="2204">
        <f t="shared" si="186"/>
        <v>0</v>
      </c>
      <c r="NUV479" s="2204">
        <f>[16]BV!NVG395</f>
        <v>0</v>
      </c>
      <c r="NUW479" s="2204"/>
      <c r="NUX479" s="2204"/>
      <c r="NUY479" s="2204">
        <f t="shared" si="186"/>
        <v>0</v>
      </c>
      <c r="NUZ479" s="2204">
        <f>[16]BV!NVK395</f>
        <v>0</v>
      </c>
      <c r="NVA479" s="2204"/>
      <c r="NVB479" s="2204"/>
      <c r="NVC479" s="2204">
        <f t="shared" si="186"/>
        <v>0</v>
      </c>
      <c r="NVD479" s="2204">
        <f>[16]BV!NVO395</f>
        <v>0</v>
      </c>
      <c r="NVE479" s="2204"/>
      <c r="NVF479" s="2204"/>
      <c r="NVG479" s="2204">
        <f t="shared" si="186"/>
        <v>0</v>
      </c>
      <c r="NVH479" s="2204">
        <f>[16]BV!NVS395</f>
        <v>0</v>
      </c>
      <c r="NVI479" s="2204"/>
      <c r="NVJ479" s="2204"/>
      <c r="NVK479" s="2204">
        <f t="shared" si="186"/>
        <v>0</v>
      </c>
      <c r="NVL479" s="2204">
        <f>[16]BV!NVW395</f>
        <v>0</v>
      </c>
      <c r="NVM479" s="2204"/>
      <c r="NVN479" s="2204"/>
      <c r="NVO479" s="2204">
        <f t="shared" ref="NVO479:NXW479" si="187">NVL479</f>
        <v>0</v>
      </c>
      <c r="NVP479" s="2204">
        <f>[16]BV!NWA395</f>
        <v>0</v>
      </c>
      <c r="NVQ479" s="2204"/>
      <c r="NVR479" s="2204"/>
      <c r="NVS479" s="2204">
        <f t="shared" si="187"/>
        <v>0</v>
      </c>
      <c r="NVT479" s="2204">
        <f>[16]BV!NWE395</f>
        <v>0</v>
      </c>
      <c r="NVU479" s="2204"/>
      <c r="NVV479" s="2204"/>
      <c r="NVW479" s="2204">
        <f t="shared" si="187"/>
        <v>0</v>
      </c>
      <c r="NVX479" s="2204">
        <f>[16]BV!NWI395</f>
        <v>0</v>
      </c>
      <c r="NVY479" s="2204"/>
      <c r="NVZ479" s="2204"/>
      <c r="NWA479" s="2204">
        <f t="shared" si="187"/>
        <v>0</v>
      </c>
      <c r="NWB479" s="2204">
        <f>[16]BV!NWM395</f>
        <v>0</v>
      </c>
      <c r="NWC479" s="2204"/>
      <c r="NWD479" s="2204"/>
      <c r="NWE479" s="2204">
        <f t="shared" si="187"/>
        <v>0</v>
      </c>
      <c r="NWF479" s="2204">
        <f>[16]BV!NWQ395</f>
        <v>0</v>
      </c>
      <c r="NWG479" s="2204"/>
      <c r="NWH479" s="2204"/>
      <c r="NWI479" s="2204">
        <f t="shared" si="187"/>
        <v>0</v>
      </c>
      <c r="NWJ479" s="2204">
        <f>[16]BV!NWU395</f>
        <v>0</v>
      </c>
      <c r="NWK479" s="2204"/>
      <c r="NWL479" s="2204"/>
      <c r="NWM479" s="2204">
        <f t="shared" si="187"/>
        <v>0</v>
      </c>
      <c r="NWN479" s="2204">
        <f>[16]BV!NWY395</f>
        <v>0</v>
      </c>
      <c r="NWO479" s="2204"/>
      <c r="NWP479" s="2204"/>
      <c r="NWQ479" s="2204">
        <f t="shared" si="187"/>
        <v>0</v>
      </c>
      <c r="NWR479" s="2204">
        <f>[16]BV!NXC395</f>
        <v>0</v>
      </c>
      <c r="NWS479" s="2204"/>
      <c r="NWT479" s="2204"/>
      <c r="NWU479" s="2204">
        <f t="shared" si="187"/>
        <v>0</v>
      </c>
      <c r="NWV479" s="2204">
        <f>[16]BV!NXG395</f>
        <v>0</v>
      </c>
      <c r="NWW479" s="2204"/>
      <c r="NWX479" s="2204"/>
      <c r="NWY479" s="2204">
        <f t="shared" si="187"/>
        <v>0</v>
      </c>
      <c r="NWZ479" s="2204">
        <f>[16]BV!NXK395</f>
        <v>0</v>
      </c>
      <c r="NXA479" s="2204"/>
      <c r="NXB479" s="2204"/>
      <c r="NXC479" s="2204">
        <f t="shared" si="187"/>
        <v>0</v>
      </c>
      <c r="NXD479" s="2204">
        <f>[16]BV!NXO395</f>
        <v>0</v>
      </c>
      <c r="NXE479" s="2204"/>
      <c r="NXF479" s="2204"/>
      <c r="NXG479" s="2204">
        <f t="shared" si="187"/>
        <v>0</v>
      </c>
      <c r="NXH479" s="2204">
        <f>[16]BV!NXS395</f>
        <v>0</v>
      </c>
      <c r="NXI479" s="2204"/>
      <c r="NXJ479" s="2204"/>
      <c r="NXK479" s="2204">
        <f t="shared" si="187"/>
        <v>0</v>
      </c>
      <c r="NXL479" s="2204">
        <f>[16]BV!NXW395</f>
        <v>0</v>
      </c>
      <c r="NXM479" s="2204"/>
      <c r="NXN479" s="2204"/>
      <c r="NXO479" s="2204">
        <f t="shared" si="187"/>
        <v>0</v>
      </c>
      <c r="NXP479" s="2204">
        <f>[16]BV!NYA395</f>
        <v>0</v>
      </c>
      <c r="NXQ479" s="2204"/>
      <c r="NXR479" s="2204"/>
      <c r="NXS479" s="2204">
        <f t="shared" si="187"/>
        <v>0</v>
      </c>
      <c r="NXT479" s="2204">
        <f>[16]BV!NYE395</f>
        <v>0</v>
      </c>
      <c r="NXU479" s="2204"/>
      <c r="NXV479" s="2204"/>
      <c r="NXW479" s="2204">
        <f t="shared" si="187"/>
        <v>0</v>
      </c>
      <c r="NXX479" s="2204">
        <f>[16]BV!NYI395</f>
        <v>0</v>
      </c>
      <c r="NXY479" s="2204"/>
      <c r="NXZ479" s="2204"/>
      <c r="NYA479" s="2204">
        <f t="shared" ref="NYA479:OAI479" si="188">NXX479</f>
        <v>0</v>
      </c>
      <c r="NYB479" s="2204">
        <f>[16]BV!NYM395</f>
        <v>0</v>
      </c>
      <c r="NYC479" s="2204"/>
      <c r="NYD479" s="2204"/>
      <c r="NYE479" s="2204">
        <f t="shared" si="188"/>
        <v>0</v>
      </c>
      <c r="NYF479" s="2204">
        <f>[16]BV!NYQ395</f>
        <v>0</v>
      </c>
      <c r="NYG479" s="2204"/>
      <c r="NYH479" s="2204"/>
      <c r="NYI479" s="2204">
        <f t="shared" si="188"/>
        <v>0</v>
      </c>
      <c r="NYJ479" s="2204">
        <f>[16]BV!NYU395</f>
        <v>0</v>
      </c>
      <c r="NYK479" s="2204"/>
      <c r="NYL479" s="2204"/>
      <c r="NYM479" s="2204">
        <f t="shared" si="188"/>
        <v>0</v>
      </c>
      <c r="NYN479" s="2204">
        <f>[16]BV!NYY395</f>
        <v>0</v>
      </c>
      <c r="NYO479" s="2204"/>
      <c r="NYP479" s="2204"/>
      <c r="NYQ479" s="2204">
        <f t="shared" si="188"/>
        <v>0</v>
      </c>
      <c r="NYR479" s="2204">
        <f>[16]BV!NZC395</f>
        <v>0</v>
      </c>
      <c r="NYS479" s="2204"/>
      <c r="NYT479" s="2204"/>
      <c r="NYU479" s="2204">
        <f t="shared" si="188"/>
        <v>0</v>
      </c>
      <c r="NYV479" s="2204">
        <f>[16]BV!NZG395</f>
        <v>0</v>
      </c>
      <c r="NYW479" s="2204"/>
      <c r="NYX479" s="2204"/>
      <c r="NYY479" s="2204">
        <f t="shared" si="188"/>
        <v>0</v>
      </c>
      <c r="NYZ479" s="2204">
        <f>[16]BV!NZK395</f>
        <v>0</v>
      </c>
      <c r="NZA479" s="2204"/>
      <c r="NZB479" s="2204"/>
      <c r="NZC479" s="2204">
        <f t="shared" si="188"/>
        <v>0</v>
      </c>
      <c r="NZD479" s="2204">
        <f>[16]BV!NZO395</f>
        <v>0</v>
      </c>
      <c r="NZE479" s="2204"/>
      <c r="NZF479" s="2204"/>
      <c r="NZG479" s="2204">
        <f t="shared" si="188"/>
        <v>0</v>
      </c>
      <c r="NZH479" s="2204">
        <f>[16]BV!NZS395</f>
        <v>0</v>
      </c>
      <c r="NZI479" s="2204"/>
      <c r="NZJ479" s="2204"/>
      <c r="NZK479" s="2204">
        <f t="shared" si="188"/>
        <v>0</v>
      </c>
      <c r="NZL479" s="2204">
        <f>[16]BV!NZW395</f>
        <v>0</v>
      </c>
      <c r="NZM479" s="2204"/>
      <c r="NZN479" s="2204"/>
      <c r="NZO479" s="2204">
        <f t="shared" si="188"/>
        <v>0</v>
      </c>
      <c r="NZP479" s="2204">
        <f>[16]BV!OAA395</f>
        <v>0</v>
      </c>
      <c r="NZQ479" s="2204"/>
      <c r="NZR479" s="2204"/>
      <c r="NZS479" s="2204">
        <f t="shared" si="188"/>
        <v>0</v>
      </c>
      <c r="NZT479" s="2204">
        <f>[16]BV!OAE395</f>
        <v>0</v>
      </c>
      <c r="NZU479" s="2204"/>
      <c r="NZV479" s="2204"/>
      <c r="NZW479" s="2204">
        <f t="shared" si="188"/>
        <v>0</v>
      </c>
      <c r="NZX479" s="2204">
        <f>[16]BV!OAI395</f>
        <v>0</v>
      </c>
      <c r="NZY479" s="2204"/>
      <c r="NZZ479" s="2204"/>
      <c r="OAA479" s="2204">
        <f t="shared" si="188"/>
        <v>0</v>
      </c>
      <c r="OAB479" s="2204">
        <f>[16]BV!OAM395</f>
        <v>0</v>
      </c>
      <c r="OAC479" s="2204"/>
      <c r="OAD479" s="2204"/>
      <c r="OAE479" s="2204">
        <f t="shared" si="188"/>
        <v>0</v>
      </c>
      <c r="OAF479" s="2204">
        <f>[16]BV!OAQ395</f>
        <v>0</v>
      </c>
      <c r="OAG479" s="2204"/>
      <c r="OAH479" s="2204"/>
      <c r="OAI479" s="2204">
        <f t="shared" si="188"/>
        <v>0</v>
      </c>
      <c r="OAJ479" s="2204">
        <f>[16]BV!OAU395</f>
        <v>0</v>
      </c>
      <c r="OAK479" s="2204"/>
      <c r="OAL479" s="2204"/>
      <c r="OAM479" s="2204">
        <f t="shared" ref="OAM479:OCU479" si="189">OAJ479</f>
        <v>0</v>
      </c>
      <c r="OAN479" s="2204">
        <f>[16]BV!OAY395</f>
        <v>0</v>
      </c>
      <c r="OAO479" s="2204"/>
      <c r="OAP479" s="2204"/>
      <c r="OAQ479" s="2204">
        <f t="shared" si="189"/>
        <v>0</v>
      </c>
      <c r="OAR479" s="2204">
        <f>[16]BV!OBC395</f>
        <v>0</v>
      </c>
      <c r="OAS479" s="2204"/>
      <c r="OAT479" s="2204"/>
      <c r="OAU479" s="2204">
        <f t="shared" si="189"/>
        <v>0</v>
      </c>
      <c r="OAV479" s="2204">
        <f>[16]BV!OBG395</f>
        <v>0</v>
      </c>
      <c r="OAW479" s="2204"/>
      <c r="OAX479" s="2204"/>
      <c r="OAY479" s="2204">
        <f t="shared" si="189"/>
        <v>0</v>
      </c>
      <c r="OAZ479" s="2204">
        <f>[16]BV!OBK395</f>
        <v>0</v>
      </c>
      <c r="OBA479" s="2204"/>
      <c r="OBB479" s="2204"/>
      <c r="OBC479" s="2204">
        <f t="shared" si="189"/>
        <v>0</v>
      </c>
      <c r="OBD479" s="2204">
        <f>[16]BV!OBO395</f>
        <v>0</v>
      </c>
      <c r="OBE479" s="2204"/>
      <c r="OBF479" s="2204"/>
      <c r="OBG479" s="2204">
        <f t="shared" si="189"/>
        <v>0</v>
      </c>
      <c r="OBH479" s="2204">
        <f>[16]BV!OBS395</f>
        <v>0</v>
      </c>
      <c r="OBI479" s="2204"/>
      <c r="OBJ479" s="2204"/>
      <c r="OBK479" s="2204">
        <f t="shared" si="189"/>
        <v>0</v>
      </c>
      <c r="OBL479" s="2204">
        <f>[16]BV!OBW395</f>
        <v>0</v>
      </c>
      <c r="OBM479" s="2204"/>
      <c r="OBN479" s="2204"/>
      <c r="OBO479" s="2204">
        <f t="shared" si="189"/>
        <v>0</v>
      </c>
      <c r="OBP479" s="2204">
        <f>[16]BV!OCA395</f>
        <v>0</v>
      </c>
      <c r="OBQ479" s="2204"/>
      <c r="OBR479" s="2204"/>
      <c r="OBS479" s="2204">
        <f t="shared" si="189"/>
        <v>0</v>
      </c>
      <c r="OBT479" s="2204">
        <f>[16]BV!OCE395</f>
        <v>0</v>
      </c>
      <c r="OBU479" s="2204"/>
      <c r="OBV479" s="2204"/>
      <c r="OBW479" s="2204">
        <f t="shared" si="189"/>
        <v>0</v>
      </c>
      <c r="OBX479" s="2204">
        <f>[16]BV!OCI395</f>
        <v>0</v>
      </c>
      <c r="OBY479" s="2204"/>
      <c r="OBZ479" s="2204"/>
      <c r="OCA479" s="2204">
        <f t="shared" si="189"/>
        <v>0</v>
      </c>
      <c r="OCB479" s="2204">
        <f>[16]BV!OCM395</f>
        <v>0</v>
      </c>
      <c r="OCC479" s="2204"/>
      <c r="OCD479" s="2204"/>
      <c r="OCE479" s="2204">
        <f t="shared" si="189"/>
        <v>0</v>
      </c>
      <c r="OCF479" s="2204">
        <f>[16]BV!OCQ395</f>
        <v>0</v>
      </c>
      <c r="OCG479" s="2204"/>
      <c r="OCH479" s="2204"/>
      <c r="OCI479" s="2204">
        <f t="shared" si="189"/>
        <v>0</v>
      </c>
      <c r="OCJ479" s="2204">
        <f>[16]BV!OCU395</f>
        <v>0</v>
      </c>
      <c r="OCK479" s="2204"/>
      <c r="OCL479" s="2204"/>
      <c r="OCM479" s="2204">
        <f t="shared" si="189"/>
        <v>0</v>
      </c>
      <c r="OCN479" s="2204">
        <f>[16]BV!OCY395</f>
        <v>0</v>
      </c>
      <c r="OCO479" s="2204"/>
      <c r="OCP479" s="2204"/>
      <c r="OCQ479" s="2204">
        <f t="shared" si="189"/>
        <v>0</v>
      </c>
      <c r="OCR479" s="2204">
        <f>[16]BV!ODC395</f>
        <v>0</v>
      </c>
      <c r="OCS479" s="2204"/>
      <c r="OCT479" s="2204"/>
      <c r="OCU479" s="2204">
        <f t="shared" si="189"/>
        <v>0</v>
      </c>
      <c r="OCV479" s="2204">
        <f>[16]BV!ODG395</f>
        <v>0</v>
      </c>
      <c r="OCW479" s="2204"/>
      <c r="OCX479" s="2204"/>
      <c r="OCY479" s="2204">
        <f t="shared" ref="OCY479:OFG479" si="190">OCV479</f>
        <v>0</v>
      </c>
      <c r="OCZ479" s="2204">
        <f>[16]BV!ODK395</f>
        <v>0</v>
      </c>
      <c r="ODA479" s="2204"/>
      <c r="ODB479" s="2204"/>
      <c r="ODC479" s="2204">
        <f t="shared" si="190"/>
        <v>0</v>
      </c>
      <c r="ODD479" s="2204">
        <f>[16]BV!ODO395</f>
        <v>0</v>
      </c>
      <c r="ODE479" s="2204"/>
      <c r="ODF479" s="2204"/>
      <c r="ODG479" s="2204">
        <f t="shared" si="190"/>
        <v>0</v>
      </c>
      <c r="ODH479" s="2204">
        <f>[16]BV!ODS395</f>
        <v>0</v>
      </c>
      <c r="ODI479" s="2204"/>
      <c r="ODJ479" s="2204"/>
      <c r="ODK479" s="2204">
        <f t="shared" si="190"/>
        <v>0</v>
      </c>
      <c r="ODL479" s="2204">
        <f>[16]BV!ODW395</f>
        <v>0</v>
      </c>
      <c r="ODM479" s="2204"/>
      <c r="ODN479" s="2204"/>
      <c r="ODO479" s="2204">
        <f t="shared" si="190"/>
        <v>0</v>
      </c>
      <c r="ODP479" s="2204">
        <f>[16]BV!OEA395</f>
        <v>0</v>
      </c>
      <c r="ODQ479" s="2204"/>
      <c r="ODR479" s="2204"/>
      <c r="ODS479" s="2204">
        <f t="shared" si="190"/>
        <v>0</v>
      </c>
      <c r="ODT479" s="2204">
        <f>[16]BV!OEE395</f>
        <v>0</v>
      </c>
      <c r="ODU479" s="2204"/>
      <c r="ODV479" s="2204"/>
      <c r="ODW479" s="2204">
        <f t="shared" si="190"/>
        <v>0</v>
      </c>
      <c r="ODX479" s="2204">
        <f>[16]BV!OEI395</f>
        <v>0</v>
      </c>
      <c r="ODY479" s="2204"/>
      <c r="ODZ479" s="2204"/>
      <c r="OEA479" s="2204">
        <f t="shared" si="190"/>
        <v>0</v>
      </c>
      <c r="OEB479" s="2204">
        <f>[16]BV!OEM395</f>
        <v>0</v>
      </c>
      <c r="OEC479" s="2204"/>
      <c r="OED479" s="2204"/>
      <c r="OEE479" s="2204">
        <f t="shared" si="190"/>
        <v>0</v>
      </c>
      <c r="OEF479" s="2204">
        <f>[16]BV!OEQ395</f>
        <v>0</v>
      </c>
      <c r="OEG479" s="2204"/>
      <c r="OEH479" s="2204"/>
      <c r="OEI479" s="2204">
        <f t="shared" si="190"/>
        <v>0</v>
      </c>
      <c r="OEJ479" s="2204">
        <f>[16]BV!OEU395</f>
        <v>0</v>
      </c>
      <c r="OEK479" s="2204"/>
      <c r="OEL479" s="2204"/>
      <c r="OEM479" s="2204">
        <f t="shared" si="190"/>
        <v>0</v>
      </c>
      <c r="OEN479" s="2204">
        <f>[16]BV!OEY395</f>
        <v>0</v>
      </c>
      <c r="OEO479" s="2204"/>
      <c r="OEP479" s="2204"/>
      <c r="OEQ479" s="2204">
        <f t="shared" si="190"/>
        <v>0</v>
      </c>
      <c r="OER479" s="2204">
        <f>[16]BV!OFC395</f>
        <v>0</v>
      </c>
      <c r="OES479" s="2204"/>
      <c r="OET479" s="2204"/>
      <c r="OEU479" s="2204">
        <f t="shared" si="190"/>
        <v>0</v>
      </c>
      <c r="OEV479" s="2204">
        <f>[16]BV!OFG395</f>
        <v>0</v>
      </c>
      <c r="OEW479" s="2204"/>
      <c r="OEX479" s="2204"/>
      <c r="OEY479" s="2204">
        <f t="shared" si="190"/>
        <v>0</v>
      </c>
      <c r="OEZ479" s="2204">
        <f>[16]BV!OFK395</f>
        <v>0</v>
      </c>
      <c r="OFA479" s="2204"/>
      <c r="OFB479" s="2204"/>
      <c r="OFC479" s="2204">
        <f t="shared" si="190"/>
        <v>0</v>
      </c>
      <c r="OFD479" s="2204">
        <f>[16]BV!OFO395</f>
        <v>0</v>
      </c>
      <c r="OFE479" s="2204"/>
      <c r="OFF479" s="2204"/>
      <c r="OFG479" s="2204">
        <f t="shared" si="190"/>
        <v>0</v>
      </c>
      <c r="OFH479" s="2204">
        <f>[16]BV!OFS395</f>
        <v>0</v>
      </c>
      <c r="OFI479" s="2204"/>
      <c r="OFJ479" s="2204"/>
      <c r="OFK479" s="2204">
        <f t="shared" ref="OFK479:OHS479" si="191">OFH479</f>
        <v>0</v>
      </c>
      <c r="OFL479" s="2204">
        <f>[16]BV!OFW395</f>
        <v>0</v>
      </c>
      <c r="OFM479" s="2204"/>
      <c r="OFN479" s="2204"/>
      <c r="OFO479" s="2204">
        <f t="shared" si="191"/>
        <v>0</v>
      </c>
      <c r="OFP479" s="2204">
        <f>[16]BV!OGA395</f>
        <v>0</v>
      </c>
      <c r="OFQ479" s="2204"/>
      <c r="OFR479" s="2204"/>
      <c r="OFS479" s="2204">
        <f t="shared" si="191"/>
        <v>0</v>
      </c>
      <c r="OFT479" s="2204">
        <f>[16]BV!OGE395</f>
        <v>0</v>
      </c>
      <c r="OFU479" s="2204"/>
      <c r="OFV479" s="2204"/>
      <c r="OFW479" s="2204">
        <f t="shared" si="191"/>
        <v>0</v>
      </c>
      <c r="OFX479" s="2204">
        <f>[16]BV!OGI395</f>
        <v>0</v>
      </c>
      <c r="OFY479" s="2204"/>
      <c r="OFZ479" s="2204"/>
      <c r="OGA479" s="2204">
        <f t="shared" si="191"/>
        <v>0</v>
      </c>
      <c r="OGB479" s="2204">
        <f>[16]BV!OGM395</f>
        <v>0</v>
      </c>
      <c r="OGC479" s="2204"/>
      <c r="OGD479" s="2204"/>
      <c r="OGE479" s="2204">
        <f t="shared" si="191"/>
        <v>0</v>
      </c>
      <c r="OGF479" s="2204">
        <f>[16]BV!OGQ395</f>
        <v>0</v>
      </c>
      <c r="OGG479" s="2204"/>
      <c r="OGH479" s="2204"/>
      <c r="OGI479" s="2204">
        <f t="shared" si="191"/>
        <v>0</v>
      </c>
      <c r="OGJ479" s="2204">
        <f>[16]BV!OGU395</f>
        <v>0</v>
      </c>
      <c r="OGK479" s="2204"/>
      <c r="OGL479" s="2204"/>
      <c r="OGM479" s="2204">
        <f t="shared" si="191"/>
        <v>0</v>
      </c>
      <c r="OGN479" s="2204">
        <f>[16]BV!OGY395</f>
        <v>0</v>
      </c>
      <c r="OGO479" s="2204"/>
      <c r="OGP479" s="2204"/>
      <c r="OGQ479" s="2204">
        <f t="shared" si="191"/>
        <v>0</v>
      </c>
      <c r="OGR479" s="2204">
        <f>[16]BV!OHC395</f>
        <v>0</v>
      </c>
      <c r="OGS479" s="2204"/>
      <c r="OGT479" s="2204"/>
      <c r="OGU479" s="2204">
        <f t="shared" si="191"/>
        <v>0</v>
      </c>
      <c r="OGV479" s="2204">
        <f>[16]BV!OHG395</f>
        <v>0</v>
      </c>
      <c r="OGW479" s="2204"/>
      <c r="OGX479" s="2204"/>
      <c r="OGY479" s="2204">
        <f t="shared" si="191"/>
        <v>0</v>
      </c>
      <c r="OGZ479" s="2204">
        <f>[16]BV!OHK395</f>
        <v>0</v>
      </c>
      <c r="OHA479" s="2204"/>
      <c r="OHB479" s="2204"/>
      <c r="OHC479" s="2204">
        <f t="shared" si="191"/>
        <v>0</v>
      </c>
      <c r="OHD479" s="2204">
        <f>[16]BV!OHO395</f>
        <v>0</v>
      </c>
      <c r="OHE479" s="2204"/>
      <c r="OHF479" s="2204"/>
      <c r="OHG479" s="2204">
        <f t="shared" si="191"/>
        <v>0</v>
      </c>
      <c r="OHH479" s="2204">
        <f>[16]BV!OHS395</f>
        <v>0</v>
      </c>
      <c r="OHI479" s="2204"/>
      <c r="OHJ479" s="2204"/>
      <c r="OHK479" s="2204">
        <f t="shared" si="191"/>
        <v>0</v>
      </c>
      <c r="OHL479" s="2204">
        <f>[16]BV!OHW395</f>
        <v>0</v>
      </c>
      <c r="OHM479" s="2204"/>
      <c r="OHN479" s="2204"/>
      <c r="OHO479" s="2204">
        <f t="shared" si="191"/>
        <v>0</v>
      </c>
      <c r="OHP479" s="2204">
        <f>[16]BV!OIA395</f>
        <v>0</v>
      </c>
      <c r="OHQ479" s="2204"/>
      <c r="OHR479" s="2204"/>
      <c r="OHS479" s="2204">
        <f t="shared" si="191"/>
        <v>0</v>
      </c>
      <c r="OHT479" s="2204">
        <f>[16]BV!OIE395</f>
        <v>0</v>
      </c>
      <c r="OHU479" s="2204"/>
      <c r="OHV479" s="2204"/>
      <c r="OHW479" s="2204">
        <f t="shared" ref="OHW479:OKE479" si="192">OHT479</f>
        <v>0</v>
      </c>
      <c r="OHX479" s="2204">
        <f>[16]BV!OII395</f>
        <v>0</v>
      </c>
      <c r="OHY479" s="2204"/>
      <c r="OHZ479" s="2204"/>
      <c r="OIA479" s="2204">
        <f t="shared" si="192"/>
        <v>0</v>
      </c>
      <c r="OIB479" s="2204">
        <f>[16]BV!OIM395</f>
        <v>0</v>
      </c>
      <c r="OIC479" s="2204"/>
      <c r="OID479" s="2204"/>
      <c r="OIE479" s="2204">
        <f t="shared" si="192"/>
        <v>0</v>
      </c>
      <c r="OIF479" s="2204">
        <f>[16]BV!OIQ395</f>
        <v>0</v>
      </c>
      <c r="OIG479" s="2204"/>
      <c r="OIH479" s="2204"/>
      <c r="OII479" s="2204">
        <f t="shared" si="192"/>
        <v>0</v>
      </c>
      <c r="OIJ479" s="2204">
        <f>[16]BV!OIU395</f>
        <v>0</v>
      </c>
      <c r="OIK479" s="2204"/>
      <c r="OIL479" s="2204"/>
      <c r="OIM479" s="2204">
        <f t="shared" si="192"/>
        <v>0</v>
      </c>
      <c r="OIN479" s="2204">
        <f>[16]BV!OIY395</f>
        <v>0</v>
      </c>
      <c r="OIO479" s="2204"/>
      <c r="OIP479" s="2204"/>
      <c r="OIQ479" s="2204">
        <f t="shared" si="192"/>
        <v>0</v>
      </c>
      <c r="OIR479" s="2204">
        <f>[16]BV!OJC395</f>
        <v>0</v>
      </c>
      <c r="OIS479" s="2204"/>
      <c r="OIT479" s="2204"/>
      <c r="OIU479" s="2204">
        <f t="shared" si="192"/>
        <v>0</v>
      </c>
      <c r="OIV479" s="2204">
        <f>[16]BV!OJG395</f>
        <v>0</v>
      </c>
      <c r="OIW479" s="2204"/>
      <c r="OIX479" s="2204"/>
      <c r="OIY479" s="2204">
        <f t="shared" si="192"/>
        <v>0</v>
      </c>
      <c r="OIZ479" s="2204">
        <f>[16]BV!OJK395</f>
        <v>0</v>
      </c>
      <c r="OJA479" s="2204"/>
      <c r="OJB479" s="2204"/>
      <c r="OJC479" s="2204">
        <f t="shared" si="192"/>
        <v>0</v>
      </c>
      <c r="OJD479" s="2204">
        <f>[16]BV!OJO395</f>
        <v>0</v>
      </c>
      <c r="OJE479" s="2204"/>
      <c r="OJF479" s="2204"/>
      <c r="OJG479" s="2204">
        <f t="shared" si="192"/>
        <v>0</v>
      </c>
      <c r="OJH479" s="2204">
        <f>[16]BV!OJS395</f>
        <v>0</v>
      </c>
      <c r="OJI479" s="2204"/>
      <c r="OJJ479" s="2204"/>
      <c r="OJK479" s="2204">
        <f t="shared" si="192"/>
        <v>0</v>
      </c>
      <c r="OJL479" s="2204">
        <f>[16]BV!OJW395</f>
        <v>0</v>
      </c>
      <c r="OJM479" s="2204"/>
      <c r="OJN479" s="2204"/>
      <c r="OJO479" s="2204">
        <f t="shared" si="192"/>
        <v>0</v>
      </c>
      <c r="OJP479" s="2204">
        <f>[16]BV!OKA395</f>
        <v>0</v>
      </c>
      <c r="OJQ479" s="2204"/>
      <c r="OJR479" s="2204"/>
      <c r="OJS479" s="2204">
        <f t="shared" si="192"/>
        <v>0</v>
      </c>
      <c r="OJT479" s="2204">
        <f>[16]BV!OKE395</f>
        <v>0</v>
      </c>
      <c r="OJU479" s="2204"/>
      <c r="OJV479" s="2204"/>
      <c r="OJW479" s="2204">
        <f t="shared" si="192"/>
        <v>0</v>
      </c>
      <c r="OJX479" s="2204">
        <f>[16]BV!OKI395</f>
        <v>0</v>
      </c>
      <c r="OJY479" s="2204"/>
      <c r="OJZ479" s="2204"/>
      <c r="OKA479" s="2204">
        <f t="shared" si="192"/>
        <v>0</v>
      </c>
      <c r="OKB479" s="2204">
        <f>[16]BV!OKM395</f>
        <v>0</v>
      </c>
      <c r="OKC479" s="2204"/>
      <c r="OKD479" s="2204"/>
      <c r="OKE479" s="2204">
        <f t="shared" si="192"/>
        <v>0</v>
      </c>
      <c r="OKF479" s="2204">
        <f>[16]BV!OKQ395</f>
        <v>0</v>
      </c>
      <c r="OKG479" s="2204"/>
      <c r="OKH479" s="2204"/>
      <c r="OKI479" s="2204">
        <f t="shared" ref="OKI479:OMQ479" si="193">OKF479</f>
        <v>0</v>
      </c>
      <c r="OKJ479" s="2204">
        <f>[16]BV!OKU395</f>
        <v>0</v>
      </c>
      <c r="OKK479" s="2204"/>
      <c r="OKL479" s="2204"/>
      <c r="OKM479" s="2204">
        <f t="shared" si="193"/>
        <v>0</v>
      </c>
      <c r="OKN479" s="2204">
        <f>[16]BV!OKY395</f>
        <v>0</v>
      </c>
      <c r="OKO479" s="2204"/>
      <c r="OKP479" s="2204"/>
      <c r="OKQ479" s="2204">
        <f t="shared" si="193"/>
        <v>0</v>
      </c>
      <c r="OKR479" s="2204">
        <f>[16]BV!OLC395</f>
        <v>0</v>
      </c>
      <c r="OKS479" s="2204"/>
      <c r="OKT479" s="2204"/>
      <c r="OKU479" s="2204">
        <f t="shared" si="193"/>
        <v>0</v>
      </c>
      <c r="OKV479" s="2204">
        <f>[16]BV!OLG395</f>
        <v>0</v>
      </c>
      <c r="OKW479" s="2204"/>
      <c r="OKX479" s="2204"/>
      <c r="OKY479" s="2204">
        <f t="shared" si="193"/>
        <v>0</v>
      </c>
      <c r="OKZ479" s="2204">
        <f>[16]BV!OLK395</f>
        <v>0</v>
      </c>
      <c r="OLA479" s="2204"/>
      <c r="OLB479" s="2204"/>
      <c r="OLC479" s="2204">
        <f t="shared" si="193"/>
        <v>0</v>
      </c>
      <c r="OLD479" s="2204">
        <f>[16]BV!OLO395</f>
        <v>0</v>
      </c>
      <c r="OLE479" s="2204"/>
      <c r="OLF479" s="2204"/>
      <c r="OLG479" s="2204">
        <f t="shared" si="193"/>
        <v>0</v>
      </c>
      <c r="OLH479" s="2204">
        <f>[16]BV!OLS395</f>
        <v>0</v>
      </c>
      <c r="OLI479" s="2204"/>
      <c r="OLJ479" s="2204"/>
      <c r="OLK479" s="2204">
        <f t="shared" si="193"/>
        <v>0</v>
      </c>
      <c r="OLL479" s="2204">
        <f>[16]BV!OLW395</f>
        <v>0</v>
      </c>
      <c r="OLM479" s="2204"/>
      <c r="OLN479" s="2204"/>
      <c r="OLO479" s="2204">
        <f t="shared" si="193"/>
        <v>0</v>
      </c>
      <c r="OLP479" s="2204">
        <f>[16]BV!OMA395</f>
        <v>0</v>
      </c>
      <c r="OLQ479" s="2204"/>
      <c r="OLR479" s="2204"/>
      <c r="OLS479" s="2204">
        <f t="shared" si="193"/>
        <v>0</v>
      </c>
      <c r="OLT479" s="2204">
        <f>[16]BV!OME395</f>
        <v>0</v>
      </c>
      <c r="OLU479" s="2204"/>
      <c r="OLV479" s="2204"/>
      <c r="OLW479" s="2204">
        <f t="shared" si="193"/>
        <v>0</v>
      </c>
      <c r="OLX479" s="2204">
        <f>[16]BV!OMI395</f>
        <v>0</v>
      </c>
      <c r="OLY479" s="2204"/>
      <c r="OLZ479" s="2204"/>
      <c r="OMA479" s="2204">
        <f t="shared" si="193"/>
        <v>0</v>
      </c>
      <c r="OMB479" s="2204">
        <f>[16]BV!OMM395</f>
        <v>0</v>
      </c>
      <c r="OMC479" s="2204"/>
      <c r="OMD479" s="2204"/>
      <c r="OME479" s="2204">
        <f t="shared" si="193"/>
        <v>0</v>
      </c>
      <c r="OMF479" s="2204">
        <f>[16]BV!OMQ395</f>
        <v>0</v>
      </c>
      <c r="OMG479" s="2204"/>
      <c r="OMH479" s="2204"/>
      <c r="OMI479" s="2204">
        <f t="shared" si="193"/>
        <v>0</v>
      </c>
      <c r="OMJ479" s="2204">
        <f>[16]BV!OMU395</f>
        <v>0</v>
      </c>
      <c r="OMK479" s="2204"/>
      <c r="OML479" s="2204"/>
      <c r="OMM479" s="2204">
        <f t="shared" si="193"/>
        <v>0</v>
      </c>
      <c r="OMN479" s="2204">
        <f>[16]BV!OMY395</f>
        <v>0</v>
      </c>
      <c r="OMO479" s="2204"/>
      <c r="OMP479" s="2204"/>
      <c r="OMQ479" s="2204">
        <f t="shared" si="193"/>
        <v>0</v>
      </c>
      <c r="OMR479" s="2204">
        <f>[16]BV!ONC395</f>
        <v>0</v>
      </c>
      <c r="OMS479" s="2204"/>
      <c r="OMT479" s="2204"/>
      <c r="OMU479" s="2204">
        <f t="shared" ref="OMU479:OPC479" si="194">OMR479</f>
        <v>0</v>
      </c>
      <c r="OMV479" s="2204">
        <f>[16]BV!ONG395</f>
        <v>0</v>
      </c>
      <c r="OMW479" s="2204"/>
      <c r="OMX479" s="2204"/>
      <c r="OMY479" s="2204">
        <f t="shared" si="194"/>
        <v>0</v>
      </c>
      <c r="OMZ479" s="2204">
        <f>[16]BV!ONK395</f>
        <v>0</v>
      </c>
      <c r="ONA479" s="2204"/>
      <c r="ONB479" s="2204"/>
      <c r="ONC479" s="2204">
        <f t="shared" si="194"/>
        <v>0</v>
      </c>
      <c r="OND479" s="2204">
        <f>[16]BV!ONO395</f>
        <v>0</v>
      </c>
      <c r="ONE479" s="2204"/>
      <c r="ONF479" s="2204"/>
      <c r="ONG479" s="2204">
        <f t="shared" si="194"/>
        <v>0</v>
      </c>
      <c r="ONH479" s="2204">
        <f>[16]BV!ONS395</f>
        <v>0</v>
      </c>
      <c r="ONI479" s="2204"/>
      <c r="ONJ479" s="2204"/>
      <c r="ONK479" s="2204">
        <f t="shared" si="194"/>
        <v>0</v>
      </c>
      <c r="ONL479" s="2204">
        <f>[16]BV!ONW395</f>
        <v>0</v>
      </c>
      <c r="ONM479" s="2204"/>
      <c r="ONN479" s="2204"/>
      <c r="ONO479" s="2204">
        <f t="shared" si="194"/>
        <v>0</v>
      </c>
      <c r="ONP479" s="2204">
        <f>[16]BV!OOA395</f>
        <v>0</v>
      </c>
      <c r="ONQ479" s="2204"/>
      <c r="ONR479" s="2204"/>
      <c r="ONS479" s="2204">
        <f t="shared" si="194"/>
        <v>0</v>
      </c>
      <c r="ONT479" s="2204">
        <f>[16]BV!OOE395</f>
        <v>0</v>
      </c>
      <c r="ONU479" s="2204"/>
      <c r="ONV479" s="2204"/>
      <c r="ONW479" s="2204">
        <f t="shared" si="194"/>
        <v>0</v>
      </c>
      <c r="ONX479" s="2204">
        <f>[16]BV!OOI395</f>
        <v>0</v>
      </c>
      <c r="ONY479" s="2204"/>
      <c r="ONZ479" s="2204"/>
      <c r="OOA479" s="2204">
        <f t="shared" si="194"/>
        <v>0</v>
      </c>
      <c r="OOB479" s="2204">
        <f>[16]BV!OOM395</f>
        <v>0</v>
      </c>
      <c r="OOC479" s="2204"/>
      <c r="OOD479" s="2204"/>
      <c r="OOE479" s="2204">
        <f t="shared" si="194"/>
        <v>0</v>
      </c>
      <c r="OOF479" s="2204">
        <f>[16]BV!OOQ395</f>
        <v>0</v>
      </c>
      <c r="OOG479" s="2204"/>
      <c r="OOH479" s="2204"/>
      <c r="OOI479" s="2204">
        <f t="shared" si="194"/>
        <v>0</v>
      </c>
      <c r="OOJ479" s="2204">
        <f>[16]BV!OOU395</f>
        <v>0</v>
      </c>
      <c r="OOK479" s="2204"/>
      <c r="OOL479" s="2204"/>
      <c r="OOM479" s="2204">
        <f t="shared" si="194"/>
        <v>0</v>
      </c>
      <c r="OON479" s="2204">
        <f>[16]BV!OOY395</f>
        <v>0</v>
      </c>
      <c r="OOO479" s="2204"/>
      <c r="OOP479" s="2204"/>
      <c r="OOQ479" s="2204">
        <f t="shared" si="194"/>
        <v>0</v>
      </c>
      <c r="OOR479" s="2204">
        <f>[16]BV!OPC395</f>
        <v>0</v>
      </c>
      <c r="OOS479" s="2204"/>
      <c r="OOT479" s="2204"/>
      <c r="OOU479" s="2204">
        <f t="shared" si="194"/>
        <v>0</v>
      </c>
      <c r="OOV479" s="2204">
        <f>[16]BV!OPG395</f>
        <v>0</v>
      </c>
      <c r="OOW479" s="2204"/>
      <c r="OOX479" s="2204"/>
      <c r="OOY479" s="2204">
        <f t="shared" si="194"/>
        <v>0</v>
      </c>
      <c r="OOZ479" s="2204">
        <f>[16]BV!OPK395</f>
        <v>0</v>
      </c>
      <c r="OPA479" s="2204"/>
      <c r="OPB479" s="2204"/>
      <c r="OPC479" s="2204">
        <f t="shared" si="194"/>
        <v>0</v>
      </c>
      <c r="OPD479" s="2204">
        <f>[16]BV!OPO395</f>
        <v>0</v>
      </c>
      <c r="OPE479" s="2204"/>
      <c r="OPF479" s="2204"/>
      <c r="OPG479" s="2204">
        <f t="shared" ref="OPG479:ORO479" si="195">OPD479</f>
        <v>0</v>
      </c>
      <c r="OPH479" s="2204">
        <f>[16]BV!OPS395</f>
        <v>0</v>
      </c>
      <c r="OPI479" s="2204"/>
      <c r="OPJ479" s="2204"/>
      <c r="OPK479" s="2204">
        <f t="shared" si="195"/>
        <v>0</v>
      </c>
      <c r="OPL479" s="2204">
        <f>[16]BV!OPW395</f>
        <v>0</v>
      </c>
      <c r="OPM479" s="2204"/>
      <c r="OPN479" s="2204"/>
      <c r="OPO479" s="2204">
        <f t="shared" si="195"/>
        <v>0</v>
      </c>
      <c r="OPP479" s="2204">
        <f>[16]BV!OQA395</f>
        <v>0</v>
      </c>
      <c r="OPQ479" s="2204"/>
      <c r="OPR479" s="2204"/>
      <c r="OPS479" s="2204">
        <f t="shared" si="195"/>
        <v>0</v>
      </c>
      <c r="OPT479" s="2204">
        <f>[16]BV!OQE395</f>
        <v>0</v>
      </c>
      <c r="OPU479" s="2204"/>
      <c r="OPV479" s="2204"/>
      <c r="OPW479" s="2204">
        <f t="shared" si="195"/>
        <v>0</v>
      </c>
      <c r="OPX479" s="2204">
        <f>[16]BV!OQI395</f>
        <v>0</v>
      </c>
      <c r="OPY479" s="2204"/>
      <c r="OPZ479" s="2204"/>
      <c r="OQA479" s="2204">
        <f t="shared" si="195"/>
        <v>0</v>
      </c>
      <c r="OQB479" s="2204">
        <f>[16]BV!OQM395</f>
        <v>0</v>
      </c>
      <c r="OQC479" s="2204"/>
      <c r="OQD479" s="2204"/>
      <c r="OQE479" s="2204">
        <f t="shared" si="195"/>
        <v>0</v>
      </c>
      <c r="OQF479" s="2204">
        <f>[16]BV!OQQ395</f>
        <v>0</v>
      </c>
      <c r="OQG479" s="2204"/>
      <c r="OQH479" s="2204"/>
      <c r="OQI479" s="2204">
        <f t="shared" si="195"/>
        <v>0</v>
      </c>
      <c r="OQJ479" s="2204">
        <f>[16]BV!OQU395</f>
        <v>0</v>
      </c>
      <c r="OQK479" s="2204"/>
      <c r="OQL479" s="2204"/>
      <c r="OQM479" s="2204">
        <f t="shared" si="195"/>
        <v>0</v>
      </c>
      <c r="OQN479" s="2204">
        <f>[16]BV!OQY395</f>
        <v>0</v>
      </c>
      <c r="OQO479" s="2204"/>
      <c r="OQP479" s="2204"/>
      <c r="OQQ479" s="2204">
        <f t="shared" si="195"/>
        <v>0</v>
      </c>
      <c r="OQR479" s="2204">
        <f>[16]BV!ORC395</f>
        <v>0</v>
      </c>
      <c r="OQS479" s="2204"/>
      <c r="OQT479" s="2204"/>
      <c r="OQU479" s="2204">
        <f t="shared" si="195"/>
        <v>0</v>
      </c>
      <c r="OQV479" s="2204">
        <f>[16]BV!ORG395</f>
        <v>0</v>
      </c>
      <c r="OQW479" s="2204"/>
      <c r="OQX479" s="2204"/>
      <c r="OQY479" s="2204">
        <f t="shared" si="195"/>
        <v>0</v>
      </c>
      <c r="OQZ479" s="2204">
        <f>[16]BV!ORK395</f>
        <v>0</v>
      </c>
      <c r="ORA479" s="2204"/>
      <c r="ORB479" s="2204"/>
      <c r="ORC479" s="2204">
        <f t="shared" si="195"/>
        <v>0</v>
      </c>
      <c r="ORD479" s="2204">
        <f>[16]BV!ORO395</f>
        <v>0</v>
      </c>
      <c r="ORE479" s="2204"/>
      <c r="ORF479" s="2204"/>
      <c r="ORG479" s="2204">
        <f t="shared" si="195"/>
        <v>0</v>
      </c>
      <c r="ORH479" s="2204">
        <f>[16]BV!ORS395</f>
        <v>0</v>
      </c>
      <c r="ORI479" s="2204"/>
      <c r="ORJ479" s="2204"/>
      <c r="ORK479" s="2204">
        <f t="shared" si="195"/>
        <v>0</v>
      </c>
      <c r="ORL479" s="2204">
        <f>[16]BV!ORW395</f>
        <v>0</v>
      </c>
      <c r="ORM479" s="2204"/>
      <c r="ORN479" s="2204"/>
      <c r="ORO479" s="2204">
        <f t="shared" si="195"/>
        <v>0</v>
      </c>
      <c r="ORP479" s="2204">
        <f>[16]BV!OSA395</f>
        <v>0</v>
      </c>
      <c r="ORQ479" s="2204"/>
      <c r="ORR479" s="2204"/>
      <c r="ORS479" s="2204">
        <f t="shared" ref="ORS479:OUA479" si="196">ORP479</f>
        <v>0</v>
      </c>
      <c r="ORT479" s="2204">
        <f>[16]BV!OSE395</f>
        <v>0</v>
      </c>
      <c r="ORU479" s="2204"/>
      <c r="ORV479" s="2204"/>
      <c r="ORW479" s="2204">
        <f t="shared" si="196"/>
        <v>0</v>
      </c>
      <c r="ORX479" s="2204">
        <f>[16]BV!OSI395</f>
        <v>0</v>
      </c>
      <c r="ORY479" s="2204"/>
      <c r="ORZ479" s="2204"/>
      <c r="OSA479" s="2204">
        <f t="shared" si="196"/>
        <v>0</v>
      </c>
      <c r="OSB479" s="2204">
        <f>[16]BV!OSM395</f>
        <v>0</v>
      </c>
      <c r="OSC479" s="2204"/>
      <c r="OSD479" s="2204"/>
      <c r="OSE479" s="2204">
        <f t="shared" si="196"/>
        <v>0</v>
      </c>
      <c r="OSF479" s="2204">
        <f>[16]BV!OSQ395</f>
        <v>0</v>
      </c>
      <c r="OSG479" s="2204"/>
      <c r="OSH479" s="2204"/>
      <c r="OSI479" s="2204">
        <f t="shared" si="196"/>
        <v>0</v>
      </c>
      <c r="OSJ479" s="2204">
        <f>[16]BV!OSU395</f>
        <v>0</v>
      </c>
      <c r="OSK479" s="2204"/>
      <c r="OSL479" s="2204"/>
      <c r="OSM479" s="2204">
        <f t="shared" si="196"/>
        <v>0</v>
      </c>
      <c r="OSN479" s="2204">
        <f>[16]BV!OSY395</f>
        <v>0</v>
      </c>
      <c r="OSO479" s="2204"/>
      <c r="OSP479" s="2204"/>
      <c r="OSQ479" s="2204">
        <f t="shared" si="196"/>
        <v>0</v>
      </c>
      <c r="OSR479" s="2204">
        <f>[16]BV!OTC395</f>
        <v>0</v>
      </c>
      <c r="OSS479" s="2204"/>
      <c r="OST479" s="2204"/>
      <c r="OSU479" s="2204">
        <f t="shared" si="196"/>
        <v>0</v>
      </c>
      <c r="OSV479" s="2204">
        <f>[16]BV!OTG395</f>
        <v>0</v>
      </c>
      <c r="OSW479" s="2204"/>
      <c r="OSX479" s="2204"/>
      <c r="OSY479" s="2204">
        <f t="shared" si="196"/>
        <v>0</v>
      </c>
      <c r="OSZ479" s="2204">
        <f>[16]BV!OTK395</f>
        <v>0</v>
      </c>
      <c r="OTA479" s="2204"/>
      <c r="OTB479" s="2204"/>
      <c r="OTC479" s="2204">
        <f t="shared" si="196"/>
        <v>0</v>
      </c>
      <c r="OTD479" s="2204">
        <f>[16]BV!OTO395</f>
        <v>0</v>
      </c>
      <c r="OTE479" s="2204"/>
      <c r="OTF479" s="2204"/>
      <c r="OTG479" s="2204">
        <f t="shared" si="196"/>
        <v>0</v>
      </c>
      <c r="OTH479" s="2204">
        <f>[16]BV!OTS395</f>
        <v>0</v>
      </c>
      <c r="OTI479" s="2204"/>
      <c r="OTJ479" s="2204"/>
      <c r="OTK479" s="2204">
        <f t="shared" si="196"/>
        <v>0</v>
      </c>
      <c r="OTL479" s="2204">
        <f>[16]BV!OTW395</f>
        <v>0</v>
      </c>
      <c r="OTM479" s="2204"/>
      <c r="OTN479" s="2204"/>
      <c r="OTO479" s="2204">
        <f t="shared" si="196"/>
        <v>0</v>
      </c>
      <c r="OTP479" s="2204">
        <f>[16]BV!OUA395</f>
        <v>0</v>
      </c>
      <c r="OTQ479" s="2204"/>
      <c r="OTR479" s="2204"/>
      <c r="OTS479" s="2204">
        <f t="shared" si="196"/>
        <v>0</v>
      </c>
      <c r="OTT479" s="2204">
        <f>[16]BV!OUE395</f>
        <v>0</v>
      </c>
      <c r="OTU479" s="2204"/>
      <c r="OTV479" s="2204"/>
      <c r="OTW479" s="2204">
        <f t="shared" si="196"/>
        <v>0</v>
      </c>
      <c r="OTX479" s="2204">
        <f>[16]BV!OUI395</f>
        <v>0</v>
      </c>
      <c r="OTY479" s="2204"/>
      <c r="OTZ479" s="2204"/>
      <c r="OUA479" s="2204">
        <f t="shared" si="196"/>
        <v>0</v>
      </c>
      <c r="OUB479" s="2204">
        <f>[16]BV!OUM395</f>
        <v>0</v>
      </c>
      <c r="OUC479" s="2204"/>
      <c r="OUD479" s="2204"/>
      <c r="OUE479" s="2204">
        <f t="shared" ref="OUE479:OWM479" si="197">OUB479</f>
        <v>0</v>
      </c>
      <c r="OUF479" s="2204">
        <f>[16]BV!OUQ395</f>
        <v>0</v>
      </c>
      <c r="OUG479" s="2204"/>
      <c r="OUH479" s="2204"/>
      <c r="OUI479" s="2204">
        <f t="shared" si="197"/>
        <v>0</v>
      </c>
      <c r="OUJ479" s="2204">
        <f>[16]BV!OUU395</f>
        <v>0</v>
      </c>
      <c r="OUK479" s="2204"/>
      <c r="OUL479" s="2204"/>
      <c r="OUM479" s="2204">
        <f t="shared" si="197"/>
        <v>0</v>
      </c>
      <c r="OUN479" s="2204">
        <f>[16]BV!OUY395</f>
        <v>0</v>
      </c>
      <c r="OUO479" s="2204"/>
      <c r="OUP479" s="2204"/>
      <c r="OUQ479" s="2204">
        <f t="shared" si="197"/>
        <v>0</v>
      </c>
      <c r="OUR479" s="2204">
        <f>[16]BV!OVC395</f>
        <v>0</v>
      </c>
      <c r="OUS479" s="2204"/>
      <c r="OUT479" s="2204"/>
      <c r="OUU479" s="2204">
        <f t="shared" si="197"/>
        <v>0</v>
      </c>
      <c r="OUV479" s="2204">
        <f>[16]BV!OVG395</f>
        <v>0</v>
      </c>
      <c r="OUW479" s="2204"/>
      <c r="OUX479" s="2204"/>
      <c r="OUY479" s="2204">
        <f t="shared" si="197"/>
        <v>0</v>
      </c>
      <c r="OUZ479" s="2204">
        <f>[16]BV!OVK395</f>
        <v>0</v>
      </c>
      <c r="OVA479" s="2204"/>
      <c r="OVB479" s="2204"/>
      <c r="OVC479" s="2204">
        <f t="shared" si="197"/>
        <v>0</v>
      </c>
      <c r="OVD479" s="2204">
        <f>[16]BV!OVO395</f>
        <v>0</v>
      </c>
      <c r="OVE479" s="2204"/>
      <c r="OVF479" s="2204"/>
      <c r="OVG479" s="2204">
        <f t="shared" si="197"/>
        <v>0</v>
      </c>
      <c r="OVH479" s="2204">
        <f>[16]BV!OVS395</f>
        <v>0</v>
      </c>
      <c r="OVI479" s="2204"/>
      <c r="OVJ479" s="2204"/>
      <c r="OVK479" s="2204">
        <f t="shared" si="197"/>
        <v>0</v>
      </c>
      <c r="OVL479" s="2204">
        <f>[16]BV!OVW395</f>
        <v>0</v>
      </c>
      <c r="OVM479" s="2204"/>
      <c r="OVN479" s="2204"/>
      <c r="OVO479" s="2204">
        <f t="shared" si="197"/>
        <v>0</v>
      </c>
      <c r="OVP479" s="2204">
        <f>[16]BV!OWA395</f>
        <v>0</v>
      </c>
      <c r="OVQ479" s="2204"/>
      <c r="OVR479" s="2204"/>
      <c r="OVS479" s="2204">
        <f t="shared" si="197"/>
        <v>0</v>
      </c>
      <c r="OVT479" s="2204">
        <f>[16]BV!OWE395</f>
        <v>0</v>
      </c>
      <c r="OVU479" s="2204"/>
      <c r="OVV479" s="2204"/>
      <c r="OVW479" s="2204">
        <f t="shared" si="197"/>
        <v>0</v>
      </c>
      <c r="OVX479" s="2204">
        <f>[16]BV!OWI395</f>
        <v>0</v>
      </c>
      <c r="OVY479" s="2204"/>
      <c r="OVZ479" s="2204"/>
      <c r="OWA479" s="2204">
        <f t="shared" si="197"/>
        <v>0</v>
      </c>
      <c r="OWB479" s="2204">
        <f>[16]BV!OWM395</f>
        <v>0</v>
      </c>
      <c r="OWC479" s="2204"/>
      <c r="OWD479" s="2204"/>
      <c r="OWE479" s="2204">
        <f t="shared" si="197"/>
        <v>0</v>
      </c>
      <c r="OWF479" s="2204">
        <f>[16]BV!OWQ395</f>
        <v>0</v>
      </c>
      <c r="OWG479" s="2204"/>
      <c r="OWH479" s="2204"/>
      <c r="OWI479" s="2204">
        <f t="shared" si="197"/>
        <v>0</v>
      </c>
      <c r="OWJ479" s="2204">
        <f>[16]BV!OWU395</f>
        <v>0</v>
      </c>
      <c r="OWK479" s="2204"/>
      <c r="OWL479" s="2204"/>
      <c r="OWM479" s="2204">
        <f t="shared" si="197"/>
        <v>0</v>
      </c>
      <c r="OWN479" s="2204">
        <f>[16]BV!OWY395</f>
        <v>0</v>
      </c>
      <c r="OWO479" s="2204"/>
      <c r="OWP479" s="2204"/>
      <c r="OWQ479" s="2204">
        <f t="shared" ref="OWQ479:OYY479" si="198">OWN479</f>
        <v>0</v>
      </c>
      <c r="OWR479" s="2204">
        <f>[16]BV!OXC395</f>
        <v>0</v>
      </c>
      <c r="OWS479" s="2204"/>
      <c r="OWT479" s="2204"/>
      <c r="OWU479" s="2204">
        <f t="shared" si="198"/>
        <v>0</v>
      </c>
      <c r="OWV479" s="2204">
        <f>[16]BV!OXG395</f>
        <v>0</v>
      </c>
      <c r="OWW479" s="2204"/>
      <c r="OWX479" s="2204"/>
      <c r="OWY479" s="2204">
        <f t="shared" si="198"/>
        <v>0</v>
      </c>
      <c r="OWZ479" s="2204">
        <f>[16]BV!OXK395</f>
        <v>0</v>
      </c>
      <c r="OXA479" s="2204"/>
      <c r="OXB479" s="2204"/>
      <c r="OXC479" s="2204">
        <f t="shared" si="198"/>
        <v>0</v>
      </c>
      <c r="OXD479" s="2204">
        <f>[16]BV!OXO395</f>
        <v>0</v>
      </c>
      <c r="OXE479" s="2204"/>
      <c r="OXF479" s="2204"/>
      <c r="OXG479" s="2204">
        <f t="shared" si="198"/>
        <v>0</v>
      </c>
      <c r="OXH479" s="2204">
        <f>[16]BV!OXS395</f>
        <v>0</v>
      </c>
      <c r="OXI479" s="2204"/>
      <c r="OXJ479" s="2204"/>
      <c r="OXK479" s="2204">
        <f t="shared" si="198"/>
        <v>0</v>
      </c>
      <c r="OXL479" s="2204">
        <f>[16]BV!OXW395</f>
        <v>0</v>
      </c>
      <c r="OXM479" s="2204"/>
      <c r="OXN479" s="2204"/>
      <c r="OXO479" s="2204">
        <f t="shared" si="198"/>
        <v>0</v>
      </c>
      <c r="OXP479" s="2204">
        <f>[16]BV!OYA395</f>
        <v>0</v>
      </c>
      <c r="OXQ479" s="2204"/>
      <c r="OXR479" s="2204"/>
      <c r="OXS479" s="2204">
        <f t="shared" si="198"/>
        <v>0</v>
      </c>
      <c r="OXT479" s="2204">
        <f>[16]BV!OYE395</f>
        <v>0</v>
      </c>
      <c r="OXU479" s="2204"/>
      <c r="OXV479" s="2204"/>
      <c r="OXW479" s="2204">
        <f t="shared" si="198"/>
        <v>0</v>
      </c>
      <c r="OXX479" s="2204">
        <f>[16]BV!OYI395</f>
        <v>0</v>
      </c>
      <c r="OXY479" s="2204"/>
      <c r="OXZ479" s="2204"/>
      <c r="OYA479" s="2204">
        <f t="shared" si="198"/>
        <v>0</v>
      </c>
      <c r="OYB479" s="2204">
        <f>[16]BV!OYM395</f>
        <v>0</v>
      </c>
      <c r="OYC479" s="2204"/>
      <c r="OYD479" s="2204"/>
      <c r="OYE479" s="2204">
        <f t="shared" si="198"/>
        <v>0</v>
      </c>
      <c r="OYF479" s="2204">
        <f>[16]BV!OYQ395</f>
        <v>0</v>
      </c>
      <c r="OYG479" s="2204"/>
      <c r="OYH479" s="2204"/>
      <c r="OYI479" s="2204">
        <f t="shared" si="198"/>
        <v>0</v>
      </c>
      <c r="OYJ479" s="2204">
        <f>[16]BV!OYU395</f>
        <v>0</v>
      </c>
      <c r="OYK479" s="2204"/>
      <c r="OYL479" s="2204"/>
      <c r="OYM479" s="2204">
        <f t="shared" si="198"/>
        <v>0</v>
      </c>
      <c r="OYN479" s="2204">
        <f>[16]BV!OYY395</f>
        <v>0</v>
      </c>
      <c r="OYO479" s="2204"/>
      <c r="OYP479" s="2204"/>
      <c r="OYQ479" s="2204">
        <f t="shared" si="198"/>
        <v>0</v>
      </c>
      <c r="OYR479" s="2204">
        <f>[16]BV!OZC395</f>
        <v>0</v>
      </c>
      <c r="OYS479" s="2204"/>
      <c r="OYT479" s="2204"/>
      <c r="OYU479" s="2204">
        <f t="shared" si="198"/>
        <v>0</v>
      </c>
      <c r="OYV479" s="2204">
        <f>[16]BV!OZG395</f>
        <v>0</v>
      </c>
      <c r="OYW479" s="2204"/>
      <c r="OYX479" s="2204"/>
      <c r="OYY479" s="2204">
        <f t="shared" si="198"/>
        <v>0</v>
      </c>
      <c r="OYZ479" s="2204">
        <f>[16]BV!OZK395</f>
        <v>0</v>
      </c>
      <c r="OZA479" s="2204"/>
      <c r="OZB479" s="2204"/>
      <c r="OZC479" s="2204">
        <f t="shared" ref="OZC479:PBK479" si="199">OYZ479</f>
        <v>0</v>
      </c>
      <c r="OZD479" s="2204">
        <f>[16]BV!OZO395</f>
        <v>0</v>
      </c>
      <c r="OZE479" s="2204"/>
      <c r="OZF479" s="2204"/>
      <c r="OZG479" s="2204">
        <f t="shared" si="199"/>
        <v>0</v>
      </c>
      <c r="OZH479" s="2204">
        <f>[16]BV!OZS395</f>
        <v>0</v>
      </c>
      <c r="OZI479" s="2204"/>
      <c r="OZJ479" s="2204"/>
      <c r="OZK479" s="2204">
        <f t="shared" si="199"/>
        <v>0</v>
      </c>
      <c r="OZL479" s="2204">
        <f>[16]BV!OZW395</f>
        <v>0</v>
      </c>
      <c r="OZM479" s="2204"/>
      <c r="OZN479" s="2204"/>
      <c r="OZO479" s="2204">
        <f t="shared" si="199"/>
        <v>0</v>
      </c>
      <c r="OZP479" s="2204">
        <f>[16]BV!PAA395</f>
        <v>0</v>
      </c>
      <c r="OZQ479" s="2204"/>
      <c r="OZR479" s="2204"/>
      <c r="OZS479" s="2204">
        <f t="shared" si="199"/>
        <v>0</v>
      </c>
      <c r="OZT479" s="2204">
        <f>[16]BV!PAE395</f>
        <v>0</v>
      </c>
      <c r="OZU479" s="2204"/>
      <c r="OZV479" s="2204"/>
      <c r="OZW479" s="2204">
        <f t="shared" si="199"/>
        <v>0</v>
      </c>
      <c r="OZX479" s="2204">
        <f>[16]BV!PAI395</f>
        <v>0</v>
      </c>
      <c r="OZY479" s="2204"/>
      <c r="OZZ479" s="2204"/>
      <c r="PAA479" s="2204">
        <f t="shared" si="199"/>
        <v>0</v>
      </c>
      <c r="PAB479" s="2204">
        <f>[16]BV!PAM395</f>
        <v>0</v>
      </c>
      <c r="PAC479" s="2204"/>
      <c r="PAD479" s="2204"/>
      <c r="PAE479" s="2204">
        <f t="shared" si="199"/>
        <v>0</v>
      </c>
      <c r="PAF479" s="2204">
        <f>[16]BV!PAQ395</f>
        <v>0</v>
      </c>
      <c r="PAG479" s="2204"/>
      <c r="PAH479" s="2204"/>
      <c r="PAI479" s="2204">
        <f t="shared" si="199"/>
        <v>0</v>
      </c>
      <c r="PAJ479" s="2204">
        <f>[16]BV!PAU395</f>
        <v>0</v>
      </c>
      <c r="PAK479" s="2204"/>
      <c r="PAL479" s="2204"/>
      <c r="PAM479" s="2204">
        <f t="shared" si="199"/>
        <v>0</v>
      </c>
      <c r="PAN479" s="2204">
        <f>[16]BV!PAY395</f>
        <v>0</v>
      </c>
      <c r="PAO479" s="2204"/>
      <c r="PAP479" s="2204"/>
      <c r="PAQ479" s="2204">
        <f t="shared" si="199"/>
        <v>0</v>
      </c>
      <c r="PAR479" s="2204">
        <f>[16]BV!PBC395</f>
        <v>0</v>
      </c>
      <c r="PAS479" s="2204"/>
      <c r="PAT479" s="2204"/>
      <c r="PAU479" s="2204">
        <f t="shared" si="199"/>
        <v>0</v>
      </c>
      <c r="PAV479" s="2204">
        <f>[16]BV!PBG395</f>
        <v>0</v>
      </c>
      <c r="PAW479" s="2204"/>
      <c r="PAX479" s="2204"/>
      <c r="PAY479" s="2204">
        <f t="shared" si="199"/>
        <v>0</v>
      </c>
      <c r="PAZ479" s="2204">
        <f>[16]BV!PBK395</f>
        <v>0</v>
      </c>
      <c r="PBA479" s="2204"/>
      <c r="PBB479" s="2204"/>
      <c r="PBC479" s="2204">
        <f t="shared" si="199"/>
        <v>0</v>
      </c>
      <c r="PBD479" s="2204">
        <f>[16]BV!PBO395</f>
        <v>0</v>
      </c>
      <c r="PBE479" s="2204"/>
      <c r="PBF479" s="2204"/>
      <c r="PBG479" s="2204">
        <f t="shared" si="199"/>
        <v>0</v>
      </c>
      <c r="PBH479" s="2204">
        <f>[16]BV!PBS395</f>
        <v>0</v>
      </c>
      <c r="PBI479" s="2204"/>
      <c r="PBJ479" s="2204"/>
      <c r="PBK479" s="2204">
        <f t="shared" si="199"/>
        <v>0</v>
      </c>
      <c r="PBL479" s="2204">
        <f>[16]BV!PBW395</f>
        <v>0</v>
      </c>
      <c r="PBM479" s="2204"/>
      <c r="PBN479" s="2204"/>
      <c r="PBO479" s="2204">
        <f t="shared" ref="PBO479:PDW479" si="200">PBL479</f>
        <v>0</v>
      </c>
      <c r="PBP479" s="2204">
        <f>[16]BV!PCA395</f>
        <v>0</v>
      </c>
      <c r="PBQ479" s="2204"/>
      <c r="PBR479" s="2204"/>
      <c r="PBS479" s="2204">
        <f t="shared" si="200"/>
        <v>0</v>
      </c>
      <c r="PBT479" s="2204">
        <f>[16]BV!PCE395</f>
        <v>0</v>
      </c>
      <c r="PBU479" s="2204"/>
      <c r="PBV479" s="2204"/>
      <c r="PBW479" s="2204">
        <f t="shared" si="200"/>
        <v>0</v>
      </c>
      <c r="PBX479" s="2204">
        <f>[16]BV!PCI395</f>
        <v>0</v>
      </c>
      <c r="PBY479" s="2204"/>
      <c r="PBZ479" s="2204"/>
      <c r="PCA479" s="2204">
        <f t="shared" si="200"/>
        <v>0</v>
      </c>
      <c r="PCB479" s="2204">
        <f>[16]BV!PCM395</f>
        <v>0</v>
      </c>
      <c r="PCC479" s="2204"/>
      <c r="PCD479" s="2204"/>
      <c r="PCE479" s="2204">
        <f t="shared" si="200"/>
        <v>0</v>
      </c>
      <c r="PCF479" s="2204">
        <f>[16]BV!PCQ395</f>
        <v>0</v>
      </c>
      <c r="PCG479" s="2204"/>
      <c r="PCH479" s="2204"/>
      <c r="PCI479" s="2204">
        <f t="shared" si="200"/>
        <v>0</v>
      </c>
      <c r="PCJ479" s="2204">
        <f>[16]BV!PCU395</f>
        <v>0</v>
      </c>
      <c r="PCK479" s="2204"/>
      <c r="PCL479" s="2204"/>
      <c r="PCM479" s="2204">
        <f t="shared" si="200"/>
        <v>0</v>
      </c>
      <c r="PCN479" s="2204">
        <f>[16]BV!PCY395</f>
        <v>0</v>
      </c>
      <c r="PCO479" s="2204"/>
      <c r="PCP479" s="2204"/>
      <c r="PCQ479" s="2204">
        <f t="shared" si="200"/>
        <v>0</v>
      </c>
      <c r="PCR479" s="2204">
        <f>[16]BV!PDC395</f>
        <v>0</v>
      </c>
      <c r="PCS479" s="2204"/>
      <c r="PCT479" s="2204"/>
      <c r="PCU479" s="2204">
        <f t="shared" si="200"/>
        <v>0</v>
      </c>
      <c r="PCV479" s="2204">
        <f>[16]BV!PDG395</f>
        <v>0</v>
      </c>
      <c r="PCW479" s="2204"/>
      <c r="PCX479" s="2204"/>
      <c r="PCY479" s="2204">
        <f t="shared" si="200"/>
        <v>0</v>
      </c>
      <c r="PCZ479" s="2204">
        <f>[16]BV!PDK395</f>
        <v>0</v>
      </c>
      <c r="PDA479" s="2204"/>
      <c r="PDB479" s="2204"/>
      <c r="PDC479" s="2204">
        <f t="shared" si="200"/>
        <v>0</v>
      </c>
      <c r="PDD479" s="2204">
        <f>[16]BV!PDO395</f>
        <v>0</v>
      </c>
      <c r="PDE479" s="2204"/>
      <c r="PDF479" s="2204"/>
      <c r="PDG479" s="2204">
        <f t="shared" si="200"/>
        <v>0</v>
      </c>
      <c r="PDH479" s="2204">
        <f>[16]BV!PDS395</f>
        <v>0</v>
      </c>
      <c r="PDI479" s="2204"/>
      <c r="PDJ479" s="2204"/>
      <c r="PDK479" s="2204">
        <f t="shared" si="200"/>
        <v>0</v>
      </c>
      <c r="PDL479" s="2204">
        <f>[16]BV!PDW395</f>
        <v>0</v>
      </c>
      <c r="PDM479" s="2204"/>
      <c r="PDN479" s="2204"/>
      <c r="PDO479" s="2204">
        <f t="shared" si="200"/>
        <v>0</v>
      </c>
      <c r="PDP479" s="2204">
        <f>[16]BV!PEA395</f>
        <v>0</v>
      </c>
      <c r="PDQ479" s="2204"/>
      <c r="PDR479" s="2204"/>
      <c r="PDS479" s="2204">
        <f t="shared" si="200"/>
        <v>0</v>
      </c>
      <c r="PDT479" s="2204">
        <f>[16]BV!PEE395</f>
        <v>0</v>
      </c>
      <c r="PDU479" s="2204"/>
      <c r="PDV479" s="2204"/>
      <c r="PDW479" s="2204">
        <f t="shared" si="200"/>
        <v>0</v>
      </c>
      <c r="PDX479" s="2204">
        <f>[16]BV!PEI395</f>
        <v>0</v>
      </c>
      <c r="PDY479" s="2204"/>
      <c r="PDZ479" s="2204"/>
      <c r="PEA479" s="2204">
        <f t="shared" ref="PEA479:PGI479" si="201">PDX479</f>
        <v>0</v>
      </c>
      <c r="PEB479" s="2204">
        <f>[16]BV!PEM395</f>
        <v>0</v>
      </c>
      <c r="PEC479" s="2204"/>
      <c r="PED479" s="2204"/>
      <c r="PEE479" s="2204">
        <f t="shared" si="201"/>
        <v>0</v>
      </c>
      <c r="PEF479" s="2204">
        <f>[16]BV!PEQ395</f>
        <v>0</v>
      </c>
      <c r="PEG479" s="2204"/>
      <c r="PEH479" s="2204"/>
      <c r="PEI479" s="2204">
        <f t="shared" si="201"/>
        <v>0</v>
      </c>
      <c r="PEJ479" s="2204">
        <f>[16]BV!PEU395</f>
        <v>0</v>
      </c>
      <c r="PEK479" s="2204"/>
      <c r="PEL479" s="2204"/>
      <c r="PEM479" s="2204">
        <f t="shared" si="201"/>
        <v>0</v>
      </c>
      <c r="PEN479" s="2204">
        <f>[16]BV!PEY395</f>
        <v>0</v>
      </c>
      <c r="PEO479" s="2204"/>
      <c r="PEP479" s="2204"/>
      <c r="PEQ479" s="2204">
        <f t="shared" si="201"/>
        <v>0</v>
      </c>
      <c r="PER479" s="2204">
        <f>[16]BV!PFC395</f>
        <v>0</v>
      </c>
      <c r="PES479" s="2204"/>
      <c r="PET479" s="2204"/>
      <c r="PEU479" s="2204">
        <f t="shared" si="201"/>
        <v>0</v>
      </c>
      <c r="PEV479" s="2204">
        <f>[16]BV!PFG395</f>
        <v>0</v>
      </c>
      <c r="PEW479" s="2204"/>
      <c r="PEX479" s="2204"/>
      <c r="PEY479" s="2204">
        <f t="shared" si="201"/>
        <v>0</v>
      </c>
      <c r="PEZ479" s="2204">
        <f>[16]BV!PFK395</f>
        <v>0</v>
      </c>
      <c r="PFA479" s="2204"/>
      <c r="PFB479" s="2204"/>
      <c r="PFC479" s="2204">
        <f t="shared" si="201"/>
        <v>0</v>
      </c>
      <c r="PFD479" s="2204">
        <f>[16]BV!PFO395</f>
        <v>0</v>
      </c>
      <c r="PFE479" s="2204"/>
      <c r="PFF479" s="2204"/>
      <c r="PFG479" s="2204">
        <f t="shared" si="201"/>
        <v>0</v>
      </c>
      <c r="PFH479" s="2204">
        <f>[16]BV!PFS395</f>
        <v>0</v>
      </c>
      <c r="PFI479" s="2204"/>
      <c r="PFJ479" s="2204"/>
      <c r="PFK479" s="2204">
        <f t="shared" si="201"/>
        <v>0</v>
      </c>
      <c r="PFL479" s="2204">
        <f>[16]BV!PFW395</f>
        <v>0</v>
      </c>
      <c r="PFM479" s="2204"/>
      <c r="PFN479" s="2204"/>
      <c r="PFO479" s="2204">
        <f t="shared" si="201"/>
        <v>0</v>
      </c>
      <c r="PFP479" s="2204">
        <f>[16]BV!PGA395</f>
        <v>0</v>
      </c>
      <c r="PFQ479" s="2204"/>
      <c r="PFR479" s="2204"/>
      <c r="PFS479" s="2204">
        <f t="shared" si="201"/>
        <v>0</v>
      </c>
      <c r="PFT479" s="2204">
        <f>[16]BV!PGE395</f>
        <v>0</v>
      </c>
      <c r="PFU479" s="2204"/>
      <c r="PFV479" s="2204"/>
      <c r="PFW479" s="2204">
        <f t="shared" si="201"/>
        <v>0</v>
      </c>
      <c r="PFX479" s="2204">
        <f>[16]BV!PGI395</f>
        <v>0</v>
      </c>
      <c r="PFY479" s="2204"/>
      <c r="PFZ479" s="2204"/>
      <c r="PGA479" s="2204">
        <f t="shared" si="201"/>
        <v>0</v>
      </c>
      <c r="PGB479" s="2204">
        <f>[16]BV!PGM395</f>
        <v>0</v>
      </c>
      <c r="PGC479" s="2204"/>
      <c r="PGD479" s="2204"/>
      <c r="PGE479" s="2204">
        <f t="shared" si="201"/>
        <v>0</v>
      </c>
      <c r="PGF479" s="2204">
        <f>[16]BV!PGQ395</f>
        <v>0</v>
      </c>
      <c r="PGG479" s="2204"/>
      <c r="PGH479" s="2204"/>
      <c r="PGI479" s="2204">
        <f t="shared" si="201"/>
        <v>0</v>
      </c>
      <c r="PGJ479" s="2204">
        <f>[16]BV!PGU395</f>
        <v>0</v>
      </c>
      <c r="PGK479" s="2204"/>
      <c r="PGL479" s="2204"/>
      <c r="PGM479" s="2204">
        <f t="shared" ref="PGM479:PIU479" si="202">PGJ479</f>
        <v>0</v>
      </c>
      <c r="PGN479" s="2204">
        <f>[16]BV!PGY395</f>
        <v>0</v>
      </c>
      <c r="PGO479" s="2204"/>
      <c r="PGP479" s="2204"/>
      <c r="PGQ479" s="2204">
        <f t="shared" si="202"/>
        <v>0</v>
      </c>
      <c r="PGR479" s="2204">
        <f>[16]BV!PHC395</f>
        <v>0</v>
      </c>
      <c r="PGS479" s="2204"/>
      <c r="PGT479" s="2204"/>
      <c r="PGU479" s="2204">
        <f t="shared" si="202"/>
        <v>0</v>
      </c>
      <c r="PGV479" s="2204">
        <f>[16]BV!PHG395</f>
        <v>0</v>
      </c>
      <c r="PGW479" s="2204"/>
      <c r="PGX479" s="2204"/>
      <c r="PGY479" s="2204">
        <f t="shared" si="202"/>
        <v>0</v>
      </c>
      <c r="PGZ479" s="2204">
        <f>[16]BV!PHK395</f>
        <v>0</v>
      </c>
      <c r="PHA479" s="2204"/>
      <c r="PHB479" s="2204"/>
      <c r="PHC479" s="2204">
        <f t="shared" si="202"/>
        <v>0</v>
      </c>
      <c r="PHD479" s="2204">
        <f>[16]BV!PHO395</f>
        <v>0</v>
      </c>
      <c r="PHE479" s="2204"/>
      <c r="PHF479" s="2204"/>
      <c r="PHG479" s="2204">
        <f t="shared" si="202"/>
        <v>0</v>
      </c>
      <c r="PHH479" s="2204">
        <f>[16]BV!PHS395</f>
        <v>0</v>
      </c>
      <c r="PHI479" s="2204"/>
      <c r="PHJ479" s="2204"/>
      <c r="PHK479" s="2204">
        <f t="shared" si="202"/>
        <v>0</v>
      </c>
      <c r="PHL479" s="2204">
        <f>[16]BV!PHW395</f>
        <v>0</v>
      </c>
      <c r="PHM479" s="2204"/>
      <c r="PHN479" s="2204"/>
      <c r="PHO479" s="2204">
        <f t="shared" si="202"/>
        <v>0</v>
      </c>
      <c r="PHP479" s="2204">
        <f>[16]BV!PIA395</f>
        <v>0</v>
      </c>
      <c r="PHQ479" s="2204"/>
      <c r="PHR479" s="2204"/>
      <c r="PHS479" s="2204">
        <f t="shared" si="202"/>
        <v>0</v>
      </c>
      <c r="PHT479" s="2204">
        <f>[16]BV!PIE395</f>
        <v>0</v>
      </c>
      <c r="PHU479" s="2204"/>
      <c r="PHV479" s="2204"/>
      <c r="PHW479" s="2204">
        <f t="shared" si="202"/>
        <v>0</v>
      </c>
      <c r="PHX479" s="2204">
        <f>[16]BV!PII395</f>
        <v>0</v>
      </c>
      <c r="PHY479" s="2204"/>
      <c r="PHZ479" s="2204"/>
      <c r="PIA479" s="2204">
        <f t="shared" si="202"/>
        <v>0</v>
      </c>
      <c r="PIB479" s="2204">
        <f>[16]BV!PIM395</f>
        <v>0</v>
      </c>
      <c r="PIC479" s="2204"/>
      <c r="PID479" s="2204"/>
      <c r="PIE479" s="2204">
        <f t="shared" si="202"/>
        <v>0</v>
      </c>
      <c r="PIF479" s="2204">
        <f>[16]BV!PIQ395</f>
        <v>0</v>
      </c>
      <c r="PIG479" s="2204"/>
      <c r="PIH479" s="2204"/>
      <c r="PII479" s="2204">
        <f t="shared" si="202"/>
        <v>0</v>
      </c>
      <c r="PIJ479" s="2204">
        <f>[16]BV!PIU395</f>
        <v>0</v>
      </c>
      <c r="PIK479" s="2204"/>
      <c r="PIL479" s="2204"/>
      <c r="PIM479" s="2204">
        <f t="shared" si="202"/>
        <v>0</v>
      </c>
      <c r="PIN479" s="2204">
        <f>[16]BV!PIY395</f>
        <v>0</v>
      </c>
      <c r="PIO479" s="2204"/>
      <c r="PIP479" s="2204"/>
      <c r="PIQ479" s="2204">
        <f t="shared" si="202"/>
        <v>0</v>
      </c>
      <c r="PIR479" s="2204">
        <f>[16]BV!PJC395</f>
        <v>0</v>
      </c>
      <c r="PIS479" s="2204"/>
      <c r="PIT479" s="2204"/>
      <c r="PIU479" s="2204">
        <f t="shared" si="202"/>
        <v>0</v>
      </c>
      <c r="PIV479" s="2204">
        <f>[16]BV!PJG395</f>
        <v>0</v>
      </c>
      <c r="PIW479" s="2204"/>
      <c r="PIX479" s="2204"/>
      <c r="PIY479" s="2204">
        <f t="shared" ref="PIY479:PLG479" si="203">PIV479</f>
        <v>0</v>
      </c>
      <c r="PIZ479" s="2204">
        <f>[16]BV!PJK395</f>
        <v>0</v>
      </c>
      <c r="PJA479" s="2204"/>
      <c r="PJB479" s="2204"/>
      <c r="PJC479" s="2204">
        <f t="shared" si="203"/>
        <v>0</v>
      </c>
      <c r="PJD479" s="2204">
        <f>[16]BV!PJO395</f>
        <v>0</v>
      </c>
      <c r="PJE479" s="2204"/>
      <c r="PJF479" s="2204"/>
      <c r="PJG479" s="2204">
        <f t="shared" si="203"/>
        <v>0</v>
      </c>
      <c r="PJH479" s="2204">
        <f>[16]BV!PJS395</f>
        <v>0</v>
      </c>
      <c r="PJI479" s="2204"/>
      <c r="PJJ479" s="2204"/>
      <c r="PJK479" s="2204">
        <f t="shared" si="203"/>
        <v>0</v>
      </c>
      <c r="PJL479" s="2204">
        <f>[16]BV!PJW395</f>
        <v>0</v>
      </c>
      <c r="PJM479" s="2204"/>
      <c r="PJN479" s="2204"/>
      <c r="PJO479" s="2204">
        <f t="shared" si="203"/>
        <v>0</v>
      </c>
      <c r="PJP479" s="2204">
        <f>[16]BV!PKA395</f>
        <v>0</v>
      </c>
      <c r="PJQ479" s="2204"/>
      <c r="PJR479" s="2204"/>
      <c r="PJS479" s="2204">
        <f t="shared" si="203"/>
        <v>0</v>
      </c>
      <c r="PJT479" s="2204">
        <f>[16]BV!PKE395</f>
        <v>0</v>
      </c>
      <c r="PJU479" s="2204"/>
      <c r="PJV479" s="2204"/>
      <c r="PJW479" s="2204">
        <f t="shared" si="203"/>
        <v>0</v>
      </c>
      <c r="PJX479" s="2204">
        <f>[16]BV!PKI395</f>
        <v>0</v>
      </c>
      <c r="PJY479" s="2204"/>
      <c r="PJZ479" s="2204"/>
      <c r="PKA479" s="2204">
        <f t="shared" si="203"/>
        <v>0</v>
      </c>
      <c r="PKB479" s="2204">
        <f>[16]BV!PKM395</f>
        <v>0</v>
      </c>
      <c r="PKC479" s="2204"/>
      <c r="PKD479" s="2204"/>
      <c r="PKE479" s="2204">
        <f t="shared" si="203"/>
        <v>0</v>
      </c>
      <c r="PKF479" s="2204">
        <f>[16]BV!PKQ395</f>
        <v>0</v>
      </c>
      <c r="PKG479" s="2204"/>
      <c r="PKH479" s="2204"/>
      <c r="PKI479" s="2204">
        <f t="shared" si="203"/>
        <v>0</v>
      </c>
      <c r="PKJ479" s="2204">
        <f>[16]BV!PKU395</f>
        <v>0</v>
      </c>
      <c r="PKK479" s="2204"/>
      <c r="PKL479" s="2204"/>
      <c r="PKM479" s="2204">
        <f t="shared" si="203"/>
        <v>0</v>
      </c>
      <c r="PKN479" s="2204">
        <f>[16]BV!PKY395</f>
        <v>0</v>
      </c>
      <c r="PKO479" s="2204"/>
      <c r="PKP479" s="2204"/>
      <c r="PKQ479" s="2204">
        <f t="shared" si="203"/>
        <v>0</v>
      </c>
      <c r="PKR479" s="2204">
        <f>[16]BV!PLC395</f>
        <v>0</v>
      </c>
      <c r="PKS479" s="2204"/>
      <c r="PKT479" s="2204"/>
      <c r="PKU479" s="2204">
        <f t="shared" si="203"/>
        <v>0</v>
      </c>
      <c r="PKV479" s="2204">
        <f>[16]BV!PLG395</f>
        <v>0</v>
      </c>
      <c r="PKW479" s="2204"/>
      <c r="PKX479" s="2204"/>
      <c r="PKY479" s="2204">
        <f t="shared" si="203"/>
        <v>0</v>
      </c>
      <c r="PKZ479" s="2204">
        <f>[16]BV!PLK395</f>
        <v>0</v>
      </c>
      <c r="PLA479" s="2204"/>
      <c r="PLB479" s="2204"/>
      <c r="PLC479" s="2204">
        <f t="shared" si="203"/>
        <v>0</v>
      </c>
      <c r="PLD479" s="2204">
        <f>[16]BV!PLO395</f>
        <v>0</v>
      </c>
      <c r="PLE479" s="2204"/>
      <c r="PLF479" s="2204"/>
      <c r="PLG479" s="2204">
        <f t="shared" si="203"/>
        <v>0</v>
      </c>
      <c r="PLH479" s="2204">
        <f>[16]BV!PLS395</f>
        <v>0</v>
      </c>
      <c r="PLI479" s="2204"/>
      <c r="PLJ479" s="2204"/>
      <c r="PLK479" s="2204">
        <f t="shared" ref="PLK479:PNS479" si="204">PLH479</f>
        <v>0</v>
      </c>
      <c r="PLL479" s="2204">
        <f>[16]BV!PLW395</f>
        <v>0</v>
      </c>
      <c r="PLM479" s="2204"/>
      <c r="PLN479" s="2204"/>
      <c r="PLO479" s="2204">
        <f t="shared" si="204"/>
        <v>0</v>
      </c>
      <c r="PLP479" s="2204">
        <f>[16]BV!PMA395</f>
        <v>0</v>
      </c>
      <c r="PLQ479" s="2204"/>
      <c r="PLR479" s="2204"/>
      <c r="PLS479" s="2204">
        <f t="shared" si="204"/>
        <v>0</v>
      </c>
      <c r="PLT479" s="2204">
        <f>[16]BV!PME395</f>
        <v>0</v>
      </c>
      <c r="PLU479" s="2204"/>
      <c r="PLV479" s="2204"/>
      <c r="PLW479" s="2204">
        <f t="shared" si="204"/>
        <v>0</v>
      </c>
      <c r="PLX479" s="2204">
        <f>[16]BV!PMI395</f>
        <v>0</v>
      </c>
      <c r="PLY479" s="2204"/>
      <c r="PLZ479" s="2204"/>
      <c r="PMA479" s="2204">
        <f t="shared" si="204"/>
        <v>0</v>
      </c>
      <c r="PMB479" s="2204">
        <f>[16]BV!PMM395</f>
        <v>0</v>
      </c>
      <c r="PMC479" s="2204"/>
      <c r="PMD479" s="2204"/>
      <c r="PME479" s="2204">
        <f t="shared" si="204"/>
        <v>0</v>
      </c>
      <c r="PMF479" s="2204">
        <f>[16]BV!PMQ395</f>
        <v>0</v>
      </c>
      <c r="PMG479" s="2204"/>
      <c r="PMH479" s="2204"/>
      <c r="PMI479" s="2204">
        <f t="shared" si="204"/>
        <v>0</v>
      </c>
      <c r="PMJ479" s="2204">
        <f>[16]BV!PMU395</f>
        <v>0</v>
      </c>
      <c r="PMK479" s="2204"/>
      <c r="PML479" s="2204"/>
      <c r="PMM479" s="2204">
        <f t="shared" si="204"/>
        <v>0</v>
      </c>
      <c r="PMN479" s="2204">
        <f>[16]BV!PMY395</f>
        <v>0</v>
      </c>
      <c r="PMO479" s="2204"/>
      <c r="PMP479" s="2204"/>
      <c r="PMQ479" s="2204">
        <f t="shared" si="204"/>
        <v>0</v>
      </c>
      <c r="PMR479" s="2204">
        <f>[16]BV!PNC395</f>
        <v>0</v>
      </c>
      <c r="PMS479" s="2204"/>
      <c r="PMT479" s="2204"/>
      <c r="PMU479" s="2204">
        <f t="shared" si="204"/>
        <v>0</v>
      </c>
      <c r="PMV479" s="2204">
        <f>[16]BV!PNG395</f>
        <v>0</v>
      </c>
      <c r="PMW479" s="2204"/>
      <c r="PMX479" s="2204"/>
      <c r="PMY479" s="2204">
        <f t="shared" si="204"/>
        <v>0</v>
      </c>
      <c r="PMZ479" s="2204">
        <f>[16]BV!PNK395</f>
        <v>0</v>
      </c>
      <c r="PNA479" s="2204"/>
      <c r="PNB479" s="2204"/>
      <c r="PNC479" s="2204">
        <f t="shared" si="204"/>
        <v>0</v>
      </c>
      <c r="PND479" s="2204">
        <f>[16]BV!PNO395</f>
        <v>0</v>
      </c>
      <c r="PNE479" s="2204"/>
      <c r="PNF479" s="2204"/>
      <c r="PNG479" s="2204">
        <f t="shared" si="204"/>
        <v>0</v>
      </c>
      <c r="PNH479" s="2204">
        <f>[16]BV!PNS395</f>
        <v>0</v>
      </c>
      <c r="PNI479" s="2204"/>
      <c r="PNJ479" s="2204"/>
      <c r="PNK479" s="2204">
        <f t="shared" si="204"/>
        <v>0</v>
      </c>
      <c r="PNL479" s="2204">
        <f>[16]BV!PNW395</f>
        <v>0</v>
      </c>
      <c r="PNM479" s="2204"/>
      <c r="PNN479" s="2204"/>
      <c r="PNO479" s="2204">
        <f t="shared" si="204"/>
        <v>0</v>
      </c>
      <c r="PNP479" s="2204">
        <f>[16]BV!POA395</f>
        <v>0</v>
      </c>
      <c r="PNQ479" s="2204"/>
      <c r="PNR479" s="2204"/>
      <c r="PNS479" s="2204">
        <f t="shared" si="204"/>
        <v>0</v>
      </c>
      <c r="PNT479" s="2204">
        <f>[16]BV!POE395</f>
        <v>0</v>
      </c>
      <c r="PNU479" s="2204"/>
      <c r="PNV479" s="2204"/>
      <c r="PNW479" s="2204">
        <f t="shared" ref="PNW479:PQE479" si="205">PNT479</f>
        <v>0</v>
      </c>
      <c r="PNX479" s="2204">
        <f>[16]BV!POI395</f>
        <v>0</v>
      </c>
      <c r="PNY479" s="2204"/>
      <c r="PNZ479" s="2204"/>
      <c r="POA479" s="2204">
        <f t="shared" si="205"/>
        <v>0</v>
      </c>
      <c r="POB479" s="2204">
        <f>[16]BV!POM395</f>
        <v>0</v>
      </c>
      <c r="POC479" s="2204"/>
      <c r="POD479" s="2204"/>
      <c r="POE479" s="2204">
        <f t="shared" si="205"/>
        <v>0</v>
      </c>
      <c r="POF479" s="2204">
        <f>[16]BV!POQ395</f>
        <v>0</v>
      </c>
      <c r="POG479" s="2204"/>
      <c r="POH479" s="2204"/>
      <c r="POI479" s="2204">
        <f t="shared" si="205"/>
        <v>0</v>
      </c>
      <c r="POJ479" s="2204">
        <f>[16]BV!POU395</f>
        <v>0</v>
      </c>
      <c r="POK479" s="2204"/>
      <c r="POL479" s="2204"/>
      <c r="POM479" s="2204">
        <f t="shared" si="205"/>
        <v>0</v>
      </c>
      <c r="PON479" s="2204">
        <f>[16]BV!POY395</f>
        <v>0</v>
      </c>
      <c r="POO479" s="2204"/>
      <c r="POP479" s="2204"/>
      <c r="POQ479" s="2204">
        <f t="shared" si="205"/>
        <v>0</v>
      </c>
      <c r="POR479" s="2204">
        <f>[16]BV!PPC395</f>
        <v>0</v>
      </c>
      <c r="POS479" s="2204"/>
      <c r="POT479" s="2204"/>
      <c r="POU479" s="2204">
        <f t="shared" si="205"/>
        <v>0</v>
      </c>
      <c r="POV479" s="2204">
        <f>[16]BV!PPG395</f>
        <v>0</v>
      </c>
      <c r="POW479" s="2204"/>
      <c r="POX479" s="2204"/>
      <c r="POY479" s="2204">
        <f t="shared" si="205"/>
        <v>0</v>
      </c>
      <c r="POZ479" s="2204">
        <f>[16]BV!PPK395</f>
        <v>0</v>
      </c>
      <c r="PPA479" s="2204"/>
      <c r="PPB479" s="2204"/>
      <c r="PPC479" s="2204">
        <f t="shared" si="205"/>
        <v>0</v>
      </c>
      <c r="PPD479" s="2204">
        <f>[16]BV!PPO395</f>
        <v>0</v>
      </c>
      <c r="PPE479" s="2204"/>
      <c r="PPF479" s="2204"/>
      <c r="PPG479" s="2204">
        <f t="shared" si="205"/>
        <v>0</v>
      </c>
      <c r="PPH479" s="2204">
        <f>[16]BV!PPS395</f>
        <v>0</v>
      </c>
      <c r="PPI479" s="2204"/>
      <c r="PPJ479" s="2204"/>
      <c r="PPK479" s="2204">
        <f t="shared" si="205"/>
        <v>0</v>
      </c>
      <c r="PPL479" s="2204">
        <f>[16]BV!PPW395</f>
        <v>0</v>
      </c>
      <c r="PPM479" s="2204"/>
      <c r="PPN479" s="2204"/>
      <c r="PPO479" s="2204">
        <f t="shared" si="205"/>
        <v>0</v>
      </c>
      <c r="PPP479" s="2204">
        <f>[16]BV!PQA395</f>
        <v>0</v>
      </c>
      <c r="PPQ479" s="2204"/>
      <c r="PPR479" s="2204"/>
      <c r="PPS479" s="2204">
        <f t="shared" si="205"/>
        <v>0</v>
      </c>
      <c r="PPT479" s="2204">
        <f>[16]BV!PQE395</f>
        <v>0</v>
      </c>
      <c r="PPU479" s="2204"/>
      <c r="PPV479" s="2204"/>
      <c r="PPW479" s="2204">
        <f t="shared" si="205"/>
        <v>0</v>
      </c>
      <c r="PPX479" s="2204">
        <f>[16]BV!PQI395</f>
        <v>0</v>
      </c>
      <c r="PPY479" s="2204"/>
      <c r="PPZ479" s="2204"/>
      <c r="PQA479" s="2204">
        <f t="shared" si="205"/>
        <v>0</v>
      </c>
      <c r="PQB479" s="2204">
        <f>[16]BV!PQM395</f>
        <v>0</v>
      </c>
      <c r="PQC479" s="2204"/>
      <c r="PQD479" s="2204"/>
      <c r="PQE479" s="2204">
        <f t="shared" si="205"/>
        <v>0</v>
      </c>
      <c r="PQF479" s="2204">
        <f>[16]BV!PQQ395</f>
        <v>0</v>
      </c>
      <c r="PQG479" s="2204"/>
      <c r="PQH479" s="2204"/>
      <c r="PQI479" s="2204">
        <f t="shared" ref="PQI479:PSQ479" si="206">PQF479</f>
        <v>0</v>
      </c>
      <c r="PQJ479" s="2204">
        <f>[16]BV!PQU395</f>
        <v>0</v>
      </c>
      <c r="PQK479" s="2204"/>
      <c r="PQL479" s="2204"/>
      <c r="PQM479" s="2204">
        <f t="shared" si="206"/>
        <v>0</v>
      </c>
      <c r="PQN479" s="2204">
        <f>[16]BV!PQY395</f>
        <v>0</v>
      </c>
      <c r="PQO479" s="2204"/>
      <c r="PQP479" s="2204"/>
      <c r="PQQ479" s="2204">
        <f t="shared" si="206"/>
        <v>0</v>
      </c>
      <c r="PQR479" s="2204">
        <f>[16]BV!PRC395</f>
        <v>0</v>
      </c>
      <c r="PQS479" s="2204"/>
      <c r="PQT479" s="2204"/>
      <c r="PQU479" s="2204">
        <f t="shared" si="206"/>
        <v>0</v>
      </c>
      <c r="PQV479" s="2204">
        <f>[16]BV!PRG395</f>
        <v>0</v>
      </c>
      <c r="PQW479" s="2204"/>
      <c r="PQX479" s="2204"/>
      <c r="PQY479" s="2204">
        <f t="shared" si="206"/>
        <v>0</v>
      </c>
      <c r="PQZ479" s="2204">
        <f>[16]BV!PRK395</f>
        <v>0</v>
      </c>
      <c r="PRA479" s="2204"/>
      <c r="PRB479" s="2204"/>
      <c r="PRC479" s="2204">
        <f t="shared" si="206"/>
        <v>0</v>
      </c>
      <c r="PRD479" s="2204">
        <f>[16]BV!PRO395</f>
        <v>0</v>
      </c>
      <c r="PRE479" s="2204"/>
      <c r="PRF479" s="2204"/>
      <c r="PRG479" s="2204">
        <f t="shared" si="206"/>
        <v>0</v>
      </c>
      <c r="PRH479" s="2204">
        <f>[16]BV!PRS395</f>
        <v>0</v>
      </c>
      <c r="PRI479" s="2204"/>
      <c r="PRJ479" s="2204"/>
      <c r="PRK479" s="2204">
        <f t="shared" si="206"/>
        <v>0</v>
      </c>
      <c r="PRL479" s="2204">
        <f>[16]BV!PRW395</f>
        <v>0</v>
      </c>
      <c r="PRM479" s="2204"/>
      <c r="PRN479" s="2204"/>
      <c r="PRO479" s="2204">
        <f t="shared" si="206"/>
        <v>0</v>
      </c>
      <c r="PRP479" s="2204">
        <f>[16]BV!PSA395</f>
        <v>0</v>
      </c>
      <c r="PRQ479" s="2204"/>
      <c r="PRR479" s="2204"/>
      <c r="PRS479" s="2204">
        <f t="shared" si="206"/>
        <v>0</v>
      </c>
      <c r="PRT479" s="2204">
        <f>[16]BV!PSE395</f>
        <v>0</v>
      </c>
      <c r="PRU479" s="2204"/>
      <c r="PRV479" s="2204"/>
      <c r="PRW479" s="2204">
        <f t="shared" si="206"/>
        <v>0</v>
      </c>
      <c r="PRX479" s="2204">
        <f>[16]BV!PSI395</f>
        <v>0</v>
      </c>
      <c r="PRY479" s="2204"/>
      <c r="PRZ479" s="2204"/>
      <c r="PSA479" s="2204">
        <f t="shared" si="206"/>
        <v>0</v>
      </c>
      <c r="PSB479" s="2204">
        <f>[16]BV!PSM395</f>
        <v>0</v>
      </c>
      <c r="PSC479" s="2204"/>
      <c r="PSD479" s="2204"/>
      <c r="PSE479" s="2204">
        <f t="shared" si="206"/>
        <v>0</v>
      </c>
      <c r="PSF479" s="2204">
        <f>[16]BV!PSQ395</f>
        <v>0</v>
      </c>
      <c r="PSG479" s="2204"/>
      <c r="PSH479" s="2204"/>
      <c r="PSI479" s="2204">
        <f t="shared" si="206"/>
        <v>0</v>
      </c>
      <c r="PSJ479" s="2204">
        <f>[16]BV!PSU395</f>
        <v>0</v>
      </c>
      <c r="PSK479" s="2204"/>
      <c r="PSL479" s="2204"/>
      <c r="PSM479" s="2204">
        <f t="shared" si="206"/>
        <v>0</v>
      </c>
      <c r="PSN479" s="2204">
        <f>[16]BV!PSY395</f>
        <v>0</v>
      </c>
      <c r="PSO479" s="2204"/>
      <c r="PSP479" s="2204"/>
      <c r="PSQ479" s="2204">
        <f t="shared" si="206"/>
        <v>0</v>
      </c>
      <c r="PSR479" s="2204">
        <f>[16]BV!PTC395</f>
        <v>0</v>
      </c>
      <c r="PSS479" s="2204"/>
      <c r="PST479" s="2204"/>
      <c r="PSU479" s="2204">
        <f t="shared" ref="PSU479:PVC479" si="207">PSR479</f>
        <v>0</v>
      </c>
      <c r="PSV479" s="2204">
        <f>[16]BV!PTG395</f>
        <v>0</v>
      </c>
      <c r="PSW479" s="2204"/>
      <c r="PSX479" s="2204"/>
      <c r="PSY479" s="2204">
        <f t="shared" si="207"/>
        <v>0</v>
      </c>
      <c r="PSZ479" s="2204">
        <f>[16]BV!PTK395</f>
        <v>0</v>
      </c>
      <c r="PTA479" s="2204"/>
      <c r="PTB479" s="2204"/>
      <c r="PTC479" s="2204">
        <f t="shared" si="207"/>
        <v>0</v>
      </c>
      <c r="PTD479" s="2204">
        <f>[16]BV!PTO395</f>
        <v>0</v>
      </c>
      <c r="PTE479" s="2204"/>
      <c r="PTF479" s="2204"/>
      <c r="PTG479" s="2204">
        <f t="shared" si="207"/>
        <v>0</v>
      </c>
      <c r="PTH479" s="2204">
        <f>[16]BV!PTS395</f>
        <v>0</v>
      </c>
      <c r="PTI479" s="2204"/>
      <c r="PTJ479" s="2204"/>
      <c r="PTK479" s="2204">
        <f t="shared" si="207"/>
        <v>0</v>
      </c>
      <c r="PTL479" s="2204">
        <f>[16]BV!PTW395</f>
        <v>0</v>
      </c>
      <c r="PTM479" s="2204"/>
      <c r="PTN479" s="2204"/>
      <c r="PTO479" s="2204">
        <f t="shared" si="207"/>
        <v>0</v>
      </c>
      <c r="PTP479" s="2204">
        <f>[16]BV!PUA395</f>
        <v>0</v>
      </c>
      <c r="PTQ479" s="2204"/>
      <c r="PTR479" s="2204"/>
      <c r="PTS479" s="2204">
        <f t="shared" si="207"/>
        <v>0</v>
      </c>
      <c r="PTT479" s="2204">
        <f>[16]BV!PUE395</f>
        <v>0</v>
      </c>
      <c r="PTU479" s="2204"/>
      <c r="PTV479" s="2204"/>
      <c r="PTW479" s="2204">
        <f t="shared" si="207"/>
        <v>0</v>
      </c>
      <c r="PTX479" s="2204">
        <f>[16]BV!PUI395</f>
        <v>0</v>
      </c>
      <c r="PTY479" s="2204"/>
      <c r="PTZ479" s="2204"/>
      <c r="PUA479" s="2204">
        <f t="shared" si="207"/>
        <v>0</v>
      </c>
      <c r="PUB479" s="2204">
        <f>[16]BV!PUM395</f>
        <v>0</v>
      </c>
      <c r="PUC479" s="2204"/>
      <c r="PUD479" s="2204"/>
      <c r="PUE479" s="2204">
        <f t="shared" si="207"/>
        <v>0</v>
      </c>
      <c r="PUF479" s="2204">
        <f>[16]BV!PUQ395</f>
        <v>0</v>
      </c>
      <c r="PUG479" s="2204"/>
      <c r="PUH479" s="2204"/>
      <c r="PUI479" s="2204">
        <f t="shared" si="207"/>
        <v>0</v>
      </c>
      <c r="PUJ479" s="2204">
        <f>[16]BV!PUU395</f>
        <v>0</v>
      </c>
      <c r="PUK479" s="2204"/>
      <c r="PUL479" s="2204"/>
      <c r="PUM479" s="2204">
        <f t="shared" si="207"/>
        <v>0</v>
      </c>
      <c r="PUN479" s="2204">
        <f>[16]BV!PUY395</f>
        <v>0</v>
      </c>
      <c r="PUO479" s="2204"/>
      <c r="PUP479" s="2204"/>
      <c r="PUQ479" s="2204">
        <f t="shared" si="207"/>
        <v>0</v>
      </c>
      <c r="PUR479" s="2204">
        <f>[16]BV!PVC395</f>
        <v>0</v>
      </c>
      <c r="PUS479" s="2204"/>
      <c r="PUT479" s="2204"/>
      <c r="PUU479" s="2204">
        <f t="shared" si="207"/>
        <v>0</v>
      </c>
      <c r="PUV479" s="2204">
        <f>[16]BV!PVG395</f>
        <v>0</v>
      </c>
      <c r="PUW479" s="2204"/>
      <c r="PUX479" s="2204"/>
      <c r="PUY479" s="2204">
        <f t="shared" si="207"/>
        <v>0</v>
      </c>
      <c r="PUZ479" s="2204">
        <f>[16]BV!PVK395</f>
        <v>0</v>
      </c>
      <c r="PVA479" s="2204"/>
      <c r="PVB479" s="2204"/>
      <c r="PVC479" s="2204">
        <f t="shared" si="207"/>
        <v>0</v>
      </c>
      <c r="PVD479" s="2204">
        <f>[16]BV!PVO395</f>
        <v>0</v>
      </c>
      <c r="PVE479" s="2204"/>
      <c r="PVF479" s="2204"/>
      <c r="PVG479" s="2204">
        <f t="shared" ref="PVG479:PXO479" si="208">PVD479</f>
        <v>0</v>
      </c>
      <c r="PVH479" s="2204">
        <f>[16]BV!PVS395</f>
        <v>0</v>
      </c>
      <c r="PVI479" s="2204"/>
      <c r="PVJ479" s="2204"/>
      <c r="PVK479" s="2204">
        <f t="shared" si="208"/>
        <v>0</v>
      </c>
      <c r="PVL479" s="2204">
        <f>[16]BV!PVW395</f>
        <v>0</v>
      </c>
      <c r="PVM479" s="2204"/>
      <c r="PVN479" s="2204"/>
      <c r="PVO479" s="2204">
        <f t="shared" si="208"/>
        <v>0</v>
      </c>
      <c r="PVP479" s="2204">
        <f>[16]BV!PWA395</f>
        <v>0</v>
      </c>
      <c r="PVQ479" s="2204"/>
      <c r="PVR479" s="2204"/>
      <c r="PVS479" s="2204">
        <f t="shared" si="208"/>
        <v>0</v>
      </c>
      <c r="PVT479" s="2204">
        <f>[16]BV!PWE395</f>
        <v>0</v>
      </c>
      <c r="PVU479" s="2204"/>
      <c r="PVV479" s="2204"/>
      <c r="PVW479" s="2204">
        <f t="shared" si="208"/>
        <v>0</v>
      </c>
      <c r="PVX479" s="2204">
        <f>[16]BV!PWI395</f>
        <v>0</v>
      </c>
      <c r="PVY479" s="2204"/>
      <c r="PVZ479" s="2204"/>
      <c r="PWA479" s="2204">
        <f t="shared" si="208"/>
        <v>0</v>
      </c>
      <c r="PWB479" s="2204">
        <f>[16]BV!PWM395</f>
        <v>0</v>
      </c>
      <c r="PWC479" s="2204"/>
      <c r="PWD479" s="2204"/>
      <c r="PWE479" s="2204">
        <f t="shared" si="208"/>
        <v>0</v>
      </c>
      <c r="PWF479" s="2204">
        <f>[16]BV!PWQ395</f>
        <v>0</v>
      </c>
      <c r="PWG479" s="2204"/>
      <c r="PWH479" s="2204"/>
      <c r="PWI479" s="2204">
        <f t="shared" si="208"/>
        <v>0</v>
      </c>
      <c r="PWJ479" s="2204">
        <f>[16]BV!PWU395</f>
        <v>0</v>
      </c>
      <c r="PWK479" s="2204"/>
      <c r="PWL479" s="2204"/>
      <c r="PWM479" s="2204">
        <f t="shared" si="208"/>
        <v>0</v>
      </c>
      <c r="PWN479" s="2204">
        <f>[16]BV!PWY395</f>
        <v>0</v>
      </c>
      <c r="PWO479" s="2204"/>
      <c r="PWP479" s="2204"/>
      <c r="PWQ479" s="2204">
        <f t="shared" si="208"/>
        <v>0</v>
      </c>
      <c r="PWR479" s="2204">
        <f>[16]BV!PXC395</f>
        <v>0</v>
      </c>
      <c r="PWS479" s="2204"/>
      <c r="PWT479" s="2204"/>
      <c r="PWU479" s="2204">
        <f t="shared" si="208"/>
        <v>0</v>
      </c>
      <c r="PWV479" s="2204">
        <f>[16]BV!PXG395</f>
        <v>0</v>
      </c>
      <c r="PWW479" s="2204"/>
      <c r="PWX479" s="2204"/>
      <c r="PWY479" s="2204">
        <f t="shared" si="208"/>
        <v>0</v>
      </c>
      <c r="PWZ479" s="2204">
        <f>[16]BV!PXK395</f>
        <v>0</v>
      </c>
      <c r="PXA479" s="2204"/>
      <c r="PXB479" s="2204"/>
      <c r="PXC479" s="2204">
        <f t="shared" si="208"/>
        <v>0</v>
      </c>
      <c r="PXD479" s="2204">
        <f>[16]BV!PXO395</f>
        <v>0</v>
      </c>
      <c r="PXE479" s="2204"/>
      <c r="PXF479" s="2204"/>
      <c r="PXG479" s="2204">
        <f t="shared" si="208"/>
        <v>0</v>
      </c>
      <c r="PXH479" s="2204">
        <f>[16]BV!PXS395</f>
        <v>0</v>
      </c>
      <c r="PXI479" s="2204"/>
      <c r="PXJ479" s="2204"/>
      <c r="PXK479" s="2204">
        <f t="shared" si="208"/>
        <v>0</v>
      </c>
      <c r="PXL479" s="2204">
        <f>[16]BV!PXW395</f>
        <v>0</v>
      </c>
      <c r="PXM479" s="2204"/>
      <c r="PXN479" s="2204"/>
      <c r="PXO479" s="2204">
        <f t="shared" si="208"/>
        <v>0</v>
      </c>
      <c r="PXP479" s="2204">
        <f>[16]BV!PYA395</f>
        <v>0</v>
      </c>
      <c r="PXQ479" s="2204"/>
      <c r="PXR479" s="2204"/>
      <c r="PXS479" s="2204">
        <f t="shared" ref="PXS479:QAA479" si="209">PXP479</f>
        <v>0</v>
      </c>
      <c r="PXT479" s="2204">
        <f>[16]BV!PYE395</f>
        <v>0</v>
      </c>
      <c r="PXU479" s="2204"/>
      <c r="PXV479" s="2204"/>
      <c r="PXW479" s="2204">
        <f t="shared" si="209"/>
        <v>0</v>
      </c>
      <c r="PXX479" s="2204">
        <f>[16]BV!PYI395</f>
        <v>0</v>
      </c>
      <c r="PXY479" s="2204"/>
      <c r="PXZ479" s="2204"/>
      <c r="PYA479" s="2204">
        <f t="shared" si="209"/>
        <v>0</v>
      </c>
      <c r="PYB479" s="2204">
        <f>[16]BV!PYM395</f>
        <v>0</v>
      </c>
      <c r="PYC479" s="2204"/>
      <c r="PYD479" s="2204"/>
      <c r="PYE479" s="2204">
        <f t="shared" si="209"/>
        <v>0</v>
      </c>
      <c r="PYF479" s="2204">
        <f>[16]BV!PYQ395</f>
        <v>0</v>
      </c>
      <c r="PYG479" s="2204"/>
      <c r="PYH479" s="2204"/>
      <c r="PYI479" s="2204">
        <f t="shared" si="209"/>
        <v>0</v>
      </c>
      <c r="PYJ479" s="2204">
        <f>[16]BV!PYU395</f>
        <v>0</v>
      </c>
      <c r="PYK479" s="2204"/>
      <c r="PYL479" s="2204"/>
      <c r="PYM479" s="2204">
        <f t="shared" si="209"/>
        <v>0</v>
      </c>
      <c r="PYN479" s="2204">
        <f>[16]BV!PYY395</f>
        <v>0</v>
      </c>
      <c r="PYO479" s="2204"/>
      <c r="PYP479" s="2204"/>
      <c r="PYQ479" s="2204">
        <f t="shared" si="209"/>
        <v>0</v>
      </c>
      <c r="PYR479" s="2204">
        <f>[16]BV!PZC395</f>
        <v>0</v>
      </c>
      <c r="PYS479" s="2204"/>
      <c r="PYT479" s="2204"/>
      <c r="PYU479" s="2204">
        <f t="shared" si="209"/>
        <v>0</v>
      </c>
      <c r="PYV479" s="2204">
        <f>[16]BV!PZG395</f>
        <v>0</v>
      </c>
      <c r="PYW479" s="2204"/>
      <c r="PYX479" s="2204"/>
      <c r="PYY479" s="2204">
        <f t="shared" si="209"/>
        <v>0</v>
      </c>
      <c r="PYZ479" s="2204">
        <f>[16]BV!PZK395</f>
        <v>0</v>
      </c>
      <c r="PZA479" s="2204"/>
      <c r="PZB479" s="2204"/>
      <c r="PZC479" s="2204">
        <f t="shared" si="209"/>
        <v>0</v>
      </c>
      <c r="PZD479" s="2204">
        <f>[16]BV!PZO395</f>
        <v>0</v>
      </c>
      <c r="PZE479" s="2204"/>
      <c r="PZF479" s="2204"/>
      <c r="PZG479" s="2204">
        <f t="shared" si="209"/>
        <v>0</v>
      </c>
      <c r="PZH479" s="2204">
        <f>[16]BV!PZS395</f>
        <v>0</v>
      </c>
      <c r="PZI479" s="2204"/>
      <c r="PZJ479" s="2204"/>
      <c r="PZK479" s="2204">
        <f t="shared" si="209"/>
        <v>0</v>
      </c>
      <c r="PZL479" s="2204">
        <f>[16]BV!PZW395</f>
        <v>0</v>
      </c>
      <c r="PZM479" s="2204"/>
      <c r="PZN479" s="2204"/>
      <c r="PZO479" s="2204">
        <f t="shared" si="209"/>
        <v>0</v>
      </c>
      <c r="PZP479" s="2204">
        <f>[16]BV!QAA395</f>
        <v>0</v>
      </c>
      <c r="PZQ479" s="2204"/>
      <c r="PZR479" s="2204"/>
      <c r="PZS479" s="2204">
        <f t="shared" si="209"/>
        <v>0</v>
      </c>
      <c r="PZT479" s="2204">
        <f>[16]BV!QAE395</f>
        <v>0</v>
      </c>
      <c r="PZU479" s="2204"/>
      <c r="PZV479" s="2204"/>
      <c r="PZW479" s="2204">
        <f t="shared" si="209"/>
        <v>0</v>
      </c>
      <c r="PZX479" s="2204">
        <f>[16]BV!QAI395</f>
        <v>0</v>
      </c>
      <c r="PZY479" s="2204"/>
      <c r="PZZ479" s="2204"/>
      <c r="QAA479" s="2204">
        <f t="shared" si="209"/>
        <v>0</v>
      </c>
      <c r="QAB479" s="2204">
        <f>[16]BV!QAM395</f>
        <v>0</v>
      </c>
      <c r="QAC479" s="2204"/>
      <c r="QAD479" s="2204"/>
      <c r="QAE479" s="2204">
        <f t="shared" ref="QAE479:QCM479" si="210">QAB479</f>
        <v>0</v>
      </c>
      <c r="QAF479" s="2204">
        <f>[16]BV!QAQ395</f>
        <v>0</v>
      </c>
      <c r="QAG479" s="2204"/>
      <c r="QAH479" s="2204"/>
      <c r="QAI479" s="2204">
        <f t="shared" si="210"/>
        <v>0</v>
      </c>
      <c r="QAJ479" s="2204">
        <f>[16]BV!QAU395</f>
        <v>0</v>
      </c>
      <c r="QAK479" s="2204"/>
      <c r="QAL479" s="2204"/>
      <c r="QAM479" s="2204">
        <f t="shared" si="210"/>
        <v>0</v>
      </c>
      <c r="QAN479" s="2204">
        <f>[16]BV!QAY395</f>
        <v>0</v>
      </c>
      <c r="QAO479" s="2204"/>
      <c r="QAP479" s="2204"/>
      <c r="QAQ479" s="2204">
        <f t="shared" si="210"/>
        <v>0</v>
      </c>
      <c r="QAR479" s="2204">
        <f>[16]BV!QBC395</f>
        <v>0</v>
      </c>
      <c r="QAS479" s="2204"/>
      <c r="QAT479" s="2204"/>
      <c r="QAU479" s="2204">
        <f t="shared" si="210"/>
        <v>0</v>
      </c>
      <c r="QAV479" s="2204">
        <f>[16]BV!QBG395</f>
        <v>0</v>
      </c>
      <c r="QAW479" s="2204"/>
      <c r="QAX479" s="2204"/>
      <c r="QAY479" s="2204">
        <f t="shared" si="210"/>
        <v>0</v>
      </c>
      <c r="QAZ479" s="2204">
        <f>[16]BV!QBK395</f>
        <v>0</v>
      </c>
      <c r="QBA479" s="2204"/>
      <c r="QBB479" s="2204"/>
      <c r="QBC479" s="2204">
        <f t="shared" si="210"/>
        <v>0</v>
      </c>
      <c r="QBD479" s="2204">
        <f>[16]BV!QBO395</f>
        <v>0</v>
      </c>
      <c r="QBE479" s="2204"/>
      <c r="QBF479" s="2204"/>
      <c r="QBG479" s="2204">
        <f t="shared" si="210"/>
        <v>0</v>
      </c>
      <c r="QBH479" s="2204">
        <f>[16]BV!QBS395</f>
        <v>0</v>
      </c>
      <c r="QBI479" s="2204"/>
      <c r="QBJ479" s="2204"/>
      <c r="QBK479" s="2204">
        <f t="shared" si="210"/>
        <v>0</v>
      </c>
      <c r="QBL479" s="2204">
        <f>[16]BV!QBW395</f>
        <v>0</v>
      </c>
      <c r="QBM479" s="2204"/>
      <c r="QBN479" s="2204"/>
      <c r="QBO479" s="2204">
        <f t="shared" si="210"/>
        <v>0</v>
      </c>
      <c r="QBP479" s="2204">
        <f>[16]BV!QCA395</f>
        <v>0</v>
      </c>
      <c r="QBQ479" s="2204"/>
      <c r="QBR479" s="2204"/>
      <c r="QBS479" s="2204">
        <f t="shared" si="210"/>
        <v>0</v>
      </c>
      <c r="QBT479" s="2204">
        <f>[16]BV!QCE395</f>
        <v>0</v>
      </c>
      <c r="QBU479" s="2204"/>
      <c r="QBV479" s="2204"/>
      <c r="QBW479" s="2204">
        <f t="shared" si="210"/>
        <v>0</v>
      </c>
      <c r="QBX479" s="2204">
        <f>[16]BV!QCI395</f>
        <v>0</v>
      </c>
      <c r="QBY479" s="2204"/>
      <c r="QBZ479" s="2204"/>
      <c r="QCA479" s="2204">
        <f t="shared" si="210"/>
        <v>0</v>
      </c>
      <c r="QCB479" s="2204">
        <f>[16]BV!QCM395</f>
        <v>0</v>
      </c>
      <c r="QCC479" s="2204"/>
      <c r="QCD479" s="2204"/>
      <c r="QCE479" s="2204">
        <f t="shared" si="210"/>
        <v>0</v>
      </c>
      <c r="QCF479" s="2204">
        <f>[16]BV!QCQ395</f>
        <v>0</v>
      </c>
      <c r="QCG479" s="2204"/>
      <c r="QCH479" s="2204"/>
      <c r="QCI479" s="2204">
        <f t="shared" si="210"/>
        <v>0</v>
      </c>
      <c r="QCJ479" s="2204">
        <f>[16]BV!QCU395</f>
        <v>0</v>
      </c>
      <c r="QCK479" s="2204"/>
      <c r="QCL479" s="2204"/>
      <c r="QCM479" s="2204">
        <f t="shared" si="210"/>
        <v>0</v>
      </c>
      <c r="QCN479" s="2204">
        <f>[16]BV!QCY395</f>
        <v>0</v>
      </c>
      <c r="QCO479" s="2204"/>
      <c r="QCP479" s="2204"/>
      <c r="QCQ479" s="2204">
        <f t="shared" ref="QCQ479:QEY479" si="211">QCN479</f>
        <v>0</v>
      </c>
      <c r="QCR479" s="2204">
        <f>[16]BV!QDC395</f>
        <v>0</v>
      </c>
      <c r="QCS479" s="2204"/>
      <c r="QCT479" s="2204"/>
      <c r="QCU479" s="2204">
        <f t="shared" si="211"/>
        <v>0</v>
      </c>
      <c r="QCV479" s="2204">
        <f>[16]BV!QDG395</f>
        <v>0</v>
      </c>
      <c r="QCW479" s="2204"/>
      <c r="QCX479" s="2204"/>
      <c r="QCY479" s="2204">
        <f t="shared" si="211"/>
        <v>0</v>
      </c>
      <c r="QCZ479" s="2204">
        <f>[16]BV!QDK395</f>
        <v>0</v>
      </c>
      <c r="QDA479" s="2204"/>
      <c r="QDB479" s="2204"/>
      <c r="QDC479" s="2204">
        <f t="shared" si="211"/>
        <v>0</v>
      </c>
      <c r="QDD479" s="2204">
        <f>[16]BV!QDO395</f>
        <v>0</v>
      </c>
      <c r="QDE479" s="2204"/>
      <c r="QDF479" s="2204"/>
      <c r="QDG479" s="2204">
        <f t="shared" si="211"/>
        <v>0</v>
      </c>
      <c r="QDH479" s="2204">
        <f>[16]BV!QDS395</f>
        <v>0</v>
      </c>
      <c r="QDI479" s="2204"/>
      <c r="QDJ479" s="2204"/>
      <c r="QDK479" s="2204">
        <f t="shared" si="211"/>
        <v>0</v>
      </c>
      <c r="QDL479" s="2204">
        <f>[16]BV!QDW395</f>
        <v>0</v>
      </c>
      <c r="QDM479" s="2204"/>
      <c r="QDN479" s="2204"/>
      <c r="QDO479" s="2204">
        <f t="shared" si="211"/>
        <v>0</v>
      </c>
      <c r="QDP479" s="2204">
        <f>[16]BV!QEA395</f>
        <v>0</v>
      </c>
      <c r="QDQ479" s="2204"/>
      <c r="QDR479" s="2204"/>
      <c r="QDS479" s="2204">
        <f t="shared" si="211"/>
        <v>0</v>
      </c>
      <c r="QDT479" s="2204">
        <f>[16]BV!QEE395</f>
        <v>0</v>
      </c>
      <c r="QDU479" s="2204"/>
      <c r="QDV479" s="2204"/>
      <c r="QDW479" s="2204">
        <f t="shared" si="211"/>
        <v>0</v>
      </c>
      <c r="QDX479" s="2204">
        <f>[16]BV!QEI395</f>
        <v>0</v>
      </c>
      <c r="QDY479" s="2204"/>
      <c r="QDZ479" s="2204"/>
      <c r="QEA479" s="2204">
        <f t="shared" si="211"/>
        <v>0</v>
      </c>
      <c r="QEB479" s="2204">
        <f>[16]BV!QEM395</f>
        <v>0</v>
      </c>
      <c r="QEC479" s="2204"/>
      <c r="QED479" s="2204"/>
      <c r="QEE479" s="2204">
        <f t="shared" si="211"/>
        <v>0</v>
      </c>
      <c r="QEF479" s="2204">
        <f>[16]BV!QEQ395</f>
        <v>0</v>
      </c>
      <c r="QEG479" s="2204"/>
      <c r="QEH479" s="2204"/>
      <c r="QEI479" s="2204">
        <f t="shared" si="211"/>
        <v>0</v>
      </c>
      <c r="QEJ479" s="2204">
        <f>[16]BV!QEU395</f>
        <v>0</v>
      </c>
      <c r="QEK479" s="2204"/>
      <c r="QEL479" s="2204"/>
      <c r="QEM479" s="2204">
        <f t="shared" si="211"/>
        <v>0</v>
      </c>
      <c r="QEN479" s="2204">
        <f>[16]BV!QEY395</f>
        <v>0</v>
      </c>
      <c r="QEO479" s="2204"/>
      <c r="QEP479" s="2204"/>
      <c r="QEQ479" s="2204">
        <f t="shared" si="211"/>
        <v>0</v>
      </c>
      <c r="QER479" s="2204">
        <f>[16]BV!QFC395</f>
        <v>0</v>
      </c>
      <c r="QES479" s="2204"/>
      <c r="QET479" s="2204"/>
      <c r="QEU479" s="2204">
        <f t="shared" si="211"/>
        <v>0</v>
      </c>
      <c r="QEV479" s="2204">
        <f>[16]BV!QFG395</f>
        <v>0</v>
      </c>
      <c r="QEW479" s="2204"/>
      <c r="QEX479" s="2204"/>
      <c r="QEY479" s="2204">
        <f t="shared" si="211"/>
        <v>0</v>
      </c>
      <c r="QEZ479" s="2204">
        <f>[16]BV!QFK395</f>
        <v>0</v>
      </c>
      <c r="QFA479" s="2204"/>
      <c r="QFB479" s="2204"/>
      <c r="QFC479" s="2204">
        <f t="shared" ref="QFC479:QHK479" si="212">QEZ479</f>
        <v>0</v>
      </c>
      <c r="QFD479" s="2204">
        <f>[16]BV!QFO395</f>
        <v>0</v>
      </c>
      <c r="QFE479" s="2204"/>
      <c r="QFF479" s="2204"/>
      <c r="QFG479" s="2204">
        <f t="shared" si="212"/>
        <v>0</v>
      </c>
      <c r="QFH479" s="2204">
        <f>[16]BV!QFS395</f>
        <v>0</v>
      </c>
      <c r="QFI479" s="2204"/>
      <c r="QFJ479" s="2204"/>
      <c r="QFK479" s="2204">
        <f t="shared" si="212"/>
        <v>0</v>
      </c>
      <c r="QFL479" s="2204">
        <f>[16]BV!QFW395</f>
        <v>0</v>
      </c>
      <c r="QFM479" s="2204"/>
      <c r="QFN479" s="2204"/>
      <c r="QFO479" s="2204">
        <f t="shared" si="212"/>
        <v>0</v>
      </c>
      <c r="QFP479" s="2204">
        <f>[16]BV!QGA395</f>
        <v>0</v>
      </c>
      <c r="QFQ479" s="2204"/>
      <c r="QFR479" s="2204"/>
      <c r="QFS479" s="2204">
        <f t="shared" si="212"/>
        <v>0</v>
      </c>
      <c r="QFT479" s="2204">
        <f>[16]BV!QGE395</f>
        <v>0</v>
      </c>
      <c r="QFU479" s="2204"/>
      <c r="QFV479" s="2204"/>
      <c r="QFW479" s="2204">
        <f t="shared" si="212"/>
        <v>0</v>
      </c>
      <c r="QFX479" s="2204">
        <f>[16]BV!QGI395</f>
        <v>0</v>
      </c>
      <c r="QFY479" s="2204"/>
      <c r="QFZ479" s="2204"/>
      <c r="QGA479" s="2204">
        <f t="shared" si="212"/>
        <v>0</v>
      </c>
      <c r="QGB479" s="2204">
        <f>[16]BV!QGM395</f>
        <v>0</v>
      </c>
      <c r="QGC479" s="2204"/>
      <c r="QGD479" s="2204"/>
      <c r="QGE479" s="2204">
        <f t="shared" si="212"/>
        <v>0</v>
      </c>
      <c r="QGF479" s="2204">
        <f>[16]BV!QGQ395</f>
        <v>0</v>
      </c>
      <c r="QGG479" s="2204"/>
      <c r="QGH479" s="2204"/>
      <c r="QGI479" s="2204">
        <f t="shared" si="212"/>
        <v>0</v>
      </c>
      <c r="QGJ479" s="2204">
        <f>[16]BV!QGU395</f>
        <v>0</v>
      </c>
      <c r="QGK479" s="2204"/>
      <c r="QGL479" s="2204"/>
      <c r="QGM479" s="2204">
        <f t="shared" si="212"/>
        <v>0</v>
      </c>
      <c r="QGN479" s="2204">
        <f>[16]BV!QGY395</f>
        <v>0</v>
      </c>
      <c r="QGO479" s="2204"/>
      <c r="QGP479" s="2204"/>
      <c r="QGQ479" s="2204">
        <f t="shared" si="212"/>
        <v>0</v>
      </c>
      <c r="QGR479" s="2204">
        <f>[16]BV!QHC395</f>
        <v>0</v>
      </c>
      <c r="QGS479" s="2204"/>
      <c r="QGT479" s="2204"/>
      <c r="QGU479" s="2204">
        <f t="shared" si="212"/>
        <v>0</v>
      </c>
      <c r="QGV479" s="2204">
        <f>[16]BV!QHG395</f>
        <v>0</v>
      </c>
      <c r="QGW479" s="2204"/>
      <c r="QGX479" s="2204"/>
      <c r="QGY479" s="2204">
        <f t="shared" si="212"/>
        <v>0</v>
      </c>
      <c r="QGZ479" s="2204">
        <f>[16]BV!QHK395</f>
        <v>0</v>
      </c>
      <c r="QHA479" s="2204"/>
      <c r="QHB479" s="2204"/>
      <c r="QHC479" s="2204">
        <f t="shared" si="212"/>
        <v>0</v>
      </c>
      <c r="QHD479" s="2204">
        <f>[16]BV!QHO395</f>
        <v>0</v>
      </c>
      <c r="QHE479" s="2204"/>
      <c r="QHF479" s="2204"/>
      <c r="QHG479" s="2204">
        <f t="shared" si="212"/>
        <v>0</v>
      </c>
      <c r="QHH479" s="2204">
        <f>[16]BV!QHS395</f>
        <v>0</v>
      </c>
      <c r="QHI479" s="2204"/>
      <c r="QHJ479" s="2204"/>
      <c r="QHK479" s="2204">
        <f t="shared" si="212"/>
        <v>0</v>
      </c>
      <c r="QHL479" s="2204">
        <f>[16]BV!QHW395</f>
        <v>0</v>
      </c>
      <c r="QHM479" s="2204"/>
      <c r="QHN479" s="2204"/>
      <c r="QHO479" s="2204">
        <f t="shared" ref="QHO479:QJW479" si="213">QHL479</f>
        <v>0</v>
      </c>
      <c r="QHP479" s="2204">
        <f>[16]BV!QIA395</f>
        <v>0</v>
      </c>
      <c r="QHQ479" s="2204"/>
      <c r="QHR479" s="2204"/>
      <c r="QHS479" s="2204">
        <f t="shared" si="213"/>
        <v>0</v>
      </c>
      <c r="QHT479" s="2204">
        <f>[16]BV!QIE395</f>
        <v>0</v>
      </c>
      <c r="QHU479" s="2204"/>
      <c r="QHV479" s="2204"/>
      <c r="QHW479" s="2204">
        <f t="shared" si="213"/>
        <v>0</v>
      </c>
      <c r="QHX479" s="2204">
        <f>[16]BV!QII395</f>
        <v>0</v>
      </c>
      <c r="QHY479" s="2204"/>
      <c r="QHZ479" s="2204"/>
      <c r="QIA479" s="2204">
        <f t="shared" si="213"/>
        <v>0</v>
      </c>
      <c r="QIB479" s="2204">
        <f>[16]BV!QIM395</f>
        <v>0</v>
      </c>
      <c r="QIC479" s="2204"/>
      <c r="QID479" s="2204"/>
      <c r="QIE479" s="2204">
        <f t="shared" si="213"/>
        <v>0</v>
      </c>
      <c r="QIF479" s="2204">
        <f>[16]BV!QIQ395</f>
        <v>0</v>
      </c>
      <c r="QIG479" s="2204"/>
      <c r="QIH479" s="2204"/>
      <c r="QII479" s="2204">
        <f t="shared" si="213"/>
        <v>0</v>
      </c>
      <c r="QIJ479" s="2204">
        <f>[16]BV!QIU395</f>
        <v>0</v>
      </c>
      <c r="QIK479" s="2204"/>
      <c r="QIL479" s="2204"/>
      <c r="QIM479" s="2204">
        <f t="shared" si="213"/>
        <v>0</v>
      </c>
      <c r="QIN479" s="2204">
        <f>[16]BV!QIY395</f>
        <v>0</v>
      </c>
      <c r="QIO479" s="2204"/>
      <c r="QIP479" s="2204"/>
      <c r="QIQ479" s="2204">
        <f t="shared" si="213"/>
        <v>0</v>
      </c>
      <c r="QIR479" s="2204">
        <f>[16]BV!QJC395</f>
        <v>0</v>
      </c>
      <c r="QIS479" s="2204"/>
      <c r="QIT479" s="2204"/>
      <c r="QIU479" s="2204">
        <f t="shared" si="213"/>
        <v>0</v>
      </c>
      <c r="QIV479" s="2204">
        <f>[16]BV!QJG395</f>
        <v>0</v>
      </c>
      <c r="QIW479" s="2204"/>
      <c r="QIX479" s="2204"/>
      <c r="QIY479" s="2204">
        <f t="shared" si="213"/>
        <v>0</v>
      </c>
      <c r="QIZ479" s="2204">
        <f>[16]BV!QJK395</f>
        <v>0</v>
      </c>
      <c r="QJA479" s="2204"/>
      <c r="QJB479" s="2204"/>
      <c r="QJC479" s="2204">
        <f t="shared" si="213"/>
        <v>0</v>
      </c>
      <c r="QJD479" s="2204">
        <f>[16]BV!QJO395</f>
        <v>0</v>
      </c>
      <c r="QJE479" s="2204"/>
      <c r="QJF479" s="2204"/>
      <c r="QJG479" s="2204">
        <f t="shared" si="213"/>
        <v>0</v>
      </c>
      <c r="QJH479" s="2204">
        <f>[16]BV!QJS395</f>
        <v>0</v>
      </c>
      <c r="QJI479" s="2204"/>
      <c r="QJJ479" s="2204"/>
      <c r="QJK479" s="2204">
        <f t="shared" si="213"/>
        <v>0</v>
      </c>
      <c r="QJL479" s="2204">
        <f>[16]BV!QJW395</f>
        <v>0</v>
      </c>
      <c r="QJM479" s="2204"/>
      <c r="QJN479" s="2204"/>
      <c r="QJO479" s="2204">
        <f t="shared" si="213"/>
        <v>0</v>
      </c>
      <c r="QJP479" s="2204">
        <f>[16]BV!QKA395</f>
        <v>0</v>
      </c>
      <c r="QJQ479" s="2204"/>
      <c r="QJR479" s="2204"/>
      <c r="QJS479" s="2204">
        <f t="shared" si="213"/>
        <v>0</v>
      </c>
      <c r="QJT479" s="2204">
        <f>[16]BV!QKE395</f>
        <v>0</v>
      </c>
      <c r="QJU479" s="2204"/>
      <c r="QJV479" s="2204"/>
      <c r="QJW479" s="2204">
        <f t="shared" si="213"/>
        <v>0</v>
      </c>
      <c r="QJX479" s="2204">
        <f>[16]BV!QKI395</f>
        <v>0</v>
      </c>
      <c r="QJY479" s="2204"/>
      <c r="QJZ479" s="2204"/>
      <c r="QKA479" s="2204">
        <f t="shared" ref="QKA479:QMI479" si="214">QJX479</f>
        <v>0</v>
      </c>
      <c r="QKB479" s="2204">
        <f>[16]BV!QKM395</f>
        <v>0</v>
      </c>
      <c r="QKC479" s="2204"/>
      <c r="QKD479" s="2204"/>
      <c r="QKE479" s="2204">
        <f t="shared" si="214"/>
        <v>0</v>
      </c>
      <c r="QKF479" s="2204">
        <f>[16]BV!QKQ395</f>
        <v>0</v>
      </c>
      <c r="QKG479" s="2204"/>
      <c r="QKH479" s="2204"/>
      <c r="QKI479" s="2204">
        <f t="shared" si="214"/>
        <v>0</v>
      </c>
      <c r="QKJ479" s="2204">
        <f>[16]BV!QKU395</f>
        <v>0</v>
      </c>
      <c r="QKK479" s="2204"/>
      <c r="QKL479" s="2204"/>
      <c r="QKM479" s="2204">
        <f t="shared" si="214"/>
        <v>0</v>
      </c>
      <c r="QKN479" s="2204">
        <f>[16]BV!QKY395</f>
        <v>0</v>
      </c>
      <c r="QKO479" s="2204"/>
      <c r="QKP479" s="2204"/>
      <c r="QKQ479" s="2204">
        <f t="shared" si="214"/>
        <v>0</v>
      </c>
      <c r="QKR479" s="2204">
        <f>[16]BV!QLC395</f>
        <v>0</v>
      </c>
      <c r="QKS479" s="2204"/>
      <c r="QKT479" s="2204"/>
      <c r="QKU479" s="2204">
        <f t="shared" si="214"/>
        <v>0</v>
      </c>
      <c r="QKV479" s="2204">
        <f>[16]BV!QLG395</f>
        <v>0</v>
      </c>
      <c r="QKW479" s="2204"/>
      <c r="QKX479" s="2204"/>
      <c r="QKY479" s="2204">
        <f t="shared" si="214"/>
        <v>0</v>
      </c>
      <c r="QKZ479" s="2204">
        <f>[16]BV!QLK395</f>
        <v>0</v>
      </c>
      <c r="QLA479" s="2204"/>
      <c r="QLB479" s="2204"/>
      <c r="QLC479" s="2204">
        <f t="shared" si="214"/>
        <v>0</v>
      </c>
      <c r="QLD479" s="2204">
        <f>[16]BV!QLO395</f>
        <v>0</v>
      </c>
      <c r="QLE479" s="2204"/>
      <c r="QLF479" s="2204"/>
      <c r="QLG479" s="2204">
        <f t="shared" si="214"/>
        <v>0</v>
      </c>
      <c r="QLH479" s="2204">
        <f>[16]BV!QLS395</f>
        <v>0</v>
      </c>
      <c r="QLI479" s="2204"/>
      <c r="QLJ479" s="2204"/>
      <c r="QLK479" s="2204">
        <f t="shared" si="214"/>
        <v>0</v>
      </c>
      <c r="QLL479" s="2204">
        <f>[16]BV!QLW395</f>
        <v>0</v>
      </c>
      <c r="QLM479" s="2204"/>
      <c r="QLN479" s="2204"/>
      <c r="QLO479" s="2204">
        <f t="shared" si="214"/>
        <v>0</v>
      </c>
      <c r="QLP479" s="2204">
        <f>[16]BV!QMA395</f>
        <v>0</v>
      </c>
      <c r="QLQ479" s="2204"/>
      <c r="QLR479" s="2204"/>
      <c r="QLS479" s="2204">
        <f t="shared" si="214"/>
        <v>0</v>
      </c>
      <c r="QLT479" s="2204">
        <f>[16]BV!QME395</f>
        <v>0</v>
      </c>
      <c r="QLU479" s="2204"/>
      <c r="QLV479" s="2204"/>
      <c r="QLW479" s="2204">
        <f t="shared" si="214"/>
        <v>0</v>
      </c>
      <c r="QLX479" s="2204">
        <f>[16]BV!QMI395</f>
        <v>0</v>
      </c>
      <c r="QLY479" s="2204"/>
      <c r="QLZ479" s="2204"/>
      <c r="QMA479" s="2204">
        <f t="shared" si="214"/>
        <v>0</v>
      </c>
      <c r="QMB479" s="2204">
        <f>[16]BV!QMM395</f>
        <v>0</v>
      </c>
      <c r="QMC479" s="2204"/>
      <c r="QMD479" s="2204"/>
      <c r="QME479" s="2204">
        <f t="shared" si="214"/>
        <v>0</v>
      </c>
      <c r="QMF479" s="2204">
        <f>[16]BV!QMQ395</f>
        <v>0</v>
      </c>
      <c r="QMG479" s="2204"/>
      <c r="QMH479" s="2204"/>
      <c r="QMI479" s="2204">
        <f t="shared" si="214"/>
        <v>0</v>
      </c>
      <c r="QMJ479" s="2204">
        <f>[16]BV!QMU395</f>
        <v>0</v>
      </c>
      <c r="QMK479" s="2204"/>
      <c r="QML479" s="2204"/>
      <c r="QMM479" s="2204">
        <f t="shared" ref="QMM479:QOU479" si="215">QMJ479</f>
        <v>0</v>
      </c>
      <c r="QMN479" s="2204">
        <f>[16]BV!QMY395</f>
        <v>0</v>
      </c>
      <c r="QMO479" s="2204"/>
      <c r="QMP479" s="2204"/>
      <c r="QMQ479" s="2204">
        <f t="shared" si="215"/>
        <v>0</v>
      </c>
      <c r="QMR479" s="2204">
        <f>[16]BV!QNC395</f>
        <v>0</v>
      </c>
      <c r="QMS479" s="2204"/>
      <c r="QMT479" s="2204"/>
      <c r="QMU479" s="2204">
        <f t="shared" si="215"/>
        <v>0</v>
      </c>
      <c r="QMV479" s="2204">
        <f>[16]BV!QNG395</f>
        <v>0</v>
      </c>
      <c r="QMW479" s="2204"/>
      <c r="QMX479" s="2204"/>
      <c r="QMY479" s="2204">
        <f t="shared" si="215"/>
        <v>0</v>
      </c>
      <c r="QMZ479" s="2204">
        <f>[16]BV!QNK395</f>
        <v>0</v>
      </c>
      <c r="QNA479" s="2204"/>
      <c r="QNB479" s="2204"/>
      <c r="QNC479" s="2204">
        <f t="shared" si="215"/>
        <v>0</v>
      </c>
      <c r="QND479" s="2204">
        <f>[16]BV!QNO395</f>
        <v>0</v>
      </c>
      <c r="QNE479" s="2204"/>
      <c r="QNF479" s="2204"/>
      <c r="QNG479" s="2204">
        <f t="shared" si="215"/>
        <v>0</v>
      </c>
      <c r="QNH479" s="2204">
        <f>[16]BV!QNS395</f>
        <v>0</v>
      </c>
      <c r="QNI479" s="2204"/>
      <c r="QNJ479" s="2204"/>
      <c r="QNK479" s="2204">
        <f t="shared" si="215"/>
        <v>0</v>
      </c>
      <c r="QNL479" s="2204">
        <f>[16]BV!QNW395</f>
        <v>0</v>
      </c>
      <c r="QNM479" s="2204"/>
      <c r="QNN479" s="2204"/>
      <c r="QNO479" s="2204">
        <f t="shared" si="215"/>
        <v>0</v>
      </c>
      <c r="QNP479" s="2204">
        <f>[16]BV!QOA395</f>
        <v>0</v>
      </c>
      <c r="QNQ479" s="2204"/>
      <c r="QNR479" s="2204"/>
      <c r="QNS479" s="2204">
        <f t="shared" si="215"/>
        <v>0</v>
      </c>
      <c r="QNT479" s="2204">
        <f>[16]BV!QOE395</f>
        <v>0</v>
      </c>
      <c r="QNU479" s="2204"/>
      <c r="QNV479" s="2204"/>
      <c r="QNW479" s="2204">
        <f t="shared" si="215"/>
        <v>0</v>
      </c>
      <c r="QNX479" s="2204">
        <f>[16]BV!QOI395</f>
        <v>0</v>
      </c>
      <c r="QNY479" s="2204"/>
      <c r="QNZ479" s="2204"/>
      <c r="QOA479" s="2204">
        <f t="shared" si="215"/>
        <v>0</v>
      </c>
      <c r="QOB479" s="2204">
        <f>[16]BV!QOM395</f>
        <v>0</v>
      </c>
      <c r="QOC479" s="2204"/>
      <c r="QOD479" s="2204"/>
      <c r="QOE479" s="2204">
        <f t="shared" si="215"/>
        <v>0</v>
      </c>
      <c r="QOF479" s="2204">
        <f>[16]BV!QOQ395</f>
        <v>0</v>
      </c>
      <c r="QOG479" s="2204"/>
      <c r="QOH479" s="2204"/>
      <c r="QOI479" s="2204">
        <f t="shared" si="215"/>
        <v>0</v>
      </c>
      <c r="QOJ479" s="2204">
        <f>[16]BV!QOU395</f>
        <v>0</v>
      </c>
      <c r="QOK479" s="2204"/>
      <c r="QOL479" s="2204"/>
      <c r="QOM479" s="2204">
        <f t="shared" si="215"/>
        <v>0</v>
      </c>
      <c r="QON479" s="2204">
        <f>[16]BV!QOY395</f>
        <v>0</v>
      </c>
      <c r="QOO479" s="2204"/>
      <c r="QOP479" s="2204"/>
      <c r="QOQ479" s="2204">
        <f t="shared" si="215"/>
        <v>0</v>
      </c>
      <c r="QOR479" s="2204">
        <f>[16]BV!QPC395</f>
        <v>0</v>
      </c>
      <c r="QOS479" s="2204"/>
      <c r="QOT479" s="2204"/>
      <c r="QOU479" s="2204">
        <f t="shared" si="215"/>
        <v>0</v>
      </c>
      <c r="QOV479" s="2204">
        <f>[16]BV!QPG395</f>
        <v>0</v>
      </c>
      <c r="QOW479" s="2204"/>
      <c r="QOX479" s="2204"/>
      <c r="QOY479" s="2204">
        <f t="shared" ref="QOY479:QRG479" si="216">QOV479</f>
        <v>0</v>
      </c>
      <c r="QOZ479" s="2204">
        <f>[16]BV!QPK395</f>
        <v>0</v>
      </c>
      <c r="QPA479" s="2204"/>
      <c r="QPB479" s="2204"/>
      <c r="QPC479" s="2204">
        <f t="shared" si="216"/>
        <v>0</v>
      </c>
      <c r="QPD479" s="2204">
        <f>[16]BV!QPO395</f>
        <v>0</v>
      </c>
      <c r="QPE479" s="2204"/>
      <c r="QPF479" s="2204"/>
      <c r="QPG479" s="2204">
        <f t="shared" si="216"/>
        <v>0</v>
      </c>
      <c r="QPH479" s="2204">
        <f>[16]BV!QPS395</f>
        <v>0</v>
      </c>
      <c r="QPI479" s="2204"/>
      <c r="QPJ479" s="2204"/>
      <c r="QPK479" s="2204">
        <f t="shared" si="216"/>
        <v>0</v>
      </c>
      <c r="QPL479" s="2204">
        <f>[16]BV!QPW395</f>
        <v>0</v>
      </c>
      <c r="QPM479" s="2204"/>
      <c r="QPN479" s="2204"/>
      <c r="QPO479" s="2204">
        <f t="shared" si="216"/>
        <v>0</v>
      </c>
      <c r="QPP479" s="2204">
        <f>[16]BV!QQA395</f>
        <v>0</v>
      </c>
      <c r="QPQ479" s="2204"/>
      <c r="QPR479" s="2204"/>
      <c r="QPS479" s="2204">
        <f t="shared" si="216"/>
        <v>0</v>
      </c>
      <c r="QPT479" s="2204">
        <f>[16]BV!QQE395</f>
        <v>0</v>
      </c>
      <c r="QPU479" s="2204"/>
      <c r="QPV479" s="2204"/>
      <c r="QPW479" s="2204">
        <f t="shared" si="216"/>
        <v>0</v>
      </c>
      <c r="QPX479" s="2204">
        <f>[16]BV!QQI395</f>
        <v>0</v>
      </c>
      <c r="QPY479" s="2204"/>
      <c r="QPZ479" s="2204"/>
      <c r="QQA479" s="2204">
        <f t="shared" si="216"/>
        <v>0</v>
      </c>
      <c r="QQB479" s="2204">
        <f>[16]BV!QQM395</f>
        <v>0</v>
      </c>
      <c r="QQC479" s="2204"/>
      <c r="QQD479" s="2204"/>
      <c r="QQE479" s="2204">
        <f t="shared" si="216"/>
        <v>0</v>
      </c>
      <c r="QQF479" s="2204">
        <f>[16]BV!QQQ395</f>
        <v>0</v>
      </c>
      <c r="QQG479" s="2204"/>
      <c r="QQH479" s="2204"/>
      <c r="QQI479" s="2204">
        <f t="shared" si="216"/>
        <v>0</v>
      </c>
      <c r="QQJ479" s="2204">
        <f>[16]BV!QQU395</f>
        <v>0</v>
      </c>
      <c r="QQK479" s="2204"/>
      <c r="QQL479" s="2204"/>
      <c r="QQM479" s="2204">
        <f t="shared" si="216"/>
        <v>0</v>
      </c>
      <c r="QQN479" s="2204">
        <f>[16]BV!QQY395</f>
        <v>0</v>
      </c>
      <c r="QQO479" s="2204"/>
      <c r="QQP479" s="2204"/>
      <c r="QQQ479" s="2204">
        <f t="shared" si="216"/>
        <v>0</v>
      </c>
      <c r="QQR479" s="2204">
        <f>[16]BV!QRC395</f>
        <v>0</v>
      </c>
      <c r="QQS479" s="2204"/>
      <c r="QQT479" s="2204"/>
      <c r="QQU479" s="2204">
        <f t="shared" si="216"/>
        <v>0</v>
      </c>
      <c r="QQV479" s="2204">
        <f>[16]BV!QRG395</f>
        <v>0</v>
      </c>
      <c r="QQW479" s="2204"/>
      <c r="QQX479" s="2204"/>
      <c r="QQY479" s="2204">
        <f t="shared" si="216"/>
        <v>0</v>
      </c>
      <c r="QQZ479" s="2204">
        <f>[16]BV!QRK395</f>
        <v>0</v>
      </c>
      <c r="QRA479" s="2204"/>
      <c r="QRB479" s="2204"/>
      <c r="QRC479" s="2204">
        <f t="shared" si="216"/>
        <v>0</v>
      </c>
      <c r="QRD479" s="2204">
        <f>[16]BV!QRO395</f>
        <v>0</v>
      </c>
      <c r="QRE479" s="2204"/>
      <c r="QRF479" s="2204"/>
      <c r="QRG479" s="2204">
        <f t="shared" si="216"/>
        <v>0</v>
      </c>
      <c r="QRH479" s="2204">
        <f>[16]BV!QRS395</f>
        <v>0</v>
      </c>
      <c r="QRI479" s="2204"/>
      <c r="QRJ479" s="2204"/>
      <c r="QRK479" s="2204">
        <f t="shared" ref="QRK479:QTS479" si="217">QRH479</f>
        <v>0</v>
      </c>
      <c r="QRL479" s="2204">
        <f>[16]BV!QRW395</f>
        <v>0</v>
      </c>
      <c r="QRM479" s="2204"/>
      <c r="QRN479" s="2204"/>
      <c r="QRO479" s="2204">
        <f t="shared" si="217"/>
        <v>0</v>
      </c>
      <c r="QRP479" s="2204">
        <f>[16]BV!QSA395</f>
        <v>0</v>
      </c>
      <c r="QRQ479" s="2204"/>
      <c r="QRR479" s="2204"/>
      <c r="QRS479" s="2204">
        <f t="shared" si="217"/>
        <v>0</v>
      </c>
      <c r="QRT479" s="2204">
        <f>[16]BV!QSE395</f>
        <v>0</v>
      </c>
      <c r="QRU479" s="2204"/>
      <c r="QRV479" s="2204"/>
      <c r="QRW479" s="2204">
        <f t="shared" si="217"/>
        <v>0</v>
      </c>
      <c r="QRX479" s="2204">
        <f>[16]BV!QSI395</f>
        <v>0</v>
      </c>
      <c r="QRY479" s="2204"/>
      <c r="QRZ479" s="2204"/>
      <c r="QSA479" s="2204">
        <f t="shared" si="217"/>
        <v>0</v>
      </c>
      <c r="QSB479" s="2204">
        <f>[16]BV!QSM395</f>
        <v>0</v>
      </c>
      <c r="QSC479" s="2204"/>
      <c r="QSD479" s="2204"/>
      <c r="QSE479" s="2204">
        <f t="shared" si="217"/>
        <v>0</v>
      </c>
      <c r="QSF479" s="2204">
        <f>[16]BV!QSQ395</f>
        <v>0</v>
      </c>
      <c r="QSG479" s="2204"/>
      <c r="QSH479" s="2204"/>
      <c r="QSI479" s="2204">
        <f t="shared" si="217"/>
        <v>0</v>
      </c>
      <c r="QSJ479" s="2204">
        <f>[16]BV!QSU395</f>
        <v>0</v>
      </c>
      <c r="QSK479" s="2204"/>
      <c r="QSL479" s="2204"/>
      <c r="QSM479" s="2204">
        <f t="shared" si="217"/>
        <v>0</v>
      </c>
      <c r="QSN479" s="2204">
        <f>[16]BV!QSY395</f>
        <v>0</v>
      </c>
      <c r="QSO479" s="2204"/>
      <c r="QSP479" s="2204"/>
      <c r="QSQ479" s="2204">
        <f t="shared" si="217"/>
        <v>0</v>
      </c>
      <c r="QSR479" s="2204">
        <f>[16]BV!QTC395</f>
        <v>0</v>
      </c>
      <c r="QSS479" s="2204"/>
      <c r="QST479" s="2204"/>
      <c r="QSU479" s="2204">
        <f t="shared" si="217"/>
        <v>0</v>
      </c>
      <c r="QSV479" s="2204">
        <f>[16]BV!QTG395</f>
        <v>0</v>
      </c>
      <c r="QSW479" s="2204"/>
      <c r="QSX479" s="2204"/>
      <c r="QSY479" s="2204">
        <f t="shared" si="217"/>
        <v>0</v>
      </c>
      <c r="QSZ479" s="2204">
        <f>[16]BV!QTK395</f>
        <v>0</v>
      </c>
      <c r="QTA479" s="2204"/>
      <c r="QTB479" s="2204"/>
      <c r="QTC479" s="2204">
        <f t="shared" si="217"/>
        <v>0</v>
      </c>
      <c r="QTD479" s="2204">
        <f>[16]BV!QTO395</f>
        <v>0</v>
      </c>
      <c r="QTE479" s="2204"/>
      <c r="QTF479" s="2204"/>
      <c r="QTG479" s="2204">
        <f t="shared" si="217"/>
        <v>0</v>
      </c>
      <c r="QTH479" s="2204">
        <f>[16]BV!QTS395</f>
        <v>0</v>
      </c>
      <c r="QTI479" s="2204"/>
      <c r="QTJ479" s="2204"/>
      <c r="QTK479" s="2204">
        <f t="shared" si="217"/>
        <v>0</v>
      </c>
      <c r="QTL479" s="2204">
        <f>[16]BV!QTW395</f>
        <v>0</v>
      </c>
      <c r="QTM479" s="2204"/>
      <c r="QTN479" s="2204"/>
      <c r="QTO479" s="2204">
        <f t="shared" si="217"/>
        <v>0</v>
      </c>
      <c r="QTP479" s="2204">
        <f>[16]BV!QUA395</f>
        <v>0</v>
      </c>
      <c r="QTQ479" s="2204"/>
      <c r="QTR479" s="2204"/>
      <c r="QTS479" s="2204">
        <f t="shared" si="217"/>
        <v>0</v>
      </c>
      <c r="QTT479" s="2204">
        <f>[16]BV!QUE395</f>
        <v>0</v>
      </c>
      <c r="QTU479" s="2204"/>
      <c r="QTV479" s="2204"/>
      <c r="QTW479" s="2204">
        <f t="shared" ref="QTW479:QWE479" si="218">QTT479</f>
        <v>0</v>
      </c>
      <c r="QTX479" s="2204">
        <f>[16]BV!QUI395</f>
        <v>0</v>
      </c>
      <c r="QTY479" s="2204"/>
      <c r="QTZ479" s="2204"/>
      <c r="QUA479" s="2204">
        <f t="shared" si="218"/>
        <v>0</v>
      </c>
      <c r="QUB479" s="2204">
        <f>[16]BV!QUM395</f>
        <v>0</v>
      </c>
      <c r="QUC479" s="2204"/>
      <c r="QUD479" s="2204"/>
      <c r="QUE479" s="2204">
        <f t="shared" si="218"/>
        <v>0</v>
      </c>
      <c r="QUF479" s="2204">
        <f>[16]BV!QUQ395</f>
        <v>0</v>
      </c>
      <c r="QUG479" s="2204"/>
      <c r="QUH479" s="2204"/>
      <c r="QUI479" s="2204">
        <f t="shared" si="218"/>
        <v>0</v>
      </c>
      <c r="QUJ479" s="2204">
        <f>[16]BV!QUU395</f>
        <v>0</v>
      </c>
      <c r="QUK479" s="2204"/>
      <c r="QUL479" s="2204"/>
      <c r="QUM479" s="2204">
        <f t="shared" si="218"/>
        <v>0</v>
      </c>
      <c r="QUN479" s="2204">
        <f>[16]BV!QUY395</f>
        <v>0</v>
      </c>
      <c r="QUO479" s="2204"/>
      <c r="QUP479" s="2204"/>
      <c r="QUQ479" s="2204">
        <f t="shared" si="218"/>
        <v>0</v>
      </c>
      <c r="QUR479" s="2204">
        <f>[16]BV!QVC395</f>
        <v>0</v>
      </c>
      <c r="QUS479" s="2204"/>
      <c r="QUT479" s="2204"/>
      <c r="QUU479" s="2204">
        <f t="shared" si="218"/>
        <v>0</v>
      </c>
      <c r="QUV479" s="2204">
        <f>[16]BV!QVG395</f>
        <v>0</v>
      </c>
      <c r="QUW479" s="2204"/>
      <c r="QUX479" s="2204"/>
      <c r="QUY479" s="2204">
        <f t="shared" si="218"/>
        <v>0</v>
      </c>
      <c r="QUZ479" s="2204">
        <f>[16]BV!QVK395</f>
        <v>0</v>
      </c>
      <c r="QVA479" s="2204"/>
      <c r="QVB479" s="2204"/>
      <c r="QVC479" s="2204">
        <f t="shared" si="218"/>
        <v>0</v>
      </c>
      <c r="QVD479" s="2204">
        <f>[16]BV!QVO395</f>
        <v>0</v>
      </c>
      <c r="QVE479" s="2204"/>
      <c r="QVF479" s="2204"/>
      <c r="QVG479" s="2204">
        <f t="shared" si="218"/>
        <v>0</v>
      </c>
      <c r="QVH479" s="2204">
        <f>[16]BV!QVS395</f>
        <v>0</v>
      </c>
      <c r="QVI479" s="2204"/>
      <c r="QVJ479" s="2204"/>
      <c r="QVK479" s="2204">
        <f t="shared" si="218"/>
        <v>0</v>
      </c>
      <c r="QVL479" s="2204">
        <f>[16]BV!QVW395</f>
        <v>0</v>
      </c>
      <c r="QVM479" s="2204"/>
      <c r="QVN479" s="2204"/>
      <c r="QVO479" s="2204">
        <f t="shared" si="218"/>
        <v>0</v>
      </c>
      <c r="QVP479" s="2204">
        <f>[16]BV!QWA395</f>
        <v>0</v>
      </c>
      <c r="QVQ479" s="2204"/>
      <c r="QVR479" s="2204"/>
      <c r="QVS479" s="2204">
        <f t="shared" si="218"/>
        <v>0</v>
      </c>
      <c r="QVT479" s="2204">
        <f>[16]BV!QWE395</f>
        <v>0</v>
      </c>
      <c r="QVU479" s="2204"/>
      <c r="QVV479" s="2204"/>
      <c r="QVW479" s="2204">
        <f t="shared" si="218"/>
        <v>0</v>
      </c>
      <c r="QVX479" s="2204">
        <f>[16]BV!QWI395</f>
        <v>0</v>
      </c>
      <c r="QVY479" s="2204"/>
      <c r="QVZ479" s="2204"/>
      <c r="QWA479" s="2204">
        <f t="shared" si="218"/>
        <v>0</v>
      </c>
      <c r="QWB479" s="2204">
        <f>[16]BV!QWM395</f>
        <v>0</v>
      </c>
      <c r="QWC479" s="2204"/>
      <c r="QWD479" s="2204"/>
      <c r="QWE479" s="2204">
        <f t="shared" si="218"/>
        <v>0</v>
      </c>
      <c r="QWF479" s="2204">
        <f>[16]BV!QWQ395</f>
        <v>0</v>
      </c>
      <c r="QWG479" s="2204"/>
      <c r="QWH479" s="2204"/>
      <c r="QWI479" s="2204">
        <f t="shared" ref="QWI479:QYQ479" si="219">QWF479</f>
        <v>0</v>
      </c>
      <c r="QWJ479" s="2204">
        <f>[16]BV!QWU395</f>
        <v>0</v>
      </c>
      <c r="QWK479" s="2204"/>
      <c r="QWL479" s="2204"/>
      <c r="QWM479" s="2204">
        <f t="shared" si="219"/>
        <v>0</v>
      </c>
      <c r="QWN479" s="2204">
        <f>[16]BV!QWY395</f>
        <v>0</v>
      </c>
      <c r="QWO479" s="2204"/>
      <c r="QWP479" s="2204"/>
      <c r="QWQ479" s="2204">
        <f t="shared" si="219"/>
        <v>0</v>
      </c>
      <c r="QWR479" s="2204">
        <f>[16]BV!QXC395</f>
        <v>0</v>
      </c>
      <c r="QWS479" s="2204"/>
      <c r="QWT479" s="2204"/>
      <c r="QWU479" s="2204">
        <f t="shared" si="219"/>
        <v>0</v>
      </c>
      <c r="QWV479" s="2204">
        <f>[16]BV!QXG395</f>
        <v>0</v>
      </c>
      <c r="QWW479" s="2204"/>
      <c r="QWX479" s="2204"/>
      <c r="QWY479" s="2204">
        <f t="shared" si="219"/>
        <v>0</v>
      </c>
      <c r="QWZ479" s="2204">
        <f>[16]BV!QXK395</f>
        <v>0</v>
      </c>
      <c r="QXA479" s="2204"/>
      <c r="QXB479" s="2204"/>
      <c r="QXC479" s="2204">
        <f t="shared" si="219"/>
        <v>0</v>
      </c>
      <c r="QXD479" s="2204">
        <f>[16]BV!QXO395</f>
        <v>0</v>
      </c>
      <c r="QXE479" s="2204"/>
      <c r="QXF479" s="2204"/>
      <c r="QXG479" s="2204">
        <f t="shared" si="219"/>
        <v>0</v>
      </c>
      <c r="QXH479" s="2204">
        <f>[16]BV!QXS395</f>
        <v>0</v>
      </c>
      <c r="QXI479" s="2204"/>
      <c r="QXJ479" s="2204"/>
      <c r="QXK479" s="2204">
        <f t="shared" si="219"/>
        <v>0</v>
      </c>
      <c r="QXL479" s="2204">
        <f>[16]BV!QXW395</f>
        <v>0</v>
      </c>
      <c r="QXM479" s="2204"/>
      <c r="QXN479" s="2204"/>
      <c r="QXO479" s="2204">
        <f t="shared" si="219"/>
        <v>0</v>
      </c>
      <c r="QXP479" s="2204">
        <f>[16]BV!QYA395</f>
        <v>0</v>
      </c>
      <c r="QXQ479" s="2204"/>
      <c r="QXR479" s="2204"/>
      <c r="QXS479" s="2204">
        <f t="shared" si="219"/>
        <v>0</v>
      </c>
      <c r="QXT479" s="2204">
        <f>[16]BV!QYE395</f>
        <v>0</v>
      </c>
      <c r="QXU479" s="2204"/>
      <c r="QXV479" s="2204"/>
      <c r="QXW479" s="2204">
        <f t="shared" si="219"/>
        <v>0</v>
      </c>
      <c r="QXX479" s="2204">
        <f>[16]BV!QYI395</f>
        <v>0</v>
      </c>
      <c r="QXY479" s="2204"/>
      <c r="QXZ479" s="2204"/>
      <c r="QYA479" s="2204">
        <f t="shared" si="219"/>
        <v>0</v>
      </c>
      <c r="QYB479" s="2204">
        <f>[16]BV!QYM395</f>
        <v>0</v>
      </c>
      <c r="QYC479" s="2204"/>
      <c r="QYD479" s="2204"/>
      <c r="QYE479" s="2204">
        <f t="shared" si="219"/>
        <v>0</v>
      </c>
      <c r="QYF479" s="2204">
        <f>[16]BV!QYQ395</f>
        <v>0</v>
      </c>
      <c r="QYG479" s="2204"/>
      <c r="QYH479" s="2204"/>
      <c r="QYI479" s="2204">
        <f t="shared" si="219"/>
        <v>0</v>
      </c>
      <c r="QYJ479" s="2204">
        <f>[16]BV!QYU395</f>
        <v>0</v>
      </c>
      <c r="QYK479" s="2204"/>
      <c r="QYL479" s="2204"/>
      <c r="QYM479" s="2204">
        <f t="shared" si="219"/>
        <v>0</v>
      </c>
      <c r="QYN479" s="2204">
        <f>[16]BV!QYY395</f>
        <v>0</v>
      </c>
      <c r="QYO479" s="2204"/>
      <c r="QYP479" s="2204"/>
      <c r="QYQ479" s="2204">
        <f t="shared" si="219"/>
        <v>0</v>
      </c>
      <c r="QYR479" s="2204">
        <f>[16]BV!QZC395</f>
        <v>0</v>
      </c>
      <c r="QYS479" s="2204"/>
      <c r="QYT479" s="2204"/>
      <c r="QYU479" s="2204">
        <f t="shared" ref="QYU479:RBC479" si="220">QYR479</f>
        <v>0</v>
      </c>
      <c r="QYV479" s="2204">
        <f>[16]BV!QZG395</f>
        <v>0</v>
      </c>
      <c r="QYW479" s="2204"/>
      <c r="QYX479" s="2204"/>
      <c r="QYY479" s="2204">
        <f t="shared" si="220"/>
        <v>0</v>
      </c>
      <c r="QYZ479" s="2204">
        <f>[16]BV!QZK395</f>
        <v>0</v>
      </c>
      <c r="QZA479" s="2204"/>
      <c r="QZB479" s="2204"/>
      <c r="QZC479" s="2204">
        <f t="shared" si="220"/>
        <v>0</v>
      </c>
      <c r="QZD479" s="2204">
        <f>[16]BV!QZO395</f>
        <v>0</v>
      </c>
      <c r="QZE479" s="2204"/>
      <c r="QZF479" s="2204"/>
      <c r="QZG479" s="2204">
        <f t="shared" si="220"/>
        <v>0</v>
      </c>
      <c r="QZH479" s="2204">
        <f>[16]BV!QZS395</f>
        <v>0</v>
      </c>
      <c r="QZI479" s="2204"/>
      <c r="QZJ479" s="2204"/>
      <c r="QZK479" s="2204">
        <f t="shared" si="220"/>
        <v>0</v>
      </c>
      <c r="QZL479" s="2204">
        <f>[16]BV!QZW395</f>
        <v>0</v>
      </c>
      <c r="QZM479" s="2204"/>
      <c r="QZN479" s="2204"/>
      <c r="QZO479" s="2204">
        <f t="shared" si="220"/>
        <v>0</v>
      </c>
      <c r="QZP479" s="2204">
        <f>[16]BV!RAA395</f>
        <v>0</v>
      </c>
      <c r="QZQ479" s="2204"/>
      <c r="QZR479" s="2204"/>
      <c r="QZS479" s="2204">
        <f t="shared" si="220"/>
        <v>0</v>
      </c>
      <c r="QZT479" s="2204">
        <f>[16]BV!RAE395</f>
        <v>0</v>
      </c>
      <c r="QZU479" s="2204"/>
      <c r="QZV479" s="2204"/>
      <c r="QZW479" s="2204">
        <f t="shared" si="220"/>
        <v>0</v>
      </c>
      <c r="QZX479" s="2204">
        <f>[16]BV!RAI395</f>
        <v>0</v>
      </c>
      <c r="QZY479" s="2204"/>
      <c r="QZZ479" s="2204"/>
      <c r="RAA479" s="2204">
        <f t="shared" si="220"/>
        <v>0</v>
      </c>
      <c r="RAB479" s="2204">
        <f>[16]BV!RAM395</f>
        <v>0</v>
      </c>
      <c r="RAC479" s="2204"/>
      <c r="RAD479" s="2204"/>
      <c r="RAE479" s="2204">
        <f t="shared" si="220"/>
        <v>0</v>
      </c>
      <c r="RAF479" s="2204">
        <f>[16]BV!RAQ395</f>
        <v>0</v>
      </c>
      <c r="RAG479" s="2204"/>
      <c r="RAH479" s="2204"/>
      <c r="RAI479" s="2204">
        <f t="shared" si="220"/>
        <v>0</v>
      </c>
      <c r="RAJ479" s="2204">
        <f>[16]BV!RAU395</f>
        <v>0</v>
      </c>
      <c r="RAK479" s="2204"/>
      <c r="RAL479" s="2204"/>
      <c r="RAM479" s="2204">
        <f t="shared" si="220"/>
        <v>0</v>
      </c>
      <c r="RAN479" s="2204">
        <f>[16]BV!RAY395</f>
        <v>0</v>
      </c>
      <c r="RAO479" s="2204"/>
      <c r="RAP479" s="2204"/>
      <c r="RAQ479" s="2204">
        <f t="shared" si="220"/>
        <v>0</v>
      </c>
      <c r="RAR479" s="2204">
        <f>[16]BV!RBC395</f>
        <v>0</v>
      </c>
      <c r="RAS479" s="2204"/>
      <c r="RAT479" s="2204"/>
      <c r="RAU479" s="2204">
        <f t="shared" si="220"/>
        <v>0</v>
      </c>
      <c r="RAV479" s="2204">
        <f>[16]BV!RBG395</f>
        <v>0</v>
      </c>
      <c r="RAW479" s="2204"/>
      <c r="RAX479" s="2204"/>
      <c r="RAY479" s="2204">
        <f t="shared" si="220"/>
        <v>0</v>
      </c>
      <c r="RAZ479" s="2204">
        <f>[16]BV!RBK395</f>
        <v>0</v>
      </c>
      <c r="RBA479" s="2204"/>
      <c r="RBB479" s="2204"/>
      <c r="RBC479" s="2204">
        <f t="shared" si="220"/>
        <v>0</v>
      </c>
      <c r="RBD479" s="2204">
        <f>[16]BV!RBO395</f>
        <v>0</v>
      </c>
      <c r="RBE479" s="2204"/>
      <c r="RBF479" s="2204"/>
      <c r="RBG479" s="2204">
        <f t="shared" ref="RBG479:RDO479" si="221">RBD479</f>
        <v>0</v>
      </c>
      <c r="RBH479" s="2204">
        <f>[16]BV!RBS395</f>
        <v>0</v>
      </c>
      <c r="RBI479" s="2204"/>
      <c r="RBJ479" s="2204"/>
      <c r="RBK479" s="2204">
        <f t="shared" si="221"/>
        <v>0</v>
      </c>
      <c r="RBL479" s="2204">
        <f>[16]BV!RBW395</f>
        <v>0</v>
      </c>
      <c r="RBM479" s="2204"/>
      <c r="RBN479" s="2204"/>
      <c r="RBO479" s="2204">
        <f t="shared" si="221"/>
        <v>0</v>
      </c>
      <c r="RBP479" s="2204">
        <f>[16]BV!RCA395</f>
        <v>0</v>
      </c>
      <c r="RBQ479" s="2204"/>
      <c r="RBR479" s="2204"/>
      <c r="RBS479" s="2204">
        <f t="shared" si="221"/>
        <v>0</v>
      </c>
      <c r="RBT479" s="2204">
        <f>[16]BV!RCE395</f>
        <v>0</v>
      </c>
      <c r="RBU479" s="2204"/>
      <c r="RBV479" s="2204"/>
      <c r="RBW479" s="2204">
        <f t="shared" si="221"/>
        <v>0</v>
      </c>
      <c r="RBX479" s="2204">
        <f>[16]BV!RCI395</f>
        <v>0</v>
      </c>
      <c r="RBY479" s="2204"/>
      <c r="RBZ479" s="2204"/>
      <c r="RCA479" s="2204">
        <f t="shared" si="221"/>
        <v>0</v>
      </c>
      <c r="RCB479" s="2204">
        <f>[16]BV!RCM395</f>
        <v>0</v>
      </c>
      <c r="RCC479" s="2204"/>
      <c r="RCD479" s="2204"/>
      <c r="RCE479" s="2204">
        <f t="shared" si="221"/>
        <v>0</v>
      </c>
      <c r="RCF479" s="2204">
        <f>[16]BV!RCQ395</f>
        <v>0</v>
      </c>
      <c r="RCG479" s="2204"/>
      <c r="RCH479" s="2204"/>
      <c r="RCI479" s="2204">
        <f t="shared" si="221"/>
        <v>0</v>
      </c>
      <c r="RCJ479" s="2204">
        <f>[16]BV!RCU395</f>
        <v>0</v>
      </c>
      <c r="RCK479" s="2204"/>
      <c r="RCL479" s="2204"/>
      <c r="RCM479" s="2204">
        <f t="shared" si="221"/>
        <v>0</v>
      </c>
      <c r="RCN479" s="2204">
        <f>[16]BV!RCY395</f>
        <v>0</v>
      </c>
      <c r="RCO479" s="2204"/>
      <c r="RCP479" s="2204"/>
      <c r="RCQ479" s="2204">
        <f t="shared" si="221"/>
        <v>0</v>
      </c>
      <c r="RCR479" s="2204">
        <f>[16]BV!RDC395</f>
        <v>0</v>
      </c>
      <c r="RCS479" s="2204"/>
      <c r="RCT479" s="2204"/>
      <c r="RCU479" s="2204">
        <f t="shared" si="221"/>
        <v>0</v>
      </c>
      <c r="RCV479" s="2204">
        <f>[16]BV!RDG395</f>
        <v>0</v>
      </c>
      <c r="RCW479" s="2204"/>
      <c r="RCX479" s="2204"/>
      <c r="RCY479" s="2204">
        <f t="shared" si="221"/>
        <v>0</v>
      </c>
      <c r="RCZ479" s="2204">
        <f>[16]BV!RDK395</f>
        <v>0</v>
      </c>
      <c r="RDA479" s="2204"/>
      <c r="RDB479" s="2204"/>
      <c r="RDC479" s="2204">
        <f t="shared" si="221"/>
        <v>0</v>
      </c>
      <c r="RDD479" s="2204">
        <f>[16]BV!RDO395</f>
        <v>0</v>
      </c>
      <c r="RDE479" s="2204"/>
      <c r="RDF479" s="2204"/>
      <c r="RDG479" s="2204">
        <f t="shared" si="221"/>
        <v>0</v>
      </c>
      <c r="RDH479" s="2204">
        <f>[16]BV!RDS395</f>
        <v>0</v>
      </c>
      <c r="RDI479" s="2204"/>
      <c r="RDJ479" s="2204"/>
      <c r="RDK479" s="2204">
        <f t="shared" si="221"/>
        <v>0</v>
      </c>
      <c r="RDL479" s="2204">
        <f>[16]BV!RDW395</f>
        <v>0</v>
      </c>
      <c r="RDM479" s="2204"/>
      <c r="RDN479" s="2204"/>
      <c r="RDO479" s="2204">
        <f t="shared" si="221"/>
        <v>0</v>
      </c>
      <c r="RDP479" s="2204">
        <f>[16]BV!REA395</f>
        <v>0</v>
      </c>
      <c r="RDQ479" s="2204"/>
      <c r="RDR479" s="2204"/>
      <c r="RDS479" s="2204">
        <f t="shared" ref="RDS479:RGA479" si="222">RDP479</f>
        <v>0</v>
      </c>
      <c r="RDT479" s="2204">
        <f>[16]BV!REE395</f>
        <v>0</v>
      </c>
      <c r="RDU479" s="2204"/>
      <c r="RDV479" s="2204"/>
      <c r="RDW479" s="2204">
        <f t="shared" si="222"/>
        <v>0</v>
      </c>
      <c r="RDX479" s="2204">
        <f>[16]BV!REI395</f>
        <v>0</v>
      </c>
      <c r="RDY479" s="2204"/>
      <c r="RDZ479" s="2204"/>
      <c r="REA479" s="2204">
        <f t="shared" si="222"/>
        <v>0</v>
      </c>
      <c r="REB479" s="2204">
        <f>[16]BV!REM395</f>
        <v>0</v>
      </c>
      <c r="REC479" s="2204"/>
      <c r="RED479" s="2204"/>
      <c r="REE479" s="2204">
        <f t="shared" si="222"/>
        <v>0</v>
      </c>
      <c r="REF479" s="2204">
        <f>[16]BV!REQ395</f>
        <v>0</v>
      </c>
      <c r="REG479" s="2204"/>
      <c r="REH479" s="2204"/>
      <c r="REI479" s="2204">
        <f t="shared" si="222"/>
        <v>0</v>
      </c>
      <c r="REJ479" s="2204">
        <f>[16]BV!REU395</f>
        <v>0</v>
      </c>
      <c r="REK479" s="2204"/>
      <c r="REL479" s="2204"/>
      <c r="REM479" s="2204">
        <f t="shared" si="222"/>
        <v>0</v>
      </c>
      <c r="REN479" s="2204">
        <f>[16]BV!REY395</f>
        <v>0</v>
      </c>
      <c r="REO479" s="2204"/>
      <c r="REP479" s="2204"/>
      <c r="REQ479" s="2204">
        <f t="shared" si="222"/>
        <v>0</v>
      </c>
      <c r="RER479" s="2204">
        <f>[16]BV!RFC395</f>
        <v>0</v>
      </c>
      <c r="RES479" s="2204"/>
      <c r="RET479" s="2204"/>
      <c r="REU479" s="2204">
        <f t="shared" si="222"/>
        <v>0</v>
      </c>
      <c r="REV479" s="2204">
        <f>[16]BV!RFG395</f>
        <v>0</v>
      </c>
      <c r="REW479" s="2204"/>
      <c r="REX479" s="2204"/>
      <c r="REY479" s="2204">
        <f t="shared" si="222"/>
        <v>0</v>
      </c>
      <c r="REZ479" s="2204">
        <f>[16]BV!RFK395</f>
        <v>0</v>
      </c>
      <c r="RFA479" s="2204"/>
      <c r="RFB479" s="2204"/>
      <c r="RFC479" s="2204">
        <f t="shared" si="222"/>
        <v>0</v>
      </c>
      <c r="RFD479" s="2204">
        <f>[16]BV!RFO395</f>
        <v>0</v>
      </c>
      <c r="RFE479" s="2204"/>
      <c r="RFF479" s="2204"/>
      <c r="RFG479" s="2204">
        <f t="shared" si="222"/>
        <v>0</v>
      </c>
      <c r="RFH479" s="2204">
        <f>[16]BV!RFS395</f>
        <v>0</v>
      </c>
      <c r="RFI479" s="2204"/>
      <c r="RFJ479" s="2204"/>
      <c r="RFK479" s="2204">
        <f t="shared" si="222"/>
        <v>0</v>
      </c>
      <c r="RFL479" s="2204">
        <f>[16]BV!RFW395</f>
        <v>0</v>
      </c>
      <c r="RFM479" s="2204"/>
      <c r="RFN479" s="2204"/>
      <c r="RFO479" s="2204">
        <f t="shared" si="222"/>
        <v>0</v>
      </c>
      <c r="RFP479" s="2204">
        <f>[16]BV!RGA395</f>
        <v>0</v>
      </c>
      <c r="RFQ479" s="2204"/>
      <c r="RFR479" s="2204"/>
      <c r="RFS479" s="2204">
        <f t="shared" si="222"/>
        <v>0</v>
      </c>
      <c r="RFT479" s="2204">
        <f>[16]BV!RGE395</f>
        <v>0</v>
      </c>
      <c r="RFU479" s="2204"/>
      <c r="RFV479" s="2204"/>
      <c r="RFW479" s="2204">
        <f t="shared" si="222"/>
        <v>0</v>
      </c>
      <c r="RFX479" s="2204">
        <f>[16]BV!RGI395</f>
        <v>0</v>
      </c>
      <c r="RFY479" s="2204"/>
      <c r="RFZ479" s="2204"/>
      <c r="RGA479" s="2204">
        <f t="shared" si="222"/>
        <v>0</v>
      </c>
      <c r="RGB479" s="2204">
        <f>[16]BV!RGM395</f>
        <v>0</v>
      </c>
      <c r="RGC479" s="2204"/>
      <c r="RGD479" s="2204"/>
      <c r="RGE479" s="2204">
        <f t="shared" ref="RGE479:RIM479" si="223">RGB479</f>
        <v>0</v>
      </c>
      <c r="RGF479" s="2204">
        <f>[16]BV!RGQ395</f>
        <v>0</v>
      </c>
      <c r="RGG479" s="2204"/>
      <c r="RGH479" s="2204"/>
      <c r="RGI479" s="2204">
        <f t="shared" si="223"/>
        <v>0</v>
      </c>
      <c r="RGJ479" s="2204">
        <f>[16]BV!RGU395</f>
        <v>0</v>
      </c>
      <c r="RGK479" s="2204"/>
      <c r="RGL479" s="2204"/>
      <c r="RGM479" s="2204">
        <f t="shared" si="223"/>
        <v>0</v>
      </c>
      <c r="RGN479" s="2204">
        <f>[16]BV!RGY395</f>
        <v>0</v>
      </c>
      <c r="RGO479" s="2204"/>
      <c r="RGP479" s="2204"/>
      <c r="RGQ479" s="2204">
        <f t="shared" si="223"/>
        <v>0</v>
      </c>
      <c r="RGR479" s="2204">
        <f>[16]BV!RHC395</f>
        <v>0</v>
      </c>
      <c r="RGS479" s="2204"/>
      <c r="RGT479" s="2204"/>
      <c r="RGU479" s="2204">
        <f t="shared" si="223"/>
        <v>0</v>
      </c>
      <c r="RGV479" s="2204">
        <f>[16]BV!RHG395</f>
        <v>0</v>
      </c>
      <c r="RGW479" s="2204"/>
      <c r="RGX479" s="2204"/>
      <c r="RGY479" s="2204">
        <f t="shared" si="223"/>
        <v>0</v>
      </c>
      <c r="RGZ479" s="2204">
        <f>[16]BV!RHK395</f>
        <v>0</v>
      </c>
      <c r="RHA479" s="2204"/>
      <c r="RHB479" s="2204"/>
      <c r="RHC479" s="2204">
        <f t="shared" si="223"/>
        <v>0</v>
      </c>
      <c r="RHD479" s="2204">
        <f>[16]BV!RHO395</f>
        <v>0</v>
      </c>
      <c r="RHE479" s="2204"/>
      <c r="RHF479" s="2204"/>
      <c r="RHG479" s="2204">
        <f t="shared" si="223"/>
        <v>0</v>
      </c>
      <c r="RHH479" s="2204">
        <f>[16]BV!RHS395</f>
        <v>0</v>
      </c>
      <c r="RHI479" s="2204"/>
      <c r="RHJ479" s="2204"/>
      <c r="RHK479" s="2204">
        <f t="shared" si="223"/>
        <v>0</v>
      </c>
      <c r="RHL479" s="2204">
        <f>[16]BV!RHW395</f>
        <v>0</v>
      </c>
      <c r="RHM479" s="2204"/>
      <c r="RHN479" s="2204"/>
      <c r="RHO479" s="2204">
        <f t="shared" si="223"/>
        <v>0</v>
      </c>
      <c r="RHP479" s="2204">
        <f>[16]BV!RIA395</f>
        <v>0</v>
      </c>
      <c r="RHQ479" s="2204"/>
      <c r="RHR479" s="2204"/>
      <c r="RHS479" s="2204">
        <f t="shared" si="223"/>
        <v>0</v>
      </c>
      <c r="RHT479" s="2204">
        <f>[16]BV!RIE395</f>
        <v>0</v>
      </c>
      <c r="RHU479" s="2204"/>
      <c r="RHV479" s="2204"/>
      <c r="RHW479" s="2204">
        <f t="shared" si="223"/>
        <v>0</v>
      </c>
      <c r="RHX479" s="2204">
        <f>[16]BV!RII395</f>
        <v>0</v>
      </c>
      <c r="RHY479" s="2204"/>
      <c r="RHZ479" s="2204"/>
      <c r="RIA479" s="2204">
        <f t="shared" si="223"/>
        <v>0</v>
      </c>
      <c r="RIB479" s="2204">
        <f>[16]BV!RIM395</f>
        <v>0</v>
      </c>
      <c r="RIC479" s="2204"/>
      <c r="RID479" s="2204"/>
      <c r="RIE479" s="2204">
        <f t="shared" si="223"/>
        <v>0</v>
      </c>
      <c r="RIF479" s="2204">
        <f>[16]BV!RIQ395</f>
        <v>0</v>
      </c>
      <c r="RIG479" s="2204"/>
      <c r="RIH479" s="2204"/>
      <c r="RII479" s="2204">
        <f t="shared" si="223"/>
        <v>0</v>
      </c>
      <c r="RIJ479" s="2204">
        <f>[16]BV!RIU395</f>
        <v>0</v>
      </c>
      <c r="RIK479" s="2204"/>
      <c r="RIL479" s="2204"/>
      <c r="RIM479" s="2204">
        <f t="shared" si="223"/>
        <v>0</v>
      </c>
      <c r="RIN479" s="2204">
        <f>[16]BV!RIY395</f>
        <v>0</v>
      </c>
      <c r="RIO479" s="2204"/>
      <c r="RIP479" s="2204"/>
      <c r="RIQ479" s="2204">
        <f t="shared" ref="RIQ479:RKY479" si="224">RIN479</f>
        <v>0</v>
      </c>
      <c r="RIR479" s="2204">
        <f>[16]BV!RJC395</f>
        <v>0</v>
      </c>
      <c r="RIS479" s="2204"/>
      <c r="RIT479" s="2204"/>
      <c r="RIU479" s="2204">
        <f t="shared" si="224"/>
        <v>0</v>
      </c>
      <c r="RIV479" s="2204">
        <f>[16]BV!RJG395</f>
        <v>0</v>
      </c>
      <c r="RIW479" s="2204"/>
      <c r="RIX479" s="2204"/>
      <c r="RIY479" s="2204">
        <f t="shared" si="224"/>
        <v>0</v>
      </c>
      <c r="RIZ479" s="2204">
        <f>[16]BV!RJK395</f>
        <v>0</v>
      </c>
      <c r="RJA479" s="2204"/>
      <c r="RJB479" s="2204"/>
      <c r="RJC479" s="2204">
        <f t="shared" si="224"/>
        <v>0</v>
      </c>
      <c r="RJD479" s="2204">
        <f>[16]BV!RJO395</f>
        <v>0</v>
      </c>
      <c r="RJE479" s="2204"/>
      <c r="RJF479" s="2204"/>
      <c r="RJG479" s="2204">
        <f t="shared" si="224"/>
        <v>0</v>
      </c>
      <c r="RJH479" s="2204">
        <f>[16]BV!RJS395</f>
        <v>0</v>
      </c>
      <c r="RJI479" s="2204"/>
      <c r="RJJ479" s="2204"/>
      <c r="RJK479" s="2204">
        <f t="shared" si="224"/>
        <v>0</v>
      </c>
      <c r="RJL479" s="2204">
        <f>[16]BV!RJW395</f>
        <v>0</v>
      </c>
      <c r="RJM479" s="2204"/>
      <c r="RJN479" s="2204"/>
      <c r="RJO479" s="2204">
        <f t="shared" si="224"/>
        <v>0</v>
      </c>
      <c r="RJP479" s="2204">
        <f>[16]BV!RKA395</f>
        <v>0</v>
      </c>
      <c r="RJQ479" s="2204"/>
      <c r="RJR479" s="2204"/>
      <c r="RJS479" s="2204">
        <f t="shared" si="224"/>
        <v>0</v>
      </c>
      <c r="RJT479" s="2204">
        <f>[16]BV!RKE395</f>
        <v>0</v>
      </c>
      <c r="RJU479" s="2204"/>
      <c r="RJV479" s="2204"/>
      <c r="RJW479" s="2204">
        <f t="shared" si="224"/>
        <v>0</v>
      </c>
      <c r="RJX479" s="2204">
        <f>[16]BV!RKI395</f>
        <v>0</v>
      </c>
      <c r="RJY479" s="2204"/>
      <c r="RJZ479" s="2204"/>
      <c r="RKA479" s="2204">
        <f t="shared" si="224"/>
        <v>0</v>
      </c>
      <c r="RKB479" s="2204">
        <f>[16]BV!RKM395</f>
        <v>0</v>
      </c>
      <c r="RKC479" s="2204"/>
      <c r="RKD479" s="2204"/>
      <c r="RKE479" s="2204">
        <f t="shared" si="224"/>
        <v>0</v>
      </c>
      <c r="RKF479" s="2204">
        <f>[16]BV!RKQ395</f>
        <v>0</v>
      </c>
      <c r="RKG479" s="2204"/>
      <c r="RKH479" s="2204"/>
      <c r="RKI479" s="2204">
        <f t="shared" si="224"/>
        <v>0</v>
      </c>
      <c r="RKJ479" s="2204">
        <f>[16]BV!RKU395</f>
        <v>0</v>
      </c>
      <c r="RKK479" s="2204"/>
      <c r="RKL479" s="2204"/>
      <c r="RKM479" s="2204">
        <f t="shared" si="224"/>
        <v>0</v>
      </c>
      <c r="RKN479" s="2204">
        <f>[16]BV!RKY395</f>
        <v>0</v>
      </c>
      <c r="RKO479" s="2204"/>
      <c r="RKP479" s="2204"/>
      <c r="RKQ479" s="2204">
        <f t="shared" si="224"/>
        <v>0</v>
      </c>
      <c r="RKR479" s="2204">
        <f>[16]BV!RLC395</f>
        <v>0</v>
      </c>
      <c r="RKS479" s="2204"/>
      <c r="RKT479" s="2204"/>
      <c r="RKU479" s="2204">
        <f t="shared" si="224"/>
        <v>0</v>
      </c>
      <c r="RKV479" s="2204">
        <f>[16]BV!RLG395</f>
        <v>0</v>
      </c>
      <c r="RKW479" s="2204"/>
      <c r="RKX479" s="2204"/>
      <c r="RKY479" s="2204">
        <f t="shared" si="224"/>
        <v>0</v>
      </c>
      <c r="RKZ479" s="2204">
        <f>[16]BV!RLK395</f>
        <v>0</v>
      </c>
      <c r="RLA479" s="2204"/>
      <c r="RLB479" s="2204"/>
      <c r="RLC479" s="2204">
        <f t="shared" ref="RLC479:RNK479" si="225">RKZ479</f>
        <v>0</v>
      </c>
      <c r="RLD479" s="2204">
        <f>[16]BV!RLO395</f>
        <v>0</v>
      </c>
      <c r="RLE479" s="2204"/>
      <c r="RLF479" s="2204"/>
      <c r="RLG479" s="2204">
        <f t="shared" si="225"/>
        <v>0</v>
      </c>
      <c r="RLH479" s="2204">
        <f>[16]BV!RLS395</f>
        <v>0</v>
      </c>
      <c r="RLI479" s="2204"/>
      <c r="RLJ479" s="2204"/>
      <c r="RLK479" s="2204">
        <f t="shared" si="225"/>
        <v>0</v>
      </c>
      <c r="RLL479" s="2204">
        <f>[16]BV!RLW395</f>
        <v>0</v>
      </c>
      <c r="RLM479" s="2204"/>
      <c r="RLN479" s="2204"/>
      <c r="RLO479" s="2204">
        <f t="shared" si="225"/>
        <v>0</v>
      </c>
      <c r="RLP479" s="2204">
        <f>[16]BV!RMA395</f>
        <v>0</v>
      </c>
      <c r="RLQ479" s="2204"/>
      <c r="RLR479" s="2204"/>
      <c r="RLS479" s="2204">
        <f t="shared" si="225"/>
        <v>0</v>
      </c>
      <c r="RLT479" s="2204">
        <f>[16]BV!RME395</f>
        <v>0</v>
      </c>
      <c r="RLU479" s="2204"/>
      <c r="RLV479" s="2204"/>
      <c r="RLW479" s="2204">
        <f t="shared" si="225"/>
        <v>0</v>
      </c>
      <c r="RLX479" s="2204">
        <f>[16]BV!RMI395</f>
        <v>0</v>
      </c>
      <c r="RLY479" s="2204"/>
      <c r="RLZ479" s="2204"/>
      <c r="RMA479" s="2204">
        <f t="shared" si="225"/>
        <v>0</v>
      </c>
      <c r="RMB479" s="2204">
        <f>[16]BV!RMM395</f>
        <v>0</v>
      </c>
      <c r="RMC479" s="2204"/>
      <c r="RMD479" s="2204"/>
      <c r="RME479" s="2204">
        <f t="shared" si="225"/>
        <v>0</v>
      </c>
      <c r="RMF479" s="2204">
        <f>[16]BV!RMQ395</f>
        <v>0</v>
      </c>
      <c r="RMG479" s="2204"/>
      <c r="RMH479" s="2204"/>
      <c r="RMI479" s="2204">
        <f t="shared" si="225"/>
        <v>0</v>
      </c>
      <c r="RMJ479" s="2204">
        <f>[16]BV!RMU395</f>
        <v>0</v>
      </c>
      <c r="RMK479" s="2204"/>
      <c r="RML479" s="2204"/>
      <c r="RMM479" s="2204">
        <f t="shared" si="225"/>
        <v>0</v>
      </c>
      <c r="RMN479" s="2204">
        <f>[16]BV!RMY395</f>
        <v>0</v>
      </c>
      <c r="RMO479" s="2204"/>
      <c r="RMP479" s="2204"/>
      <c r="RMQ479" s="2204">
        <f t="shared" si="225"/>
        <v>0</v>
      </c>
      <c r="RMR479" s="2204">
        <f>[16]BV!RNC395</f>
        <v>0</v>
      </c>
      <c r="RMS479" s="2204"/>
      <c r="RMT479" s="2204"/>
      <c r="RMU479" s="2204">
        <f t="shared" si="225"/>
        <v>0</v>
      </c>
      <c r="RMV479" s="2204">
        <f>[16]BV!RNG395</f>
        <v>0</v>
      </c>
      <c r="RMW479" s="2204"/>
      <c r="RMX479" s="2204"/>
      <c r="RMY479" s="2204">
        <f t="shared" si="225"/>
        <v>0</v>
      </c>
      <c r="RMZ479" s="2204">
        <f>[16]BV!RNK395</f>
        <v>0</v>
      </c>
      <c r="RNA479" s="2204"/>
      <c r="RNB479" s="2204"/>
      <c r="RNC479" s="2204">
        <f t="shared" si="225"/>
        <v>0</v>
      </c>
      <c r="RND479" s="2204">
        <f>[16]BV!RNO395</f>
        <v>0</v>
      </c>
      <c r="RNE479" s="2204"/>
      <c r="RNF479" s="2204"/>
      <c r="RNG479" s="2204">
        <f t="shared" si="225"/>
        <v>0</v>
      </c>
      <c r="RNH479" s="2204">
        <f>[16]BV!RNS395</f>
        <v>0</v>
      </c>
      <c r="RNI479" s="2204"/>
      <c r="RNJ479" s="2204"/>
      <c r="RNK479" s="2204">
        <f t="shared" si="225"/>
        <v>0</v>
      </c>
      <c r="RNL479" s="2204">
        <f>[16]BV!RNW395</f>
        <v>0</v>
      </c>
      <c r="RNM479" s="2204"/>
      <c r="RNN479" s="2204"/>
      <c r="RNO479" s="2204">
        <f t="shared" ref="RNO479:RPW479" si="226">RNL479</f>
        <v>0</v>
      </c>
      <c r="RNP479" s="2204">
        <f>[16]BV!ROA395</f>
        <v>0</v>
      </c>
      <c r="RNQ479" s="2204"/>
      <c r="RNR479" s="2204"/>
      <c r="RNS479" s="2204">
        <f t="shared" si="226"/>
        <v>0</v>
      </c>
      <c r="RNT479" s="2204">
        <f>[16]BV!ROE395</f>
        <v>0</v>
      </c>
      <c r="RNU479" s="2204"/>
      <c r="RNV479" s="2204"/>
      <c r="RNW479" s="2204">
        <f t="shared" si="226"/>
        <v>0</v>
      </c>
      <c r="RNX479" s="2204">
        <f>[16]BV!ROI395</f>
        <v>0</v>
      </c>
      <c r="RNY479" s="2204"/>
      <c r="RNZ479" s="2204"/>
      <c r="ROA479" s="2204">
        <f t="shared" si="226"/>
        <v>0</v>
      </c>
      <c r="ROB479" s="2204">
        <f>[16]BV!ROM395</f>
        <v>0</v>
      </c>
      <c r="ROC479" s="2204"/>
      <c r="ROD479" s="2204"/>
      <c r="ROE479" s="2204">
        <f t="shared" si="226"/>
        <v>0</v>
      </c>
      <c r="ROF479" s="2204">
        <f>[16]BV!ROQ395</f>
        <v>0</v>
      </c>
      <c r="ROG479" s="2204"/>
      <c r="ROH479" s="2204"/>
      <c r="ROI479" s="2204">
        <f t="shared" si="226"/>
        <v>0</v>
      </c>
      <c r="ROJ479" s="2204">
        <f>[16]BV!ROU395</f>
        <v>0</v>
      </c>
      <c r="ROK479" s="2204"/>
      <c r="ROL479" s="2204"/>
      <c r="ROM479" s="2204">
        <f t="shared" si="226"/>
        <v>0</v>
      </c>
      <c r="RON479" s="2204">
        <f>[16]BV!ROY395</f>
        <v>0</v>
      </c>
      <c r="ROO479" s="2204"/>
      <c r="ROP479" s="2204"/>
      <c r="ROQ479" s="2204">
        <f t="shared" si="226"/>
        <v>0</v>
      </c>
      <c r="ROR479" s="2204">
        <f>[16]BV!RPC395</f>
        <v>0</v>
      </c>
      <c r="ROS479" s="2204"/>
      <c r="ROT479" s="2204"/>
      <c r="ROU479" s="2204">
        <f t="shared" si="226"/>
        <v>0</v>
      </c>
      <c r="ROV479" s="2204">
        <f>[16]BV!RPG395</f>
        <v>0</v>
      </c>
      <c r="ROW479" s="2204"/>
      <c r="ROX479" s="2204"/>
      <c r="ROY479" s="2204">
        <f t="shared" si="226"/>
        <v>0</v>
      </c>
      <c r="ROZ479" s="2204">
        <f>[16]BV!RPK395</f>
        <v>0</v>
      </c>
      <c r="RPA479" s="2204"/>
      <c r="RPB479" s="2204"/>
      <c r="RPC479" s="2204">
        <f t="shared" si="226"/>
        <v>0</v>
      </c>
      <c r="RPD479" s="2204">
        <f>[16]BV!RPO395</f>
        <v>0</v>
      </c>
      <c r="RPE479" s="2204"/>
      <c r="RPF479" s="2204"/>
      <c r="RPG479" s="2204">
        <f t="shared" si="226"/>
        <v>0</v>
      </c>
      <c r="RPH479" s="2204">
        <f>[16]BV!RPS395</f>
        <v>0</v>
      </c>
      <c r="RPI479" s="2204"/>
      <c r="RPJ479" s="2204"/>
      <c r="RPK479" s="2204">
        <f t="shared" si="226"/>
        <v>0</v>
      </c>
      <c r="RPL479" s="2204">
        <f>[16]BV!RPW395</f>
        <v>0</v>
      </c>
      <c r="RPM479" s="2204"/>
      <c r="RPN479" s="2204"/>
      <c r="RPO479" s="2204">
        <f t="shared" si="226"/>
        <v>0</v>
      </c>
      <c r="RPP479" s="2204">
        <f>[16]BV!RQA395</f>
        <v>0</v>
      </c>
      <c r="RPQ479" s="2204"/>
      <c r="RPR479" s="2204"/>
      <c r="RPS479" s="2204">
        <f t="shared" si="226"/>
        <v>0</v>
      </c>
      <c r="RPT479" s="2204">
        <f>[16]BV!RQE395</f>
        <v>0</v>
      </c>
      <c r="RPU479" s="2204"/>
      <c r="RPV479" s="2204"/>
      <c r="RPW479" s="2204">
        <f t="shared" si="226"/>
        <v>0</v>
      </c>
      <c r="RPX479" s="2204">
        <f>[16]BV!RQI395</f>
        <v>0</v>
      </c>
      <c r="RPY479" s="2204"/>
      <c r="RPZ479" s="2204"/>
      <c r="RQA479" s="2204">
        <f t="shared" ref="RQA479:RSI479" si="227">RPX479</f>
        <v>0</v>
      </c>
      <c r="RQB479" s="2204">
        <f>[16]BV!RQM395</f>
        <v>0</v>
      </c>
      <c r="RQC479" s="2204"/>
      <c r="RQD479" s="2204"/>
      <c r="RQE479" s="2204">
        <f t="shared" si="227"/>
        <v>0</v>
      </c>
      <c r="RQF479" s="2204">
        <f>[16]BV!RQQ395</f>
        <v>0</v>
      </c>
      <c r="RQG479" s="2204"/>
      <c r="RQH479" s="2204"/>
      <c r="RQI479" s="2204">
        <f t="shared" si="227"/>
        <v>0</v>
      </c>
      <c r="RQJ479" s="2204">
        <f>[16]BV!RQU395</f>
        <v>0</v>
      </c>
      <c r="RQK479" s="2204"/>
      <c r="RQL479" s="2204"/>
      <c r="RQM479" s="2204">
        <f t="shared" si="227"/>
        <v>0</v>
      </c>
      <c r="RQN479" s="2204">
        <f>[16]BV!RQY395</f>
        <v>0</v>
      </c>
      <c r="RQO479" s="2204"/>
      <c r="RQP479" s="2204"/>
      <c r="RQQ479" s="2204">
        <f t="shared" si="227"/>
        <v>0</v>
      </c>
      <c r="RQR479" s="2204">
        <f>[16]BV!RRC395</f>
        <v>0</v>
      </c>
      <c r="RQS479" s="2204"/>
      <c r="RQT479" s="2204"/>
      <c r="RQU479" s="2204">
        <f t="shared" si="227"/>
        <v>0</v>
      </c>
      <c r="RQV479" s="2204">
        <f>[16]BV!RRG395</f>
        <v>0</v>
      </c>
      <c r="RQW479" s="2204"/>
      <c r="RQX479" s="2204"/>
      <c r="RQY479" s="2204">
        <f t="shared" si="227"/>
        <v>0</v>
      </c>
      <c r="RQZ479" s="2204">
        <f>[16]BV!RRK395</f>
        <v>0</v>
      </c>
      <c r="RRA479" s="2204"/>
      <c r="RRB479" s="2204"/>
      <c r="RRC479" s="2204">
        <f t="shared" si="227"/>
        <v>0</v>
      </c>
      <c r="RRD479" s="2204">
        <f>[16]BV!RRO395</f>
        <v>0</v>
      </c>
      <c r="RRE479" s="2204"/>
      <c r="RRF479" s="2204"/>
      <c r="RRG479" s="2204">
        <f t="shared" si="227"/>
        <v>0</v>
      </c>
      <c r="RRH479" s="2204">
        <f>[16]BV!RRS395</f>
        <v>0</v>
      </c>
      <c r="RRI479" s="2204"/>
      <c r="RRJ479" s="2204"/>
      <c r="RRK479" s="2204">
        <f t="shared" si="227"/>
        <v>0</v>
      </c>
      <c r="RRL479" s="2204">
        <f>[16]BV!RRW395</f>
        <v>0</v>
      </c>
      <c r="RRM479" s="2204"/>
      <c r="RRN479" s="2204"/>
      <c r="RRO479" s="2204">
        <f t="shared" si="227"/>
        <v>0</v>
      </c>
      <c r="RRP479" s="2204">
        <f>[16]BV!RSA395</f>
        <v>0</v>
      </c>
      <c r="RRQ479" s="2204"/>
      <c r="RRR479" s="2204"/>
      <c r="RRS479" s="2204">
        <f t="shared" si="227"/>
        <v>0</v>
      </c>
      <c r="RRT479" s="2204">
        <f>[16]BV!RSE395</f>
        <v>0</v>
      </c>
      <c r="RRU479" s="2204"/>
      <c r="RRV479" s="2204"/>
      <c r="RRW479" s="2204">
        <f t="shared" si="227"/>
        <v>0</v>
      </c>
      <c r="RRX479" s="2204">
        <f>[16]BV!RSI395</f>
        <v>0</v>
      </c>
      <c r="RRY479" s="2204"/>
      <c r="RRZ479" s="2204"/>
      <c r="RSA479" s="2204">
        <f t="shared" si="227"/>
        <v>0</v>
      </c>
      <c r="RSB479" s="2204">
        <f>[16]BV!RSM395</f>
        <v>0</v>
      </c>
      <c r="RSC479" s="2204"/>
      <c r="RSD479" s="2204"/>
      <c r="RSE479" s="2204">
        <f t="shared" si="227"/>
        <v>0</v>
      </c>
      <c r="RSF479" s="2204">
        <f>[16]BV!RSQ395</f>
        <v>0</v>
      </c>
      <c r="RSG479" s="2204"/>
      <c r="RSH479" s="2204"/>
      <c r="RSI479" s="2204">
        <f t="shared" si="227"/>
        <v>0</v>
      </c>
      <c r="RSJ479" s="2204">
        <f>[16]BV!RSU395</f>
        <v>0</v>
      </c>
      <c r="RSK479" s="2204"/>
      <c r="RSL479" s="2204"/>
      <c r="RSM479" s="2204">
        <f t="shared" ref="RSM479:RUU479" si="228">RSJ479</f>
        <v>0</v>
      </c>
      <c r="RSN479" s="2204">
        <f>[16]BV!RSY395</f>
        <v>0</v>
      </c>
      <c r="RSO479" s="2204"/>
      <c r="RSP479" s="2204"/>
      <c r="RSQ479" s="2204">
        <f t="shared" si="228"/>
        <v>0</v>
      </c>
      <c r="RSR479" s="2204">
        <f>[16]BV!RTC395</f>
        <v>0</v>
      </c>
      <c r="RSS479" s="2204"/>
      <c r="RST479" s="2204"/>
      <c r="RSU479" s="2204">
        <f t="shared" si="228"/>
        <v>0</v>
      </c>
      <c r="RSV479" s="2204">
        <f>[16]BV!RTG395</f>
        <v>0</v>
      </c>
      <c r="RSW479" s="2204"/>
      <c r="RSX479" s="2204"/>
      <c r="RSY479" s="2204">
        <f t="shared" si="228"/>
        <v>0</v>
      </c>
      <c r="RSZ479" s="2204">
        <f>[16]BV!RTK395</f>
        <v>0</v>
      </c>
      <c r="RTA479" s="2204"/>
      <c r="RTB479" s="2204"/>
      <c r="RTC479" s="2204">
        <f t="shared" si="228"/>
        <v>0</v>
      </c>
      <c r="RTD479" s="2204">
        <f>[16]BV!RTO395</f>
        <v>0</v>
      </c>
      <c r="RTE479" s="2204"/>
      <c r="RTF479" s="2204"/>
      <c r="RTG479" s="2204">
        <f t="shared" si="228"/>
        <v>0</v>
      </c>
      <c r="RTH479" s="2204">
        <f>[16]BV!RTS395</f>
        <v>0</v>
      </c>
      <c r="RTI479" s="2204"/>
      <c r="RTJ479" s="2204"/>
      <c r="RTK479" s="2204">
        <f t="shared" si="228"/>
        <v>0</v>
      </c>
      <c r="RTL479" s="2204">
        <f>[16]BV!RTW395</f>
        <v>0</v>
      </c>
      <c r="RTM479" s="2204"/>
      <c r="RTN479" s="2204"/>
      <c r="RTO479" s="2204">
        <f t="shared" si="228"/>
        <v>0</v>
      </c>
      <c r="RTP479" s="2204">
        <f>[16]BV!RUA395</f>
        <v>0</v>
      </c>
      <c r="RTQ479" s="2204"/>
      <c r="RTR479" s="2204"/>
      <c r="RTS479" s="2204">
        <f t="shared" si="228"/>
        <v>0</v>
      </c>
      <c r="RTT479" s="2204">
        <f>[16]BV!RUE395</f>
        <v>0</v>
      </c>
      <c r="RTU479" s="2204"/>
      <c r="RTV479" s="2204"/>
      <c r="RTW479" s="2204">
        <f t="shared" si="228"/>
        <v>0</v>
      </c>
      <c r="RTX479" s="2204">
        <f>[16]BV!RUI395</f>
        <v>0</v>
      </c>
      <c r="RTY479" s="2204"/>
      <c r="RTZ479" s="2204"/>
      <c r="RUA479" s="2204">
        <f t="shared" si="228"/>
        <v>0</v>
      </c>
      <c r="RUB479" s="2204">
        <f>[16]BV!RUM395</f>
        <v>0</v>
      </c>
      <c r="RUC479" s="2204"/>
      <c r="RUD479" s="2204"/>
      <c r="RUE479" s="2204">
        <f t="shared" si="228"/>
        <v>0</v>
      </c>
      <c r="RUF479" s="2204">
        <f>[16]BV!RUQ395</f>
        <v>0</v>
      </c>
      <c r="RUG479" s="2204"/>
      <c r="RUH479" s="2204"/>
      <c r="RUI479" s="2204">
        <f t="shared" si="228"/>
        <v>0</v>
      </c>
      <c r="RUJ479" s="2204">
        <f>[16]BV!RUU395</f>
        <v>0</v>
      </c>
      <c r="RUK479" s="2204"/>
      <c r="RUL479" s="2204"/>
      <c r="RUM479" s="2204">
        <f t="shared" si="228"/>
        <v>0</v>
      </c>
      <c r="RUN479" s="2204">
        <f>[16]BV!RUY395</f>
        <v>0</v>
      </c>
      <c r="RUO479" s="2204"/>
      <c r="RUP479" s="2204"/>
      <c r="RUQ479" s="2204">
        <f t="shared" si="228"/>
        <v>0</v>
      </c>
      <c r="RUR479" s="2204">
        <f>[16]BV!RVC395</f>
        <v>0</v>
      </c>
      <c r="RUS479" s="2204"/>
      <c r="RUT479" s="2204"/>
      <c r="RUU479" s="2204">
        <f t="shared" si="228"/>
        <v>0</v>
      </c>
      <c r="RUV479" s="2204">
        <f>[16]BV!RVG395</f>
        <v>0</v>
      </c>
      <c r="RUW479" s="2204"/>
      <c r="RUX479" s="2204"/>
      <c r="RUY479" s="2204">
        <f t="shared" ref="RUY479:RXG479" si="229">RUV479</f>
        <v>0</v>
      </c>
      <c r="RUZ479" s="2204">
        <f>[16]BV!RVK395</f>
        <v>0</v>
      </c>
      <c r="RVA479" s="2204"/>
      <c r="RVB479" s="2204"/>
      <c r="RVC479" s="2204">
        <f t="shared" si="229"/>
        <v>0</v>
      </c>
      <c r="RVD479" s="2204">
        <f>[16]BV!RVO395</f>
        <v>0</v>
      </c>
      <c r="RVE479" s="2204"/>
      <c r="RVF479" s="2204"/>
      <c r="RVG479" s="2204">
        <f t="shared" si="229"/>
        <v>0</v>
      </c>
      <c r="RVH479" s="2204">
        <f>[16]BV!RVS395</f>
        <v>0</v>
      </c>
      <c r="RVI479" s="2204"/>
      <c r="RVJ479" s="2204"/>
      <c r="RVK479" s="2204">
        <f t="shared" si="229"/>
        <v>0</v>
      </c>
      <c r="RVL479" s="2204">
        <f>[16]BV!RVW395</f>
        <v>0</v>
      </c>
      <c r="RVM479" s="2204"/>
      <c r="RVN479" s="2204"/>
      <c r="RVO479" s="2204">
        <f t="shared" si="229"/>
        <v>0</v>
      </c>
      <c r="RVP479" s="2204">
        <f>[16]BV!RWA395</f>
        <v>0</v>
      </c>
      <c r="RVQ479" s="2204"/>
      <c r="RVR479" s="2204"/>
      <c r="RVS479" s="2204">
        <f t="shared" si="229"/>
        <v>0</v>
      </c>
      <c r="RVT479" s="2204">
        <f>[16]BV!RWE395</f>
        <v>0</v>
      </c>
      <c r="RVU479" s="2204"/>
      <c r="RVV479" s="2204"/>
      <c r="RVW479" s="2204">
        <f t="shared" si="229"/>
        <v>0</v>
      </c>
      <c r="RVX479" s="2204">
        <f>[16]BV!RWI395</f>
        <v>0</v>
      </c>
      <c r="RVY479" s="2204"/>
      <c r="RVZ479" s="2204"/>
      <c r="RWA479" s="2204">
        <f t="shared" si="229"/>
        <v>0</v>
      </c>
      <c r="RWB479" s="2204">
        <f>[16]BV!RWM395</f>
        <v>0</v>
      </c>
      <c r="RWC479" s="2204"/>
      <c r="RWD479" s="2204"/>
      <c r="RWE479" s="2204">
        <f t="shared" si="229"/>
        <v>0</v>
      </c>
      <c r="RWF479" s="2204">
        <f>[16]BV!RWQ395</f>
        <v>0</v>
      </c>
      <c r="RWG479" s="2204"/>
      <c r="RWH479" s="2204"/>
      <c r="RWI479" s="2204">
        <f t="shared" si="229"/>
        <v>0</v>
      </c>
      <c r="RWJ479" s="2204">
        <f>[16]BV!RWU395</f>
        <v>0</v>
      </c>
      <c r="RWK479" s="2204"/>
      <c r="RWL479" s="2204"/>
      <c r="RWM479" s="2204">
        <f t="shared" si="229"/>
        <v>0</v>
      </c>
      <c r="RWN479" s="2204">
        <f>[16]BV!RWY395</f>
        <v>0</v>
      </c>
      <c r="RWO479" s="2204"/>
      <c r="RWP479" s="2204"/>
      <c r="RWQ479" s="2204">
        <f t="shared" si="229"/>
        <v>0</v>
      </c>
      <c r="RWR479" s="2204">
        <f>[16]BV!RXC395</f>
        <v>0</v>
      </c>
      <c r="RWS479" s="2204"/>
      <c r="RWT479" s="2204"/>
      <c r="RWU479" s="2204">
        <f t="shared" si="229"/>
        <v>0</v>
      </c>
      <c r="RWV479" s="2204">
        <f>[16]BV!RXG395</f>
        <v>0</v>
      </c>
      <c r="RWW479" s="2204"/>
      <c r="RWX479" s="2204"/>
      <c r="RWY479" s="2204">
        <f t="shared" si="229"/>
        <v>0</v>
      </c>
      <c r="RWZ479" s="2204">
        <f>[16]BV!RXK395</f>
        <v>0</v>
      </c>
      <c r="RXA479" s="2204"/>
      <c r="RXB479" s="2204"/>
      <c r="RXC479" s="2204">
        <f t="shared" si="229"/>
        <v>0</v>
      </c>
      <c r="RXD479" s="2204">
        <f>[16]BV!RXO395</f>
        <v>0</v>
      </c>
      <c r="RXE479" s="2204"/>
      <c r="RXF479" s="2204"/>
      <c r="RXG479" s="2204">
        <f t="shared" si="229"/>
        <v>0</v>
      </c>
      <c r="RXH479" s="2204">
        <f>[16]BV!RXS395</f>
        <v>0</v>
      </c>
      <c r="RXI479" s="2204"/>
      <c r="RXJ479" s="2204"/>
      <c r="RXK479" s="2204">
        <f t="shared" ref="RXK479:RZS479" si="230">RXH479</f>
        <v>0</v>
      </c>
      <c r="RXL479" s="2204">
        <f>[16]BV!RXW395</f>
        <v>0</v>
      </c>
      <c r="RXM479" s="2204"/>
      <c r="RXN479" s="2204"/>
      <c r="RXO479" s="2204">
        <f t="shared" si="230"/>
        <v>0</v>
      </c>
      <c r="RXP479" s="2204">
        <f>[16]BV!RYA395</f>
        <v>0</v>
      </c>
      <c r="RXQ479" s="2204"/>
      <c r="RXR479" s="2204"/>
      <c r="RXS479" s="2204">
        <f t="shared" si="230"/>
        <v>0</v>
      </c>
      <c r="RXT479" s="2204">
        <f>[16]BV!RYE395</f>
        <v>0</v>
      </c>
      <c r="RXU479" s="2204"/>
      <c r="RXV479" s="2204"/>
      <c r="RXW479" s="2204">
        <f t="shared" si="230"/>
        <v>0</v>
      </c>
      <c r="RXX479" s="2204">
        <f>[16]BV!RYI395</f>
        <v>0</v>
      </c>
      <c r="RXY479" s="2204"/>
      <c r="RXZ479" s="2204"/>
      <c r="RYA479" s="2204">
        <f t="shared" si="230"/>
        <v>0</v>
      </c>
      <c r="RYB479" s="2204">
        <f>[16]BV!RYM395</f>
        <v>0</v>
      </c>
      <c r="RYC479" s="2204"/>
      <c r="RYD479" s="2204"/>
      <c r="RYE479" s="2204">
        <f t="shared" si="230"/>
        <v>0</v>
      </c>
      <c r="RYF479" s="2204">
        <f>[16]BV!RYQ395</f>
        <v>0</v>
      </c>
      <c r="RYG479" s="2204"/>
      <c r="RYH479" s="2204"/>
      <c r="RYI479" s="2204">
        <f t="shared" si="230"/>
        <v>0</v>
      </c>
      <c r="RYJ479" s="2204">
        <f>[16]BV!RYU395</f>
        <v>0</v>
      </c>
      <c r="RYK479" s="2204"/>
      <c r="RYL479" s="2204"/>
      <c r="RYM479" s="2204">
        <f t="shared" si="230"/>
        <v>0</v>
      </c>
      <c r="RYN479" s="2204">
        <f>[16]BV!RYY395</f>
        <v>0</v>
      </c>
      <c r="RYO479" s="2204"/>
      <c r="RYP479" s="2204"/>
      <c r="RYQ479" s="2204">
        <f t="shared" si="230"/>
        <v>0</v>
      </c>
      <c r="RYR479" s="2204">
        <f>[16]BV!RZC395</f>
        <v>0</v>
      </c>
      <c r="RYS479" s="2204"/>
      <c r="RYT479" s="2204"/>
      <c r="RYU479" s="2204">
        <f t="shared" si="230"/>
        <v>0</v>
      </c>
      <c r="RYV479" s="2204">
        <f>[16]BV!RZG395</f>
        <v>0</v>
      </c>
      <c r="RYW479" s="2204"/>
      <c r="RYX479" s="2204"/>
      <c r="RYY479" s="2204">
        <f t="shared" si="230"/>
        <v>0</v>
      </c>
      <c r="RYZ479" s="2204">
        <f>[16]BV!RZK395</f>
        <v>0</v>
      </c>
      <c r="RZA479" s="2204"/>
      <c r="RZB479" s="2204"/>
      <c r="RZC479" s="2204">
        <f t="shared" si="230"/>
        <v>0</v>
      </c>
      <c r="RZD479" s="2204">
        <f>[16]BV!RZO395</f>
        <v>0</v>
      </c>
      <c r="RZE479" s="2204"/>
      <c r="RZF479" s="2204"/>
      <c r="RZG479" s="2204">
        <f t="shared" si="230"/>
        <v>0</v>
      </c>
      <c r="RZH479" s="2204">
        <f>[16]BV!RZS395</f>
        <v>0</v>
      </c>
      <c r="RZI479" s="2204"/>
      <c r="RZJ479" s="2204"/>
      <c r="RZK479" s="2204">
        <f t="shared" si="230"/>
        <v>0</v>
      </c>
      <c r="RZL479" s="2204">
        <f>[16]BV!RZW395</f>
        <v>0</v>
      </c>
      <c r="RZM479" s="2204"/>
      <c r="RZN479" s="2204"/>
      <c r="RZO479" s="2204">
        <f t="shared" si="230"/>
        <v>0</v>
      </c>
      <c r="RZP479" s="2204">
        <f>[16]BV!SAA395</f>
        <v>0</v>
      </c>
      <c r="RZQ479" s="2204"/>
      <c r="RZR479" s="2204"/>
      <c r="RZS479" s="2204">
        <f t="shared" si="230"/>
        <v>0</v>
      </c>
      <c r="RZT479" s="2204">
        <f>[16]BV!SAE395</f>
        <v>0</v>
      </c>
      <c r="RZU479" s="2204"/>
      <c r="RZV479" s="2204"/>
      <c r="RZW479" s="2204">
        <f t="shared" ref="RZW479:SCE479" si="231">RZT479</f>
        <v>0</v>
      </c>
      <c r="RZX479" s="2204">
        <f>[16]BV!SAI395</f>
        <v>0</v>
      </c>
      <c r="RZY479" s="2204"/>
      <c r="RZZ479" s="2204"/>
      <c r="SAA479" s="2204">
        <f t="shared" si="231"/>
        <v>0</v>
      </c>
      <c r="SAB479" s="2204">
        <f>[16]BV!SAM395</f>
        <v>0</v>
      </c>
      <c r="SAC479" s="2204"/>
      <c r="SAD479" s="2204"/>
      <c r="SAE479" s="2204">
        <f t="shared" si="231"/>
        <v>0</v>
      </c>
      <c r="SAF479" s="2204">
        <f>[16]BV!SAQ395</f>
        <v>0</v>
      </c>
      <c r="SAG479" s="2204"/>
      <c r="SAH479" s="2204"/>
      <c r="SAI479" s="2204">
        <f t="shared" si="231"/>
        <v>0</v>
      </c>
      <c r="SAJ479" s="2204">
        <f>[16]BV!SAU395</f>
        <v>0</v>
      </c>
      <c r="SAK479" s="2204"/>
      <c r="SAL479" s="2204"/>
      <c r="SAM479" s="2204">
        <f t="shared" si="231"/>
        <v>0</v>
      </c>
      <c r="SAN479" s="2204">
        <f>[16]BV!SAY395</f>
        <v>0</v>
      </c>
      <c r="SAO479" s="2204"/>
      <c r="SAP479" s="2204"/>
      <c r="SAQ479" s="2204">
        <f t="shared" si="231"/>
        <v>0</v>
      </c>
      <c r="SAR479" s="2204">
        <f>[16]BV!SBC395</f>
        <v>0</v>
      </c>
      <c r="SAS479" s="2204"/>
      <c r="SAT479" s="2204"/>
      <c r="SAU479" s="2204">
        <f t="shared" si="231"/>
        <v>0</v>
      </c>
      <c r="SAV479" s="2204">
        <f>[16]BV!SBG395</f>
        <v>0</v>
      </c>
      <c r="SAW479" s="2204"/>
      <c r="SAX479" s="2204"/>
      <c r="SAY479" s="2204">
        <f t="shared" si="231"/>
        <v>0</v>
      </c>
      <c r="SAZ479" s="2204">
        <f>[16]BV!SBK395</f>
        <v>0</v>
      </c>
      <c r="SBA479" s="2204"/>
      <c r="SBB479" s="2204"/>
      <c r="SBC479" s="2204">
        <f t="shared" si="231"/>
        <v>0</v>
      </c>
      <c r="SBD479" s="2204">
        <f>[16]BV!SBO395</f>
        <v>0</v>
      </c>
      <c r="SBE479" s="2204"/>
      <c r="SBF479" s="2204"/>
      <c r="SBG479" s="2204">
        <f t="shared" si="231"/>
        <v>0</v>
      </c>
      <c r="SBH479" s="2204">
        <f>[16]BV!SBS395</f>
        <v>0</v>
      </c>
      <c r="SBI479" s="2204"/>
      <c r="SBJ479" s="2204"/>
      <c r="SBK479" s="2204">
        <f t="shared" si="231"/>
        <v>0</v>
      </c>
      <c r="SBL479" s="2204">
        <f>[16]BV!SBW395</f>
        <v>0</v>
      </c>
      <c r="SBM479" s="2204"/>
      <c r="SBN479" s="2204"/>
      <c r="SBO479" s="2204">
        <f t="shared" si="231"/>
        <v>0</v>
      </c>
      <c r="SBP479" s="2204">
        <f>[16]BV!SCA395</f>
        <v>0</v>
      </c>
      <c r="SBQ479" s="2204"/>
      <c r="SBR479" s="2204"/>
      <c r="SBS479" s="2204">
        <f t="shared" si="231"/>
        <v>0</v>
      </c>
      <c r="SBT479" s="2204">
        <f>[16]BV!SCE395</f>
        <v>0</v>
      </c>
      <c r="SBU479" s="2204"/>
      <c r="SBV479" s="2204"/>
      <c r="SBW479" s="2204">
        <f t="shared" si="231"/>
        <v>0</v>
      </c>
      <c r="SBX479" s="2204">
        <f>[16]BV!SCI395</f>
        <v>0</v>
      </c>
      <c r="SBY479" s="2204"/>
      <c r="SBZ479" s="2204"/>
      <c r="SCA479" s="2204">
        <f t="shared" si="231"/>
        <v>0</v>
      </c>
      <c r="SCB479" s="2204">
        <f>[16]BV!SCM395</f>
        <v>0</v>
      </c>
      <c r="SCC479" s="2204"/>
      <c r="SCD479" s="2204"/>
      <c r="SCE479" s="2204">
        <f t="shared" si="231"/>
        <v>0</v>
      </c>
      <c r="SCF479" s="2204">
        <f>[16]BV!SCQ395</f>
        <v>0</v>
      </c>
      <c r="SCG479" s="2204"/>
      <c r="SCH479" s="2204"/>
      <c r="SCI479" s="2204">
        <f t="shared" ref="SCI479:SEQ479" si="232">SCF479</f>
        <v>0</v>
      </c>
      <c r="SCJ479" s="2204">
        <f>[16]BV!SCU395</f>
        <v>0</v>
      </c>
      <c r="SCK479" s="2204"/>
      <c r="SCL479" s="2204"/>
      <c r="SCM479" s="2204">
        <f t="shared" si="232"/>
        <v>0</v>
      </c>
      <c r="SCN479" s="2204">
        <f>[16]BV!SCY395</f>
        <v>0</v>
      </c>
      <c r="SCO479" s="2204"/>
      <c r="SCP479" s="2204"/>
      <c r="SCQ479" s="2204">
        <f t="shared" si="232"/>
        <v>0</v>
      </c>
      <c r="SCR479" s="2204">
        <f>[16]BV!SDC395</f>
        <v>0</v>
      </c>
      <c r="SCS479" s="2204"/>
      <c r="SCT479" s="2204"/>
      <c r="SCU479" s="2204">
        <f t="shared" si="232"/>
        <v>0</v>
      </c>
      <c r="SCV479" s="2204">
        <f>[16]BV!SDG395</f>
        <v>0</v>
      </c>
      <c r="SCW479" s="2204"/>
      <c r="SCX479" s="2204"/>
      <c r="SCY479" s="2204">
        <f t="shared" si="232"/>
        <v>0</v>
      </c>
      <c r="SCZ479" s="2204">
        <f>[16]BV!SDK395</f>
        <v>0</v>
      </c>
      <c r="SDA479" s="2204"/>
      <c r="SDB479" s="2204"/>
      <c r="SDC479" s="2204">
        <f t="shared" si="232"/>
        <v>0</v>
      </c>
      <c r="SDD479" s="2204">
        <f>[16]BV!SDO395</f>
        <v>0</v>
      </c>
      <c r="SDE479" s="2204"/>
      <c r="SDF479" s="2204"/>
      <c r="SDG479" s="2204">
        <f t="shared" si="232"/>
        <v>0</v>
      </c>
      <c r="SDH479" s="2204">
        <f>[16]BV!SDS395</f>
        <v>0</v>
      </c>
      <c r="SDI479" s="2204"/>
      <c r="SDJ479" s="2204"/>
      <c r="SDK479" s="2204">
        <f t="shared" si="232"/>
        <v>0</v>
      </c>
      <c r="SDL479" s="2204">
        <f>[16]BV!SDW395</f>
        <v>0</v>
      </c>
      <c r="SDM479" s="2204"/>
      <c r="SDN479" s="2204"/>
      <c r="SDO479" s="2204">
        <f t="shared" si="232"/>
        <v>0</v>
      </c>
      <c r="SDP479" s="2204">
        <f>[16]BV!SEA395</f>
        <v>0</v>
      </c>
      <c r="SDQ479" s="2204"/>
      <c r="SDR479" s="2204"/>
      <c r="SDS479" s="2204">
        <f t="shared" si="232"/>
        <v>0</v>
      </c>
      <c r="SDT479" s="2204">
        <f>[16]BV!SEE395</f>
        <v>0</v>
      </c>
      <c r="SDU479" s="2204"/>
      <c r="SDV479" s="2204"/>
      <c r="SDW479" s="2204">
        <f t="shared" si="232"/>
        <v>0</v>
      </c>
      <c r="SDX479" s="2204">
        <f>[16]BV!SEI395</f>
        <v>0</v>
      </c>
      <c r="SDY479" s="2204"/>
      <c r="SDZ479" s="2204"/>
      <c r="SEA479" s="2204">
        <f t="shared" si="232"/>
        <v>0</v>
      </c>
      <c r="SEB479" s="2204">
        <f>[16]BV!SEM395</f>
        <v>0</v>
      </c>
      <c r="SEC479" s="2204"/>
      <c r="SED479" s="2204"/>
      <c r="SEE479" s="2204">
        <f t="shared" si="232"/>
        <v>0</v>
      </c>
      <c r="SEF479" s="2204">
        <f>[16]BV!SEQ395</f>
        <v>0</v>
      </c>
      <c r="SEG479" s="2204"/>
      <c r="SEH479" s="2204"/>
      <c r="SEI479" s="2204">
        <f t="shared" si="232"/>
        <v>0</v>
      </c>
      <c r="SEJ479" s="2204">
        <f>[16]BV!SEU395</f>
        <v>0</v>
      </c>
      <c r="SEK479" s="2204"/>
      <c r="SEL479" s="2204"/>
      <c r="SEM479" s="2204">
        <f t="shared" si="232"/>
        <v>0</v>
      </c>
      <c r="SEN479" s="2204">
        <f>[16]BV!SEY395</f>
        <v>0</v>
      </c>
      <c r="SEO479" s="2204"/>
      <c r="SEP479" s="2204"/>
      <c r="SEQ479" s="2204">
        <f t="shared" si="232"/>
        <v>0</v>
      </c>
      <c r="SER479" s="2204">
        <f>[16]BV!SFC395</f>
        <v>0</v>
      </c>
      <c r="SES479" s="2204"/>
      <c r="SET479" s="2204"/>
      <c r="SEU479" s="2204">
        <f t="shared" ref="SEU479:SHC479" si="233">SER479</f>
        <v>0</v>
      </c>
      <c r="SEV479" s="2204">
        <f>[16]BV!SFG395</f>
        <v>0</v>
      </c>
      <c r="SEW479" s="2204"/>
      <c r="SEX479" s="2204"/>
      <c r="SEY479" s="2204">
        <f t="shared" si="233"/>
        <v>0</v>
      </c>
      <c r="SEZ479" s="2204">
        <f>[16]BV!SFK395</f>
        <v>0</v>
      </c>
      <c r="SFA479" s="2204"/>
      <c r="SFB479" s="2204"/>
      <c r="SFC479" s="2204">
        <f t="shared" si="233"/>
        <v>0</v>
      </c>
      <c r="SFD479" s="2204">
        <f>[16]BV!SFO395</f>
        <v>0</v>
      </c>
      <c r="SFE479" s="2204"/>
      <c r="SFF479" s="2204"/>
      <c r="SFG479" s="2204">
        <f t="shared" si="233"/>
        <v>0</v>
      </c>
      <c r="SFH479" s="2204">
        <f>[16]BV!SFS395</f>
        <v>0</v>
      </c>
      <c r="SFI479" s="2204"/>
      <c r="SFJ479" s="2204"/>
      <c r="SFK479" s="2204">
        <f t="shared" si="233"/>
        <v>0</v>
      </c>
      <c r="SFL479" s="2204">
        <f>[16]BV!SFW395</f>
        <v>0</v>
      </c>
      <c r="SFM479" s="2204"/>
      <c r="SFN479" s="2204"/>
      <c r="SFO479" s="2204">
        <f t="shared" si="233"/>
        <v>0</v>
      </c>
      <c r="SFP479" s="2204">
        <f>[16]BV!SGA395</f>
        <v>0</v>
      </c>
      <c r="SFQ479" s="2204"/>
      <c r="SFR479" s="2204"/>
      <c r="SFS479" s="2204">
        <f t="shared" si="233"/>
        <v>0</v>
      </c>
      <c r="SFT479" s="2204">
        <f>[16]BV!SGE395</f>
        <v>0</v>
      </c>
      <c r="SFU479" s="2204"/>
      <c r="SFV479" s="2204"/>
      <c r="SFW479" s="2204">
        <f t="shared" si="233"/>
        <v>0</v>
      </c>
      <c r="SFX479" s="2204">
        <f>[16]BV!SGI395</f>
        <v>0</v>
      </c>
      <c r="SFY479" s="2204"/>
      <c r="SFZ479" s="2204"/>
      <c r="SGA479" s="2204">
        <f t="shared" si="233"/>
        <v>0</v>
      </c>
      <c r="SGB479" s="2204">
        <f>[16]BV!SGM395</f>
        <v>0</v>
      </c>
      <c r="SGC479" s="2204"/>
      <c r="SGD479" s="2204"/>
      <c r="SGE479" s="2204">
        <f t="shared" si="233"/>
        <v>0</v>
      </c>
      <c r="SGF479" s="2204">
        <f>[16]BV!SGQ395</f>
        <v>0</v>
      </c>
      <c r="SGG479" s="2204"/>
      <c r="SGH479" s="2204"/>
      <c r="SGI479" s="2204">
        <f t="shared" si="233"/>
        <v>0</v>
      </c>
      <c r="SGJ479" s="2204">
        <f>[16]BV!SGU395</f>
        <v>0</v>
      </c>
      <c r="SGK479" s="2204"/>
      <c r="SGL479" s="2204"/>
      <c r="SGM479" s="2204">
        <f t="shared" si="233"/>
        <v>0</v>
      </c>
      <c r="SGN479" s="2204">
        <f>[16]BV!SGY395</f>
        <v>0</v>
      </c>
      <c r="SGO479" s="2204"/>
      <c r="SGP479" s="2204"/>
      <c r="SGQ479" s="2204">
        <f t="shared" si="233"/>
        <v>0</v>
      </c>
      <c r="SGR479" s="2204">
        <f>[16]BV!SHC395</f>
        <v>0</v>
      </c>
      <c r="SGS479" s="2204"/>
      <c r="SGT479" s="2204"/>
      <c r="SGU479" s="2204">
        <f t="shared" si="233"/>
        <v>0</v>
      </c>
      <c r="SGV479" s="2204">
        <f>[16]BV!SHG395</f>
        <v>0</v>
      </c>
      <c r="SGW479" s="2204"/>
      <c r="SGX479" s="2204"/>
      <c r="SGY479" s="2204">
        <f t="shared" si="233"/>
        <v>0</v>
      </c>
      <c r="SGZ479" s="2204">
        <f>[16]BV!SHK395</f>
        <v>0</v>
      </c>
      <c r="SHA479" s="2204"/>
      <c r="SHB479" s="2204"/>
      <c r="SHC479" s="2204">
        <f t="shared" si="233"/>
        <v>0</v>
      </c>
      <c r="SHD479" s="2204">
        <f>[16]BV!SHO395</f>
        <v>0</v>
      </c>
      <c r="SHE479" s="2204"/>
      <c r="SHF479" s="2204"/>
      <c r="SHG479" s="2204">
        <f t="shared" ref="SHG479:SJO479" si="234">SHD479</f>
        <v>0</v>
      </c>
      <c r="SHH479" s="2204">
        <f>[16]BV!SHS395</f>
        <v>0</v>
      </c>
      <c r="SHI479" s="2204"/>
      <c r="SHJ479" s="2204"/>
      <c r="SHK479" s="2204">
        <f t="shared" si="234"/>
        <v>0</v>
      </c>
      <c r="SHL479" s="2204">
        <f>[16]BV!SHW395</f>
        <v>0</v>
      </c>
      <c r="SHM479" s="2204"/>
      <c r="SHN479" s="2204"/>
      <c r="SHO479" s="2204">
        <f t="shared" si="234"/>
        <v>0</v>
      </c>
      <c r="SHP479" s="2204">
        <f>[16]BV!SIA395</f>
        <v>0</v>
      </c>
      <c r="SHQ479" s="2204"/>
      <c r="SHR479" s="2204"/>
      <c r="SHS479" s="2204">
        <f t="shared" si="234"/>
        <v>0</v>
      </c>
      <c r="SHT479" s="2204">
        <f>[16]BV!SIE395</f>
        <v>0</v>
      </c>
      <c r="SHU479" s="2204"/>
      <c r="SHV479" s="2204"/>
      <c r="SHW479" s="2204">
        <f t="shared" si="234"/>
        <v>0</v>
      </c>
      <c r="SHX479" s="2204">
        <f>[16]BV!SII395</f>
        <v>0</v>
      </c>
      <c r="SHY479" s="2204"/>
      <c r="SHZ479" s="2204"/>
      <c r="SIA479" s="2204">
        <f t="shared" si="234"/>
        <v>0</v>
      </c>
      <c r="SIB479" s="2204">
        <f>[16]BV!SIM395</f>
        <v>0</v>
      </c>
      <c r="SIC479" s="2204"/>
      <c r="SID479" s="2204"/>
      <c r="SIE479" s="2204">
        <f t="shared" si="234"/>
        <v>0</v>
      </c>
      <c r="SIF479" s="2204">
        <f>[16]BV!SIQ395</f>
        <v>0</v>
      </c>
      <c r="SIG479" s="2204"/>
      <c r="SIH479" s="2204"/>
      <c r="SII479" s="2204">
        <f t="shared" si="234"/>
        <v>0</v>
      </c>
      <c r="SIJ479" s="2204">
        <f>[16]BV!SIU395</f>
        <v>0</v>
      </c>
      <c r="SIK479" s="2204"/>
      <c r="SIL479" s="2204"/>
      <c r="SIM479" s="2204">
        <f t="shared" si="234"/>
        <v>0</v>
      </c>
      <c r="SIN479" s="2204">
        <f>[16]BV!SIY395</f>
        <v>0</v>
      </c>
      <c r="SIO479" s="2204"/>
      <c r="SIP479" s="2204"/>
      <c r="SIQ479" s="2204">
        <f t="shared" si="234"/>
        <v>0</v>
      </c>
      <c r="SIR479" s="2204">
        <f>[16]BV!SJC395</f>
        <v>0</v>
      </c>
      <c r="SIS479" s="2204"/>
      <c r="SIT479" s="2204"/>
      <c r="SIU479" s="2204">
        <f t="shared" si="234"/>
        <v>0</v>
      </c>
      <c r="SIV479" s="2204">
        <f>[16]BV!SJG395</f>
        <v>0</v>
      </c>
      <c r="SIW479" s="2204"/>
      <c r="SIX479" s="2204"/>
      <c r="SIY479" s="2204">
        <f t="shared" si="234"/>
        <v>0</v>
      </c>
      <c r="SIZ479" s="2204">
        <f>[16]BV!SJK395</f>
        <v>0</v>
      </c>
      <c r="SJA479" s="2204"/>
      <c r="SJB479" s="2204"/>
      <c r="SJC479" s="2204">
        <f t="shared" si="234"/>
        <v>0</v>
      </c>
      <c r="SJD479" s="2204">
        <f>[16]BV!SJO395</f>
        <v>0</v>
      </c>
      <c r="SJE479" s="2204"/>
      <c r="SJF479" s="2204"/>
      <c r="SJG479" s="2204">
        <f t="shared" si="234"/>
        <v>0</v>
      </c>
      <c r="SJH479" s="2204">
        <f>[16]BV!SJS395</f>
        <v>0</v>
      </c>
      <c r="SJI479" s="2204"/>
      <c r="SJJ479" s="2204"/>
      <c r="SJK479" s="2204">
        <f t="shared" si="234"/>
        <v>0</v>
      </c>
      <c r="SJL479" s="2204">
        <f>[16]BV!SJW395</f>
        <v>0</v>
      </c>
      <c r="SJM479" s="2204"/>
      <c r="SJN479" s="2204"/>
      <c r="SJO479" s="2204">
        <f t="shared" si="234"/>
        <v>0</v>
      </c>
      <c r="SJP479" s="2204">
        <f>[16]BV!SKA395</f>
        <v>0</v>
      </c>
      <c r="SJQ479" s="2204"/>
      <c r="SJR479" s="2204"/>
      <c r="SJS479" s="2204">
        <f t="shared" ref="SJS479:SMA479" si="235">SJP479</f>
        <v>0</v>
      </c>
      <c r="SJT479" s="2204">
        <f>[16]BV!SKE395</f>
        <v>0</v>
      </c>
      <c r="SJU479" s="2204"/>
      <c r="SJV479" s="2204"/>
      <c r="SJW479" s="2204">
        <f t="shared" si="235"/>
        <v>0</v>
      </c>
      <c r="SJX479" s="2204">
        <f>[16]BV!SKI395</f>
        <v>0</v>
      </c>
      <c r="SJY479" s="2204"/>
      <c r="SJZ479" s="2204"/>
      <c r="SKA479" s="2204">
        <f t="shared" si="235"/>
        <v>0</v>
      </c>
      <c r="SKB479" s="2204">
        <f>[16]BV!SKM395</f>
        <v>0</v>
      </c>
      <c r="SKC479" s="2204"/>
      <c r="SKD479" s="2204"/>
      <c r="SKE479" s="2204">
        <f t="shared" si="235"/>
        <v>0</v>
      </c>
      <c r="SKF479" s="2204">
        <f>[16]BV!SKQ395</f>
        <v>0</v>
      </c>
      <c r="SKG479" s="2204"/>
      <c r="SKH479" s="2204"/>
      <c r="SKI479" s="2204">
        <f t="shared" si="235"/>
        <v>0</v>
      </c>
      <c r="SKJ479" s="2204">
        <f>[16]BV!SKU395</f>
        <v>0</v>
      </c>
      <c r="SKK479" s="2204"/>
      <c r="SKL479" s="2204"/>
      <c r="SKM479" s="2204">
        <f t="shared" si="235"/>
        <v>0</v>
      </c>
      <c r="SKN479" s="2204">
        <f>[16]BV!SKY395</f>
        <v>0</v>
      </c>
      <c r="SKO479" s="2204"/>
      <c r="SKP479" s="2204"/>
      <c r="SKQ479" s="2204">
        <f t="shared" si="235"/>
        <v>0</v>
      </c>
      <c r="SKR479" s="2204">
        <f>[16]BV!SLC395</f>
        <v>0</v>
      </c>
      <c r="SKS479" s="2204"/>
      <c r="SKT479" s="2204"/>
      <c r="SKU479" s="2204">
        <f t="shared" si="235"/>
        <v>0</v>
      </c>
      <c r="SKV479" s="2204">
        <f>[16]BV!SLG395</f>
        <v>0</v>
      </c>
      <c r="SKW479" s="2204"/>
      <c r="SKX479" s="2204"/>
      <c r="SKY479" s="2204">
        <f t="shared" si="235"/>
        <v>0</v>
      </c>
      <c r="SKZ479" s="2204">
        <f>[16]BV!SLK395</f>
        <v>0</v>
      </c>
      <c r="SLA479" s="2204"/>
      <c r="SLB479" s="2204"/>
      <c r="SLC479" s="2204">
        <f t="shared" si="235"/>
        <v>0</v>
      </c>
      <c r="SLD479" s="2204">
        <f>[16]BV!SLO395</f>
        <v>0</v>
      </c>
      <c r="SLE479" s="2204"/>
      <c r="SLF479" s="2204"/>
      <c r="SLG479" s="2204">
        <f t="shared" si="235"/>
        <v>0</v>
      </c>
      <c r="SLH479" s="2204">
        <f>[16]BV!SLS395</f>
        <v>0</v>
      </c>
      <c r="SLI479" s="2204"/>
      <c r="SLJ479" s="2204"/>
      <c r="SLK479" s="2204">
        <f t="shared" si="235"/>
        <v>0</v>
      </c>
      <c r="SLL479" s="2204">
        <f>[16]BV!SLW395</f>
        <v>0</v>
      </c>
      <c r="SLM479" s="2204"/>
      <c r="SLN479" s="2204"/>
      <c r="SLO479" s="2204">
        <f t="shared" si="235"/>
        <v>0</v>
      </c>
      <c r="SLP479" s="2204">
        <f>[16]BV!SMA395</f>
        <v>0</v>
      </c>
      <c r="SLQ479" s="2204"/>
      <c r="SLR479" s="2204"/>
      <c r="SLS479" s="2204">
        <f t="shared" si="235"/>
        <v>0</v>
      </c>
      <c r="SLT479" s="2204">
        <f>[16]BV!SME395</f>
        <v>0</v>
      </c>
      <c r="SLU479" s="2204"/>
      <c r="SLV479" s="2204"/>
      <c r="SLW479" s="2204">
        <f t="shared" si="235"/>
        <v>0</v>
      </c>
      <c r="SLX479" s="2204">
        <f>[16]BV!SMI395</f>
        <v>0</v>
      </c>
      <c r="SLY479" s="2204"/>
      <c r="SLZ479" s="2204"/>
      <c r="SMA479" s="2204">
        <f t="shared" si="235"/>
        <v>0</v>
      </c>
      <c r="SMB479" s="2204">
        <f>[16]BV!SMM395</f>
        <v>0</v>
      </c>
      <c r="SMC479" s="2204"/>
      <c r="SMD479" s="2204"/>
      <c r="SME479" s="2204">
        <f t="shared" ref="SME479:SOM479" si="236">SMB479</f>
        <v>0</v>
      </c>
      <c r="SMF479" s="2204">
        <f>[16]BV!SMQ395</f>
        <v>0</v>
      </c>
      <c r="SMG479" s="2204"/>
      <c r="SMH479" s="2204"/>
      <c r="SMI479" s="2204">
        <f t="shared" si="236"/>
        <v>0</v>
      </c>
      <c r="SMJ479" s="2204">
        <f>[16]BV!SMU395</f>
        <v>0</v>
      </c>
      <c r="SMK479" s="2204"/>
      <c r="SML479" s="2204"/>
      <c r="SMM479" s="2204">
        <f t="shared" si="236"/>
        <v>0</v>
      </c>
      <c r="SMN479" s="2204">
        <f>[16]BV!SMY395</f>
        <v>0</v>
      </c>
      <c r="SMO479" s="2204"/>
      <c r="SMP479" s="2204"/>
      <c r="SMQ479" s="2204">
        <f t="shared" si="236"/>
        <v>0</v>
      </c>
      <c r="SMR479" s="2204">
        <f>[16]BV!SNC395</f>
        <v>0</v>
      </c>
      <c r="SMS479" s="2204"/>
      <c r="SMT479" s="2204"/>
      <c r="SMU479" s="2204">
        <f t="shared" si="236"/>
        <v>0</v>
      </c>
      <c r="SMV479" s="2204">
        <f>[16]BV!SNG395</f>
        <v>0</v>
      </c>
      <c r="SMW479" s="2204"/>
      <c r="SMX479" s="2204"/>
      <c r="SMY479" s="2204">
        <f t="shared" si="236"/>
        <v>0</v>
      </c>
      <c r="SMZ479" s="2204">
        <f>[16]BV!SNK395</f>
        <v>0</v>
      </c>
      <c r="SNA479" s="2204"/>
      <c r="SNB479" s="2204"/>
      <c r="SNC479" s="2204">
        <f t="shared" si="236"/>
        <v>0</v>
      </c>
      <c r="SND479" s="2204">
        <f>[16]BV!SNO395</f>
        <v>0</v>
      </c>
      <c r="SNE479" s="2204"/>
      <c r="SNF479" s="2204"/>
      <c r="SNG479" s="2204">
        <f t="shared" si="236"/>
        <v>0</v>
      </c>
      <c r="SNH479" s="2204">
        <f>[16]BV!SNS395</f>
        <v>0</v>
      </c>
      <c r="SNI479" s="2204"/>
      <c r="SNJ479" s="2204"/>
      <c r="SNK479" s="2204">
        <f t="shared" si="236"/>
        <v>0</v>
      </c>
      <c r="SNL479" s="2204">
        <f>[16]BV!SNW395</f>
        <v>0</v>
      </c>
      <c r="SNM479" s="2204"/>
      <c r="SNN479" s="2204"/>
      <c r="SNO479" s="2204">
        <f t="shared" si="236"/>
        <v>0</v>
      </c>
      <c r="SNP479" s="2204">
        <f>[16]BV!SOA395</f>
        <v>0</v>
      </c>
      <c r="SNQ479" s="2204"/>
      <c r="SNR479" s="2204"/>
      <c r="SNS479" s="2204">
        <f t="shared" si="236"/>
        <v>0</v>
      </c>
      <c r="SNT479" s="2204">
        <f>[16]BV!SOE395</f>
        <v>0</v>
      </c>
      <c r="SNU479" s="2204"/>
      <c r="SNV479" s="2204"/>
      <c r="SNW479" s="2204">
        <f t="shared" si="236"/>
        <v>0</v>
      </c>
      <c r="SNX479" s="2204">
        <f>[16]BV!SOI395</f>
        <v>0</v>
      </c>
      <c r="SNY479" s="2204"/>
      <c r="SNZ479" s="2204"/>
      <c r="SOA479" s="2204">
        <f t="shared" si="236"/>
        <v>0</v>
      </c>
      <c r="SOB479" s="2204">
        <f>[16]BV!SOM395</f>
        <v>0</v>
      </c>
      <c r="SOC479" s="2204"/>
      <c r="SOD479" s="2204"/>
      <c r="SOE479" s="2204">
        <f t="shared" si="236"/>
        <v>0</v>
      </c>
      <c r="SOF479" s="2204">
        <f>[16]BV!SOQ395</f>
        <v>0</v>
      </c>
      <c r="SOG479" s="2204"/>
      <c r="SOH479" s="2204"/>
      <c r="SOI479" s="2204">
        <f t="shared" si="236"/>
        <v>0</v>
      </c>
      <c r="SOJ479" s="2204">
        <f>[16]BV!SOU395</f>
        <v>0</v>
      </c>
      <c r="SOK479" s="2204"/>
      <c r="SOL479" s="2204"/>
      <c r="SOM479" s="2204">
        <f t="shared" si="236"/>
        <v>0</v>
      </c>
      <c r="SON479" s="2204">
        <f>[16]BV!SOY395</f>
        <v>0</v>
      </c>
      <c r="SOO479" s="2204"/>
      <c r="SOP479" s="2204"/>
      <c r="SOQ479" s="2204">
        <f t="shared" ref="SOQ479:SQY479" si="237">SON479</f>
        <v>0</v>
      </c>
      <c r="SOR479" s="2204">
        <f>[16]BV!SPC395</f>
        <v>0</v>
      </c>
      <c r="SOS479" s="2204"/>
      <c r="SOT479" s="2204"/>
      <c r="SOU479" s="2204">
        <f t="shared" si="237"/>
        <v>0</v>
      </c>
      <c r="SOV479" s="2204">
        <f>[16]BV!SPG395</f>
        <v>0</v>
      </c>
      <c r="SOW479" s="2204"/>
      <c r="SOX479" s="2204"/>
      <c r="SOY479" s="2204">
        <f t="shared" si="237"/>
        <v>0</v>
      </c>
      <c r="SOZ479" s="2204">
        <f>[16]BV!SPK395</f>
        <v>0</v>
      </c>
      <c r="SPA479" s="2204"/>
      <c r="SPB479" s="2204"/>
      <c r="SPC479" s="2204">
        <f t="shared" si="237"/>
        <v>0</v>
      </c>
      <c r="SPD479" s="2204">
        <f>[16]BV!SPO395</f>
        <v>0</v>
      </c>
      <c r="SPE479" s="2204"/>
      <c r="SPF479" s="2204"/>
      <c r="SPG479" s="2204">
        <f t="shared" si="237"/>
        <v>0</v>
      </c>
      <c r="SPH479" s="2204">
        <f>[16]BV!SPS395</f>
        <v>0</v>
      </c>
      <c r="SPI479" s="2204"/>
      <c r="SPJ479" s="2204"/>
      <c r="SPK479" s="2204">
        <f t="shared" si="237"/>
        <v>0</v>
      </c>
      <c r="SPL479" s="2204">
        <f>[16]BV!SPW395</f>
        <v>0</v>
      </c>
      <c r="SPM479" s="2204"/>
      <c r="SPN479" s="2204"/>
      <c r="SPO479" s="2204">
        <f t="shared" si="237"/>
        <v>0</v>
      </c>
      <c r="SPP479" s="2204">
        <f>[16]BV!SQA395</f>
        <v>0</v>
      </c>
      <c r="SPQ479" s="2204"/>
      <c r="SPR479" s="2204"/>
      <c r="SPS479" s="2204">
        <f t="shared" si="237"/>
        <v>0</v>
      </c>
      <c r="SPT479" s="2204">
        <f>[16]BV!SQE395</f>
        <v>0</v>
      </c>
      <c r="SPU479" s="2204"/>
      <c r="SPV479" s="2204"/>
      <c r="SPW479" s="2204">
        <f t="shared" si="237"/>
        <v>0</v>
      </c>
      <c r="SPX479" s="2204">
        <f>[16]BV!SQI395</f>
        <v>0</v>
      </c>
      <c r="SPY479" s="2204"/>
      <c r="SPZ479" s="2204"/>
      <c r="SQA479" s="2204">
        <f t="shared" si="237"/>
        <v>0</v>
      </c>
      <c r="SQB479" s="2204">
        <f>[16]BV!SQM395</f>
        <v>0</v>
      </c>
      <c r="SQC479" s="2204"/>
      <c r="SQD479" s="2204"/>
      <c r="SQE479" s="2204">
        <f t="shared" si="237"/>
        <v>0</v>
      </c>
      <c r="SQF479" s="2204">
        <f>[16]BV!SQQ395</f>
        <v>0</v>
      </c>
      <c r="SQG479" s="2204"/>
      <c r="SQH479" s="2204"/>
      <c r="SQI479" s="2204">
        <f t="shared" si="237"/>
        <v>0</v>
      </c>
      <c r="SQJ479" s="2204">
        <f>[16]BV!SQU395</f>
        <v>0</v>
      </c>
      <c r="SQK479" s="2204"/>
      <c r="SQL479" s="2204"/>
      <c r="SQM479" s="2204">
        <f t="shared" si="237"/>
        <v>0</v>
      </c>
      <c r="SQN479" s="2204">
        <f>[16]BV!SQY395</f>
        <v>0</v>
      </c>
      <c r="SQO479" s="2204"/>
      <c r="SQP479" s="2204"/>
      <c r="SQQ479" s="2204">
        <f t="shared" si="237"/>
        <v>0</v>
      </c>
      <c r="SQR479" s="2204">
        <f>[16]BV!SRC395</f>
        <v>0</v>
      </c>
      <c r="SQS479" s="2204"/>
      <c r="SQT479" s="2204"/>
      <c r="SQU479" s="2204">
        <f t="shared" si="237"/>
        <v>0</v>
      </c>
      <c r="SQV479" s="2204">
        <f>[16]BV!SRG395</f>
        <v>0</v>
      </c>
      <c r="SQW479" s="2204"/>
      <c r="SQX479" s="2204"/>
      <c r="SQY479" s="2204">
        <f t="shared" si="237"/>
        <v>0</v>
      </c>
      <c r="SQZ479" s="2204">
        <f>[16]BV!SRK395</f>
        <v>0</v>
      </c>
      <c r="SRA479" s="2204"/>
      <c r="SRB479" s="2204"/>
      <c r="SRC479" s="2204">
        <f t="shared" ref="SRC479:STK479" si="238">SQZ479</f>
        <v>0</v>
      </c>
      <c r="SRD479" s="2204">
        <f>[16]BV!SRO395</f>
        <v>0</v>
      </c>
      <c r="SRE479" s="2204"/>
      <c r="SRF479" s="2204"/>
      <c r="SRG479" s="2204">
        <f t="shared" si="238"/>
        <v>0</v>
      </c>
      <c r="SRH479" s="2204">
        <f>[16]BV!SRS395</f>
        <v>0</v>
      </c>
      <c r="SRI479" s="2204"/>
      <c r="SRJ479" s="2204"/>
      <c r="SRK479" s="2204">
        <f t="shared" si="238"/>
        <v>0</v>
      </c>
      <c r="SRL479" s="2204">
        <f>[16]BV!SRW395</f>
        <v>0</v>
      </c>
      <c r="SRM479" s="2204"/>
      <c r="SRN479" s="2204"/>
      <c r="SRO479" s="2204">
        <f t="shared" si="238"/>
        <v>0</v>
      </c>
      <c r="SRP479" s="2204">
        <f>[16]BV!SSA395</f>
        <v>0</v>
      </c>
      <c r="SRQ479" s="2204"/>
      <c r="SRR479" s="2204"/>
      <c r="SRS479" s="2204">
        <f t="shared" si="238"/>
        <v>0</v>
      </c>
      <c r="SRT479" s="2204">
        <f>[16]BV!SSE395</f>
        <v>0</v>
      </c>
      <c r="SRU479" s="2204"/>
      <c r="SRV479" s="2204"/>
      <c r="SRW479" s="2204">
        <f t="shared" si="238"/>
        <v>0</v>
      </c>
      <c r="SRX479" s="2204">
        <f>[16]BV!SSI395</f>
        <v>0</v>
      </c>
      <c r="SRY479" s="2204"/>
      <c r="SRZ479" s="2204"/>
      <c r="SSA479" s="2204">
        <f t="shared" si="238"/>
        <v>0</v>
      </c>
      <c r="SSB479" s="2204">
        <f>[16]BV!SSM395</f>
        <v>0</v>
      </c>
      <c r="SSC479" s="2204"/>
      <c r="SSD479" s="2204"/>
      <c r="SSE479" s="2204">
        <f t="shared" si="238"/>
        <v>0</v>
      </c>
      <c r="SSF479" s="2204">
        <f>[16]BV!SSQ395</f>
        <v>0</v>
      </c>
      <c r="SSG479" s="2204"/>
      <c r="SSH479" s="2204"/>
      <c r="SSI479" s="2204">
        <f t="shared" si="238"/>
        <v>0</v>
      </c>
      <c r="SSJ479" s="2204">
        <f>[16]BV!SSU395</f>
        <v>0</v>
      </c>
      <c r="SSK479" s="2204"/>
      <c r="SSL479" s="2204"/>
      <c r="SSM479" s="2204">
        <f t="shared" si="238"/>
        <v>0</v>
      </c>
      <c r="SSN479" s="2204">
        <f>[16]BV!SSY395</f>
        <v>0</v>
      </c>
      <c r="SSO479" s="2204"/>
      <c r="SSP479" s="2204"/>
      <c r="SSQ479" s="2204">
        <f t="shared" si="238"/>
        <v>0</v>
      </c>
      <c r="SSR479" s="2204">
        <f>[16]BV!STC395</f>
        <v>0</v>
      </c>
      <c r="SSS479" s="2204"/>
      <c r="SST479" s="2204"/>
      <c r="SSU479" s="2204">
        <f t="shared" si="238"/>
        <v>0</v>
      </c>
      <c r="SSV479" s="2204">
        <f>[16]BV!STG395</f>
        <v>0</v>
      </c>
      <c r="SSW479" s="2204"/>
      <c r="SSX479" s="2204"/>
      <c r="SSY479" s="2204">
        <f t="shared" si="238"/>
        <v>0</v>
      </c>
      <c r="SSZ479" s="2204">
        <f>[16]BV!STK395</f>
        <v>0</v>
      </c>
      <c r="STA479" s="2204"/>
      <c r="STB479" s="2204"/>
      <c r="STC479" s="2204">
        <f t="shared" si="238"/>
        <v>0</v>
      </c>
      <c r="STD479" s="2204">
        <f>[16]BV!STO395</f>
        <v>0</v>
      </c>
      <c r="STE479" s="2204"/>
      <c r="STF479" s="2204"/>
      <c r="STG479" s="2204">
        <f t="shared" si="238"/>
        <v>0</v>
      </c>
      <c r="STH479" s="2204">
        <f>[16]BV!STS395</f>
        <v>0</v>
      </c>
      <c r="STI479" s="2204"/>
      <c r="STJ479" s="2204"/>
      <c r="STK479" s="2204">
        <f t="shared" si="238"/>
        <v>0</v>
      </c>
      <c r="STL479" s="2204">
        <f>[16]BV!STW395</f>
        <v>0</v>
      </c>
      <c r="STM479" s="2204"/>
      <c r="STN479" s="2204"/>
      <c r="STO479" s="2204">
        <f t="shared" ref="STO479:SVW479" si="239">STL479</f>
        <v>0</v>
      </c>
      <c r="STP479" s="2204">
        <f>[16]BV!SUA395</f>
        <v>0</v>
      </c>
      <c r="STQ479" s="2204"/>
      <c r="STR479" s="2204"/>
      <c r="STS479" s="2204">
        <f t="shared" si="239"/>
        <v>0</v>
      </c>
      <c r="STT479" s="2204">
        <f>[16]BV!SUE395</f>
        <v>0</v>
      </c>
      <c r="STU479" s="2204"/>
      <c r="STV479" s="2204"/>
      <c r="STW479" s="2204">
        <f t="shared" si="239"/>
        <v>0</v>
      </c>
      <c r="STX479" s="2204">
        <f>[16]BV!SUI395</f>
        <v>0</v>
      </c>
      <c r="STY479" s="2204"/>
      <c r="STZ479" s="2204"/>
      <c r="SUA479" s="2204">
        <f t="shared" si="239"/>
        <v>0</v>
      </c>
      <c r="SUB479" s="2204">
        <f>[16]BV!SUM395</f>
        <v>0</v>
      </c>
      <c r="SUC479" s="2204"/>
      <c r="SUD479" s="2204"/>
      <c r="SUE479" s="2204">
        <f t="shared" si="239"/>
        <v>0</v>
      </c>
      <c r="SUF479" s="2204">
        <f>[16]BV!SUQ395</f>
        <v>0</v>
      </c>
      <c r="SUG479" s="2204"/>
      <c r="SUH479" s="2204"/>
      <c r="SUI479" s="2204">
        <f t="shared" si="239"/>
        <v>0</v>
      </c>
      <c r="SUJ479" s="2204">
        <f>[16]BV!SUU395</f>
        <v>0</v>
      </c>
      <c r="SUK479" s="2204"/>
      <c r="SUL479" s="2204"/>
      <c r="SUM479" s="2204">
        <f t="shared" si="239"/>
        <v>0</v>
      </c>
      <c r="SUN479" s="2204">
        <f>[16]BV!SUY395</f>
        <v>0</v>
      </c>
      <c r="SUO479" s="2204"/>
      <c r="SUP479" s="2204"/>
      <c r="SUQ479" s="2204">
        <f t="shared" si="239"/>
        <v>0</v>
      </c>
      <c r="SUR479" s="2204">
        <f>[16]BV!SVC395</f>
        <v>0</v>
      </c>
      <c r="SUS479" s="2204"/>
      <c r="SUT479" s="2204"/>
      <c r="SUU479" s="2204">
        <f t="shared" si="239"/>
        <v>0</v>
      </c>
      <c r="SUV479" s="2204">
        <f>[16]BV!SVG395</f>
        <v>0</v>
      </c>
      <c r="SUW479" s="2204"/>
      <c r="SUX479" s="2204"/>
      <c r="SUY479" s="2204">
        <f t="shared" si="239"/>
        <v>0</v>
      </c>
      <c r="SUZ479" s="2204">
        <f>[16]BV!SVK395</f>
        <v>0</v>
      </c>
      <c r="SVA479" s="2204"/>
      <c r="SVB479" s="2204"/>
      <c r="SVC479" s="2204">
        <f t="shared" si="239"/>
        <v>0</v>
      </c>
      <c r="SVD479" s="2204">
        <f>[16]BV!SVO395</f>
        <v>0</v>
      </c>
      <c r="SVE479" s="2204"/>
      <c r="SVF479" s="2204"/>
      <c r="SVG479" s="2204">
        <f t="shared" si="239"/>
        <v>0</v>
      </c>
      <c r="SVH479" s="2204">
        <f>[16]BV!SVS395</f>
        <v>0</v>
      </c>
      <c r="SVI479" s="2204"/>
      <c r="SVJ479" s="2204"/>
      <c r="SVK479" s="2204">
        <f t="shared" si="239"/>
        <v>0</v>
      </c>
      <c r="SVL479" s="2204">
        <f>[16]BV!SVW395</f>
        <v>0</v>
      </c>
      <c r="SVM479" s="2204"/>
      <c r="SVN479" s="2204"/>
      <c r="SVO479" s="2204">
        <f t="shared" si="239"/>
        <v>0</v>
      </c>
      <c r="SVP479" s="2204">
        <f>[16]BV!SWA395</f>
        <v>0</v>
      </c>
      <c r="SVQ479" s="2204"/>
      <c r="SVR479" s="2204"/>
      <c r="SVS479" s="2204">
        <f t="shared" si="239"/>
        <v>0</v>
      </c>
      <c r="SVT479" s="2204">
        <f>[16]BV!SWE395</f>
        <v>0</v>
      </c>
      <c r="SVU479" s="2204"/>
      <c r="SVV479" s="2204"/>
      <c r="SVW479" s="2204">
        <f t="shared" si="239"/>
        <v>0</v>
      </c>
      <c r="SVX479" s="2204">
        <f>[16]BV!SWI395</f>
        <v>0</v>
      </c>
      <c r="SVY479" s="2204"/>
      <c r="SVZ479" s="2204"/>
      <c r="SWA479" s="2204">
        <f t="shared" ref="SWA479:SYI479" si="240">SVX479</f>
        <v>0</v>
      </c>
      <c r="SWB479" s="2204">
        <f>[16]BV!SWM395</f>
        <v>0</v>
      </c>
      <c r="SWC479" s="2204"/>
      <c r="SWD479" s="2204"/>
      <c r="SWE479" s="2204">
        <f t="shared" si="240"/>
        <v>0</v>
      </c>
      <c r="SWF479" s="2204">
        <f>[16]BV!SWQ395</f>
        <v>0</v>
      </c>
      <c r="SWG479" s="2204"/>
      <c r="SWH479" s="2204"/>
      <c r="SWI479" s="2204">
        <f t="shared" si="240"/>
        <v>0</v>
      </c>
      <c r="SWJ479" s="2204">
        <f>[16]BV!SWU395</f>
        <v>0</v>
      </c>
      <c r="SWK479" s="2204"/>
      <c r="SWL479" s="2204"/>
      <c r="SWM479" s="2204">
        <f t="shared" si="240"/>
        <v>0</v>
      </c>
      <c r="SWN479" s="2204">
        <f>[16]BV!SWY395</f>
        <v>0</v>
      </c>
      <c r="SWO479" s="2204"/>
      <c r="SWP479" s="2204"/>
      <c r="SWQ479" s="2204">
        <f t="shared" si="240"/>
        <v>0</v>
      </c>
      <c r="SWR479" s="2204">
        <f>[16]BV!SXC395</f>
        <v>0</v>
      </c>
      <c r="SWS479" s="2204"/>
      <c r="SWT479" s="2204"/>
      <c r="SWU479" s="2204">
        <f t="shared" si="240"/>
        <v>0</v>
      </c>
      <c r="SWV479" s="2204">
        <f>[16]BV!SXG395</f>
        <v>0</v>
      </c>
      <c r="SWW479" s="2204"/>
      <c r="SWX479" s="2204"/>
      <c r="SWY479" s="2204">
        <f t="shared" si="240"/>
        <v>0</v>
      </c>
      <c r="SWZ479" s="2204">
        <f>[16]BV!SXK395</f>
        <v>0</v>
      </c>
      <c r="SXA479" s="2204"/>
      <c r="SXB479" s="2204"/>
      <c r="SXC479" s="2204">
        <f t="shared" si="240"/>
        <v>0</v>
      </c>
      <c r="SXD479" s="2204">
        <f>[16]BV!SXO395</f>
        <v>0</v>
      </c>
      <c r="SXE479" s="2204"/>
      <c r="SXF479" s="2204"/>
      <c r="SXG479" s="2204">
        <f t="shared" si="240"/>
        <v>0</v>
      </c>
      <c r="SXH479" s="2204">
        <f>[16]BV!SXS395</f>
        <v>0</v>
      </c>
      <c r="SXI479" s="2204"/>
      <c r="SXJ479" s="2204"/>
      <c r="SXK479" s="2204">
        <f t="shared" si="240"/>
        <v>0</v>
      </c>
      <c r="SXL479" s="2204">
        <f>[16]BV!SXW395</f>
        <v>0</v>
      </c>
      <c r="SXM479" s="2204"/>
      <c r="SXN479" s="2204"/>
      <c r="SXO479" s="2204">
        <f t="shared" si="240"/>
        <v>0</v>
      </c>
      <c r="SXP479" s="2204">
        <f>[16]BV!SYA395</f>
        <v>0</v>
      </c>
      <c r="SXQ479" s="2204"/>
      <c r="SXR479" s="2204"/>
      <c r="SXS479" s="2204">
        <f t="shared" si="240"/>
        <v>0</v>
      </c>
      <c r="SXT479" s="2204">
        <f>[16]BV!SYE395</f>
        <v>0</v>
      </c>
      <c r="SXU479" s="2204"/>
      <c r="SXV479" s="2204"/>
      <c r="SXW479" s="2204">
        <f t="shared" si="240"/>
        <v>0</v>
      </c>
      <c r="SXX479" s="2204">
        <f>[16]BV!SYI395</f>
        <v>0</v>
      </c>
      <c r="SXY479" s="2204"/>
      <c r="SXZ479" s="2204"/>
      <c r="SYA479" s="2204">
        <f t="shared" si="240"/>
        <v>0</v>
      </c>
      <c r="SYB479" s="2204">
        <f>[16]BV!SYM395</f>
        <v>0</v>
      </c>
      <c r="SYC479" s="2204"/>
      <c r="SYD479" s="2204"/>
      <c r="SYE479" s="2204">
        <f t="shared" si="240"/>
        <v>0</v>
      </c>
      <c r="SYF479" s="2204">
        <f>[16]BV!SYQ395</f>
        <v>0</v>
      </c>
      <c r="SYG479" s="2204"/>
      <c r="SYH479" s="2204"/>
      <c r="SYI479" s="2204">
        <f t="shared" si="240"/>
        <v>0</v>
      </c>
      <c r="SYJ479" s="2204">
        <f>[16]BV!SYU395</f>
        <v>0</v>
      </c>
      <c r="SYK479" s="2204"/>
      <c r="SYL479" s="2204"/>
      <c r="SYM479" s="2204">
        <f t="shared" ref="SYM479:TAU479" si="241">SYJ479</f>
        <v>0</v>
      </c>
      <c r="SYN479" s="2204">
        <f>[16]BV!SYY395</f>
        <v>0</v>
      </c>
      <c r="SYO479" s="2204"/>
      <c r="SYP479" s="2204"/>
      <c r="SYQ479" s="2204">
        <f t="shared" si="241"/>
        <v>0</v>
      </c>
      <c r="SYR479" s="2204">
        <f>[16]BV!SZC395</f>
        <v>0</v>
      </c>
      <c r="SYS479" s="2204"/>
      <c r="SYT479" s="2204"/>
      <c r="SYU479" s="2204">
        <f t="shared" si="241"/>
        <v>0</v>
      </c>
      <c r="SYV479" s="2204">
        <f>[16]BV!SZG395</f>
        <v>0</v>
      </c>
      <c r="SYW479" s="2204"/>
      <c r="SYX479" s="2204"/>
      <c r="SYY479" s="2204">
        <f t="shared" si="241"/>
        <v>0</v>
      </c>
      <c r="SYZ479" s="2204">
        <f>[16]BV!SZK395</f>
        <v>0</v>
      </c>
      <c r="SZA479" s="2204"/>
      <c r="SZB479" s="2204"/>
      <c r="SZC479" s="2204">
        <f t="shared" si="241"/>
        <v>0</v>
      </c>
      <c r="SZD479" s="2204">
        <f>[16]BV!SZO395</f>
        <v>0</v>
      </c>
      <c r="SZE479" s="2204"/>
      <c r="SZF479" s="2204"/>
      <c r="SZG479" s="2204">
        <f t="shared" si="241"/>
        <v>0</v>
      </c>
      <c r="SZH479" s="2204">
        <f>[16]BV!SZS395</f>
        <v>0</v>
      </c>
      <c r="SZI479" s="2204"/>
      <c r="SZJ479" s="2204"/>
      <c r="SZK479" s="2204">
        <f t="shared" si="241"/>
        <v>0</v>
      </c>
      <c r="SZL479" s="2204">
        <f>[16]BV!SZW395</f>
        <v>0</v>
      </c>
      <c r="SZM479" s="2204"/>
      <c r="SZN479" s="2204"/>
      <c r="SZO479" s="2204">
        <f t="shared" si="241"/>
        <v>0</v>
      </c>
      <c r="SZP479" s="2204">
        <f>[16]BV!TAA395</f>
        <v>0</v>
      </c>
      <c r="SZQ479" s="2204"/>
      <c r="SZR479" s="2204"/>
      <c r="SZS479" s="2204">
        <f t="shared" si="241"/>
        <v>0</v>
      </c>
      <c r="SZT479" s="2204">
        <f>[16]BV!TAE395</f>
        <v>0</v>
      </c>
      <c r="SZU479" s="2204"/>
      <c r="SZV479" s="2204"/>
      <c r="SZW479" s="2204">
        <f t="shared" si="241"/>
        <v>0</v>
      </c>
      <c r="SZX479" s="2204">
        <f>[16]BV!TAI395</f>
        <v>0</v>
      </c>
      <c r="SZY479" s="2204"/>
      <c r="SZZ479" s="2204"/>
      <c r="TAA479" s="2204">
        <f t="shared" si="241"/>
        <v>0</v>
      </c>
      <c r="TAB479" s="2204">
        <f>[16]BV!TAM395</f>
        <v>0</v>
      </c>
      <c r="TAC479" s="2204"/>
      <c r="TAD479" s="2204"/>
      <c r="TAE479" s="2204">
        <f t="shared" si="241"/>
        <v>0</v>
      </c>
      <c r="TAF479" s="2204">
        <f>[16]BV!TAQ395</f>
        <v>0</v>
      </c>
      <c r="TAG479" s="2204"/>
      <c r="TAH479" s="2204"/>
      <c r="TAI479" s="2204">
        <f t="shared" si="241"/>
        <v>0</v>
      </c>
      <c r="TAJ479" s="2204">
        <f>[16]BV!TAU395</f>
        <v>0</v>
      </c>
      <c r="TAK479" s="2204"/>
      <c r="TAL479" s="2204"/>
      <c r="TAM479" s="2204">
        <f t="shared" si="241"/>
        <v>0</v>
      </c>
      <c r="TAN479" s="2204">
        <f>[16]BV!TAY395</f>
        <v>0</v>
      </c>
      <c r="TAO479" s="2204"/>
      <c r="TAP479" s="2204"/>
      <c r="TAQ479" s="2204">
        <f t="shared" si="241"/>
        <v>0</v>
      </c>
      <c r="TAR479" s="2204">
        <f>[16]BV!TBC395</f>
        <v>0</v>
      </c>
      <c r="TAS479" s="2204"/>
      <c r="TAT479" s="2204"/>
      <c r="TAU479" s="2204">
        <f t="shared" si="241"/>
        <v>0</v>
      </c>
      <c r="TAV479" s="2204">
        <f>[16]BV!TBG395</f>
        <v>0</v>
      </c>
      <c r="TAW479" s="2204"/>
      <c r="TAX479" s="2204"/>
      <c r="TAY479" s="2204">
        <f t="shared" ref="TAY479:TDG479" si="242">TAV479</f>
        <v>0</v>
      </c>
      <c r="TAZ479" s="2204">
        <f>[16]BV!TBK395</f>
        <v>0</v>
      </c>
      <c r="TBA479" s="2204"/>
      <c r="TBB479" s="2204"/>
      <c r="TBC479" s="2204">
        <f t="shared" si="242"/>
        <v>0</v>
      </c>
      <c r="TBD479" s="2204">
        <f>[16]BV!TBO395</f>
        <v>0</v>
      </c>
      <c r="TBE479" s="2204"/>
      <c r="TBF479" s="2204"/>
      <c r="TBG479" s="2204">
        <f t="shared" si="242"/>
        <v>0</v>
      </c>
      <c r="TBH479" s="2204">
        <f>[16]BV!TBS395</f>
        <v>0</v>
      </c>
      <c r="TBI479" s="2204"/>
      <c r="TBJ479" s="2204"/>
      <c r="TBK479" s="2204">
        <f t="shared" si="242"/>
        <v>0</v>
      </c>
      <c r="TBL479" s="2204">
        <f>[16]BV!TBW395</f>
        <v>0</v>
      </c>
      <c r="TBM479" s="2204"/>
      <c r="TBN479" s="2204"/>
      <c r="TBO479" s="2204">
        <f t="shared" si="242"/>
        <v>0</v>
      </c>
      <c r="TBP479" s="2204">
        <f>[16]BV!TCA395</f>
        <v>0</v>
      </c>
      <c r="TBQ479" s="2204"/>
      <c r="TBR479" s="2204"/>
      <c r="TBS479" s="2204">
        <f t="shared" si="242"/>
        <v>0</v>
      </c>
      <c r="TBT479" s="2204">
        <f>[16]BV!TCE395</f>
        <v>0</v>
      </c>
      <c r="TBU479" s="2204"/>
      <c r="TBV479" s="2204"/>
      <c r="TBW479" s="2204">
        <f t="shared" si="242"/>
        <v>0</v>
      </c>
      <c r="TBX479" s="2204">
        <f>[16]BV!TCI395</f>
        <v>0</v>
      </c>
      <c r="TBY479" s="2204"/>
      <c r="TBZ479" s="2204"/>
      <c r="TCA479" s="2204">
        <f t="shared" si="242"/>
        <v>0</v>
      </c>
      <c r="TCB479" s="2204">
        <f>[16]BV!TCM395</f>
        <v>0</v>
      </c>
      <c r="TCC479" s="2204"/>
      <c r="TCD479" s="2204"/>
      <c r="TCE479" s="2204">
        <f t="shared" si="242"/>
        <v>0</v>
      </c>
      <c r="TCF479" s="2204">
        <f>[16]BV!TCQ395</f>
        <v>0</v>
      </c>
      <c r="TCG479" s="2204"/>
      <c r="TCH479" s="2204"/>
      <c r="TCI479" s="2204">
        <f t="shared" si="242"/>
        <v>0</v>
      </c>
      <c r="TCJ479" s="2204">
        <f>[16]BV!TCU395</f>
        <v>0</v>
      </c>
      <c r="TCK479" s="2204"/>
      <c r="TCL479" s="2204"/>
      <c r="TCM479" s="2204">
        <f t="shared" si="242"/>
        <v>0</v>
      </c>
      <c r="TCN479" s="2204">
        <f>[16]BV!TCY395</f>
        <v>0</v>
      </c>
      <c r="TCO479" s="2204"/>
      <c r="TCP479" s="2204"/>
      <c r="TCQ479" s="2204">
        <f t="shared" si="242"/>
        <v>0</v>
      </c>
      <c r="TCR479" s="2204">
        <f>[16]BV!TDC395</f>
        <v>0</v>
      </c>
      <c r="TCS479" s="2204"/>
      <c r="TCT479" s="2204"/>
      <c r="TCU479" s="2204">
        <f t="shared" si="242"/>
        <v>0</v>
      </c>
      <c r="TCV479" s="2204">
        <f>[16]BV!TDG395</f>
        <v>0</v>
      </c>
      <c r="TCW479" s="2204"/>
      <c r="TCX479" s="2204"/>
      <c r="TCY479" s="2204">
        <f t="shared" si="242"/>
        <v>0</v>
      </c>
      <c r="TCZ479" s="2204">
        <f>[16]BV!TDK395</f>
        <v>0</v>
      </c>
      <c r="TDA479" s="2204"/>
      <c r="TDB479" s="2204"/>
      <c r="TDC479" s="2204">
        <f t="shared" si="242"/>
        <v>0</v>
      </c>
      <c r="TDD479" s="2204">
        <f>[16]BV!TDO395</f>
        <v>0</v>
      </c>
      <c r="TDE479" s="2204"/>
      <c r="TDF479" s="2204"/>
      <c r="TDG479" s="2204">
        <f t="shared" si="242"/>
        <v>0</v>
      </c>
      <c r="TDH479" s="2204">
        <f>[16]BV!TDS395</f>
        <v>0</v>
      </c>
      <c r="TDI479" s="2204"/>
      <c r="TDJ479" s="2204"/>
      <c r="TDK479" s="2204">
        <f t="shared" ref="TDK479:TFS479" si="243">TDH479</f>
        <v>0</v>
      </c>
      <c r="TDL479" s="2204">
        <f>[16]BV!TDW395</f>
        <v>0</v>
      </c>
      <c r="TDM479" s="2204"/>
      <c r="TDN479" s="2204"/>
      <c r="TDO479" s="2204">
        <f t="shared" si="243"/>
        <v>0</v>
      </c>
      <c r="TDP479" s="2204">
        <f>[16]BV!TEA395</f>
        <v>0</v>
      </c>
      <c r="TDQ479" s="2204"/>
      <c r="TDR479" s="2204"/>
      <c r="TDS479" s="2204">
        <f t="shared" si="243"/>
        <v>0</v>
      </c>
      <c r="TDT479" s="2204">
        <f>[16]BV!TEE395</f>
        <v>0</v>
      </c>
      <c r="TDU479" s="2204"/>
      <c r="TDV479" s="2204"/>
      <c r="TDW479" s="2204">
        <f t="shared" si="243"/>
        <v>0</v>
      </c>
      <c r="TDX479" s="2204">
        <f>[16]BV!TEI395</f>
        <v>0</v>
      </c>
      <c r="TDY479" s="2204"/>
      <c r="TDZ479" s="2204"/>
      <c r="TEA479" s="2204">
        <f t="shared" si="243"/>
        <v>0</v>
      </c>
      <c r="TEB479" s="2204">
        <f>[16]BV!TEM395</f>
        <v>0</v>
      </c>
      <c r="TEC479" s="2204"/>
      <c r="TED479" s="2204"/>
      <c r="TEE479" s="2204">
        <f t="shared" si="243"/>
        <v>0</v>
      </c>
      <c r="TEF479" s="2204">
        <f>[16]BV!TEQ395</f>
        <v>0</v>
      </c>
      <c r="TEG479" s="2204"/>
      <c r="TEH479" s="2204"/>
      <c r="TEI479" s="2204">
        <f t="shared" si="243"/>
        <v>0</v>
      </c>
      <c r="TEJ479" s="2204">
        <f>[16]BV!TEU395</f>
        <v>0</v>
      </c>
      <c r="TEK479" s="2204"/>
      <c r="TEL479" s="2204"/>
      <c r="TEM479" s="2204">
        <f t="shared" si="243"/>
        <v>0</v>
      </c>
      <c r="TEN479" s="2204">
        <f>[16]BV!TEY395</f>
        <v>0</v>
      </c>
      <c r="TEO479" s="2204"/>
      <c r="TEP479" s="2204"/>
      <c r="TEQ479" s="2204">
        <f t="shared" si="243"/>
        <v>0</v>
      </c>
      <c r="TER479" s="2204">
        <f>[16]BV!TFC395</f>
        <v>0</v>
      </c>
      <c r="TES479" s="2204"/>
      <c r="TET479" s="2204"/>
      <c r="TEU479" s="2204">
        <f t="shared" si="243"/>
        <v>0</v>
      </c>
      <c r="TEV479" s="2204">
        <f>[16]BV!TFG395</f>
        <v>0</v>
      </c>
      <c r="TEW479" s="2204"/>
      <c r="TEX479" s="2204"/>
      <c r="TEY479" s="2204">
        <f t="shared" si="243"/>
        <v>0</v>
      </c>
      <c r="TEZ479" s="2204">
        <f>[16]BV!TFK395</f>
        <v>0</v>
      </c>
      <c r="TFA479" s="2204"/>
      <c r="TFB479" s="2204"/>
      <c r="TFC479" s="2204">
        <f t="shared" si="243"/>
        <v>0</v>
      </c>
      <c r="TFD479" s="2204">
        <f>[16]BV!TFO395</f>
        <v>0</v>
      </c>
      <c r="TFE479" s="2204"/>
      <c r="TFF479" s="2204"/>
      <c r="TFG479" s="2204">
        <f t="shared" si="243"/>
        <v>0</v>
      </c>
      <c r="TFH479" s="2204">
        <f>[16]BV!TFS395</f>
        <v>0</v>
      </c>
      <c r="TFI479" s="2204"/>
      <c r="TFJ479" s="2204"/>
      <c r="TFK479" s="2204">
        <f t="shared" si="243"/>
        <v>0</v>
      </c>
      <c r="TFL479" s="2204">
        <f>[16]BV!TFW395</f>
        <v>0</v>
      </c>
      <c r="TFM479" s="2204"/>
      <c r="TFN479" s="2204"/>
      <c r="TFO479" s="2204">
        <f t="shared" si="243"/>
        <v>0</v>
      </c>
      <c r="TFP479" s="2204">
        <f>[16]BV!TGA395</f>
        <v>0</v>
      </c>
      <c r="TFQ479" s="2204"/>
      <c r="TFR479" s="2204"/>
      <c r="TFS479" s="2204">
        <f t="shared" si="243"/>
        <v>0</v>
      </c>
      <c r="TFT479" s="2204">
        <f>[16]BV!TGE395</f>
        <v>0</v>
      </c>
      <c r="TFU479" s="2204"/>
      <c r="TFV479" s="2204"/>
      <c r="TFW479" s="2204">
        <f t="shared" ref="TFW479:TIE479" si="244">TFT479</f>
        <v>0</v>
      </c>
      <c r="TFX479" s="2204">
        <f>[16]BV!TGI395</f>
        <v>0</v>
      </c>
      <c r="TFY479" s="2204"/>
      <c r="TFZ479" s="2204"/>
      <c r="TGA479" s="2204">
        <f t="shared" si="244"/>
        <v>0</v>
      </c>
      <c r="TGB479" s="2204">
        <f>[16]BV!TGM395</f>
        <v>0</v>
      </c>
      <c r="TGC479" s="2204"/>
      <c r="TGD479" s="2204"/>
      <c r="TGE479" s="2204">
        <f t="shared" si="244"/>
        <v>0</v>
      </c>
      <c r="TGF479" s="2204">
        <f>[16]BV!TGQ395</f>
        <v>0</v>
      </c>
      <c r="TGG479" s="2204"/>
      <c r="TGH479" s="2204"/>
      <c r="TGI479" s="2204">
        <f t="shared" si="244"/>
        <v>0</v>
      </c>
      <c r="TGJ479" s="2204">
        <f>[16]BV!TGU395</f>
        <v>0</v>
      </c>
      <c r="TGK479" s="2204"/>
      <c r="TGL479" s="2204"/>
      <c r="TGM479" s="2204">
        <f t="shared" si="244"/>
        <v>0</v>
      </c>
      <c r="TGN479" s="2204">
        <f>[16]BV!TGY395</f>
        <v>0</v>
      </c>
      <c r="TGO479" s="2204"/>
      <c r="TGP479" s="2204"/>
      <c r="TGQ479" s="2204">
        <f t="shared" si="244"/>
        <v>0</v>
      </c>
      <c r="TGR479" s="2204">
        <f>[16]BV!THC395</f>
        <v>0</v>
      </c>
      <c r="TGS479" s="2204"/>
      <c r="TGT479" s="2204"/>
      <c r="TGU479" s="2204">
        <f t="shared" si="244"/>
        <v>0</v>
      </c>
      <c r="TGV479" s="2204">
        <f>[16]BV!THG395</f>
        <v>0</v>
      </c>
      <c r="TGW479" s="2204"/>
      <c r="TGX479" s="2204"/>
      <c r="TGY479" s="2204">
        <f t="shared" si="244"/>
        <v>0</v>
      </c>
      <c r="TGZ479" s="2204">
        <f>[16]BV!THK395</f>
        <v>0</v>
      </c>
      <c r="THA479" s="2204"/>
      <c r="THB479" s="2204"/>
      <c r="THC479" s="2204">
        <f t="shared" si="244"/>
        <v>0</v>
      </c>
      <c r="THD479" s="2204">
        <f>[16]BV!THO395</f>
        <v>0</v>
      </c>
      <c r="THE479" s="2204"/>
      <c r="THF479" s="2204"/>
      <c r="THG479" s="2204">
        <f t="shared" si="244"/>
        <v>0</v>
      </c>
      <c r="THH479" s="2204">
        <f>[16]BV!THS395</f>
        <v>0</v>
      </c>
      <c r="THI479" s="2204"/>
      <c r="THJ479" s="2204"/>
      <c r="THK479" s="2204">
        <f t="shared" si="244"/>
        <v>0</v>
      </c>
      <c r="THL479" s="2204">
        <f>[16]BV!THW395</f>
        <v>0</v>
      </c>
      <c r="THM479" s="2204"/>
      <c r="THN479" s="2204"/>
      <c r="THO479" s="2204">
        <f t="shared" si="244"/>
        <v>0</v>
      </c>
      <c r="THP479" s="2204">
        <f>[16]BV!TIA395</f>
        <v>0</v>
      </c>
      <c r="THQ479" s="2204"/>
      <c r="THR479" s="2204"/>
      <c r="THS479" s="2204">
        <f t="shared" si="244"/>
        <v>0</v>
      </c>
      <c r="THT479" s="2204">
        <f>[16]BV!TIE395</f>
        <v>0</v>
      </c>
      <c r="THU479" s="2204"/>
      <c r="THV479" s="2204"/>
      <c r="THW479" s="2204">
        <f t="shared" si="244"/>
        <v>0</v>
      </c>
      <c r="THX479" s="2204">
        <f>[16]BV!TII395</f>
        <v>0</v>
      </c>
      <c r="THY479" s="2204"/>
      <c r="THZ479" s="2204"/>
      <c r="TIA479" s="2204">
        <f t="shared" si="244"/>
        <v>0</v>
      </c>
      <c r="TIB479" s="2204">
        <f>[16]BV!TIM395</f>
        <v>0</v>
      </c>
      <c r="TIC479" s="2204"/>
      <c r="TID479" s="2204"/>
      <c r="TIE479" s="2204">
        <f t="shared" si="244"/>
        <v>0</v>
      </c>
      <c r="TIF479" s="2204">
        <f>[16]BV!TIQ395</f>
        <v>0</v>
      </c>
      <c r="TIG479" s="2204"/>
      <c r="TIH479" s="2204"/>
      <c r="TII479" s="2204">
        <f t="shared" ref="TII479:TKQ479" si="245">TIF479</f>
        <v>0</v>
      </c>
      <c r="TIJ479" s="2204">
        <f>[16]BV!TIU395</f>
        <v>0</v>
      </c>
      <c r="TIK479" s="2204"/>
      <c r="TIL479" s="2204"/>
      <c r="TIM479" s="2204">
        <f t="shared" si="245"/>
        <v>0</v>
      </c>
      <c r="TIN479" s="2204">
        <f>[16]BV!TIY395</f>
        <v>0</v>
      </c>
      <c r="TIO479" s="2204"/>
      <c r="TIP479" s="2204"/>
      <c r="TIQ479" s="2204">
        <f t="shared" si="245"/>
        <v>0</v>
      </c>
      <c r="TIR479" s="2204">
        <f>[16]BV!TJC395</f>
        <v>0</v>
      </c>
      <c r="TIS479" s="2204"/>
      <c r="TIT479" s="2204"/>
      <c r="TIU479" s="2204">
        <f t="shared" si="245"/>
        <v>0</v>
      </c>
      <c r="TIV479" s="2204">
        <f>[16]BV!TJG395</f>
        <v>0</v>
      </c>
      <c r="TIW479" s="2204"/>
      <c r="TIX479" s="2204"/>
      <c r="TIY479" s="2204">
        <f t="shared" si="245"/>
        <v>0</v>
      </c>
      <c r="TIZ479" s="2204">
        <f>[16]BV!TJK395</f>
        <v>0</v>
      </c>
      <c r="TJA479" s="2204"/>
      <c r="TJB479" s="2204"/>
      <c r="TJC479" s="2204">
        <f t="shared" si="245"/>
        <v>0</v>
      </c>
      <c r="TJD479" s="2204">
        <f>[16]BV!TJO395</f>
        <v>0</v>
      </c>
      <c r="TJE479" s="2204"/>
      <c r="TJF479" s="2204"/>
      <c r="TJG479" s="2204">
        <f t="shared" si="245"/>
        <v>0</v>
      </c>
      <c r="TJH479" s="2204">
        <f>[16]BV!TJS395</f>
        <v>0</v>
      </c>
      <c r="TJI479" s="2204"/>
      <c r="TJJ479" s="2204"/>
      <c r="TJK479" s="2204">
        <f t="shared" si="245"/>
        <v>0</v>
      </c>
      <c r="TJL479" s="2204">
        <f>[16]BV!TJW395</f>
        <v>0</v>
      </c>
      <c r="TJM479" s="2204"/>
      <c r="TJN479" s="2204"/>
      <c r="TJO479" s="2204">
        <f t="shared" si="245"/>
        <v>0</v>
      </c>
      <c r="TJP479" s="2204">
        <f>[16]BV!TKA395</f>
        <v>0</v>
      </c>
      <c r="TJQ479" s="2204"/>
      <c r="TJR479" s="2204"/>
      <c r="TJS479" s="2204">
        <f t="shared" si="245"/>
        <v>0</v>
      </c>
      <c r="TJT479" s="2204">
        <f>[16]BV!TKE395</f>
        <v>0</v>
      </c>
      <c r="TJU479" s="2204"/>
      <c r="TJV479" s="2204"/>
      <c r="TJW479" s="2204">
        <f t="shared" si="245"/>
        <v>0</v>
      </c>
      <c r="TJX479" s="2204">
        <f>[16]BV!TKI395</f>
        <v>0</v>
      </c>
      <c r="TJY479" s="2204"/>
      <c r="TJZ479" s="2204"/>
      <c r="TKA479" s="2204">
        <f t="shared" si="245"/>
        <v>0</v>
      </c>
      <c r="TKB479" s="2204">
        <f>[16]BV!TKM395</f>
        <v>0</v>
      </c>
      <c r="TKC479" s="2204"/>
      <c r="TKD479" s="2204"/>
      <c r="TKE479" s="2204">
        <f t="shared" si="245"/>
        <v>0</v>
      </c>
      <c r="TKF479" s="2204">
        <f>[16]BV!TKQ395</f>
        <v>0</v>
      </c>
      <c r="TKG479" s="2204"/>
      <c r="TKH479" s="2204"/>
      <c r="TKI479" s="2204">
        <f t="shared" si="245"/>
        <v>0</v>
      </c>
      <c r="TKJ479" s="2204">
        <f>[16]BV!TKU395</f>
        <v>0</v>
      </c>
      <c r="TKK479" s="2204"/>
      <c r="TKL479" s="2204"/>
      <c r="TKM479" s="2204">
        <f t="shared" si="245"/>
        <v>0</v>
      </c>
      <c r="TKN479" s="2204">
        <f>[16]BV!TKY395</f>
        <v>0</v>
      </c>
      <c r="TKO479" s="2204"/>
      <c r="TKP479" s="2204"/>
      <c r="TKQ479" s="2204">
        <f t="shared" si="245"/>
        <v>0</v>
      </c>
      <c r="TKR479" s="2204">
        <f>[16]BV!TLC395</f>
        <v>0</v>
      </c>
      <c r="TKS479" s="2204"/>
      <c r="TKT479" s="2204"/>
      <c r="TKU479" s="2204">
        <f t="shared" ref="TKU479:TNC479" si="246">TKR479</f>
        <v>0</v>
      </c>
      <c r="TKV479" s="2204">
        <f>[16]BV!TLG395</f>
        <v>0</v>
      </c>
      <c r="TKW479" s="2204"/>
      <c r="TKX479" s="2204"/>
      <c r="TKY479" s="2204">
        <f t="shared" si="246"/>
        <v>0</v>
      </c>
      <c r="TKZ479" s="2204">
        <f>[16]BV!TLK395</f>
        <v>0</v>
      </c>
      <c r="TLA479" s="2204"/>
      <c r="TLB479" s="2204"/>
      <c r="TLC479" s="2204">
        <f t="shared" si="246"/>
        <v>0</v>
      </c>
      <c r="TLD479" s="2204">
        <f>[16]BV!TLO395</f>
        <v>0</v>
      </c>
      <c r="TLE479" s="2204"/>
      <c r="TLF479" s="2204"/>
      <c r="TLG479" s="2204">
        <f t="shared" si="246"/>
        <v>0</v>
      </c>
      <c r="TLH479" s="2204">
        <f>[16]BV!TLS395</f>
        <v>0</v>
      </c>
      <c r="TLI479" s="2204"/>
      <c r="TLJ479" s="2204"/>
      <c r="TLK479" s="2204">
        <f t="shared" si="246"/>
        <v>0</v>
      </c>
      <c r="TLL479" s="2204">
        <f>[16]BV!TLW395</f>
        <v>0</v>
      </c>
      <c r="TLM479" s="2204"/>
      <c r="TLN479" s="2204"/>
      <c r="TLO479" s="2204">
        <f t="shared" si="246"/>
        <v>0</v>
      </c>
      <c r="TLP479" s="2204">
        <f>[16]BV!TMA395</f>
        <v>0</v>
      </c>
      <c r="TLQ479" s="2204"/>
      <c r="TLR479" s="2204"/>
      <c r="TLS479" s="2204">
        <f t="shared" si="246"/>
        <v>0</v>
      </c>
      <c r="TLT479" s="2204">
        <f>[16]BV!TME395</f>
        <v>0</v>
      </c>
      <c r="TLU479" s="2204"/>
      <c r="TLV479" s="2204"/>
      <c r="TLW479" s="2204">
        <f t="shared" si="246"/>
        <v>0</v>
      </c>
      <c r="TLX479" s="2204">
        <f>[16]BV!TMI395</f>
        <v>0</v>
      </c>
      <c r="TLY479" s="2204"/>
      <c r="TLZ479" s="2204"/>
      <c r="TMA479" s="2204">
        <f t="shared" si="246"/>
        <v>0</v>
      </c>
      <c r="TMB479" s="2204">
        <f>[16]BV!TMM395</f>
        <v>0</v>
      </c>
      <c r="TMC479" s="2204"/>
      <c r="TMD479" s="2204"/>
      <c r="TME479" s="2204">
        <f t="shared" si="246"/>
        <v>0</v>
      </c>
      <c r="TMF479" s="2204">
        <f>[16]BV!TMQ395</f>
        <v>0</v>
      </c>
      <c r="TMG479" s="2204"/>
      <c r="TMH479" s="2204"/>
      <c r="TMI479" s="2204">
        <f t="shared" si="246"/>
        <v>0</v>
      </c>
      <c r="TMJ479" s="2204">
        <f>[16]BV!TMU395</f>
        <v>0</v>
      </c>
      <c r="TMK479" s="2204"/>
      <c r="TML479" s="2204"/>
      <c r="TMM479" s="2204">
        <f t="shared" si="246"/>
        <v>0</v>
      </c>
      <c r="TMN479" s="2204">
        <f>[16]BV!TMY395</f>
        <v>0</v>
      </c>
      <c r="TMO479" s="2204"/>
      <c r="TMP479" s="2204"/>
      <c r="TMQ479" s="2204">
        <f t="shared" si="246"/>
        <v>0</v>
      </c>
      <c r="TMR479" s="2204">
        <f>[16]BV!TNC395</f>
        <v>0</v>
      </c>
      <c r="TMS479" s="2204"/>
      <c r="TMT479" s="2204"/>
      <c r="TMU479" s="2204">
        <f t="shared" si="246"/>
        <v>0</v>
      </c>
      <c r="TMV479" s="2204">
        <f>[16]BV!TNG395</f>
        <v>0</v>
      </c>
      <c r="TMW479" s="2204"/>
      <c r="TMX479" s="2204"/>
      <c r="TMY479" s="2204">
        <f t="shared" si="246"/>
        <v>0</v>
      </c>
      <c r="TMZ479" s="2204">
        <f>[16]BV!TNK395</f>
        <v>0</v>
      </c>
      <c r="TNA479" s="2204"/>
      <c r="TNB479" s="2204"/>
      <c r="TNC479" s="2204">
        <f t="shared" si="246"/>
        <v>0</v>
      </c>
      <c r="TND479" s="2204">
        <f>[16]BV!TNO395</f>
        <v>0</v>
      </c>
      <c r="TNE479" s="2204"/>
      <c r="TNF479" s="2204"/>
      <c r="TNG479" s="2204">
        <f t="shared" ref="TNG479:TPO479" si="247">TND479</f>
        <v>0</v>
      </c>
      <c r="TNH479" s="2204">
        <f>[16]BV!TNS395</f>
        <v>0</v>
      </c>
      <c r="TNI479" s="2204"/>
      <c r="TNJ479" s="2204"/>
      <c r="TNK479" s="2204">
        <f t="shared" si="247"/>
        <v>0</v>
      </c>
      <c r="TNL479" s="2204">
        <f>[16]BV!TNW395</f>
        <v>0</v>
      </c>
      <c r="TNM479" s="2204"/>
      <c r="TNN479" s="2204"/>
      <c r="TNO479" s="2204">
        <f t="shared" si="247"/>
        <v>0</v>
      </c>
      <c r="TNP479" s="2204">
        <f>[16]BV!TOA395</f>
        <v>0</v>
      </c>
      <c r="TNQ479" s="2204"/>
      <c r="TNR479" s="2204"/>
      <c r="TNS479" s="2204">
        <f t="shared" si="247"/>
        <v>0</v>
      </c>
      <c r="TNT479" s="2204">
        <f>[16]BV!TOE395</f>
        <v>0</v>
      </c>
      <c r="TNU479" s="2204"/>
      <c r="TNV479" s="2204"/>
      <c r="TNW479" s="2204">
        <f t="shared" si="247"/>
        <v>0</v>
      </c>
      <c r="TNX479" s="2204">
        <f>[16]BV!TOI395</f>
        <v>0</v>
      </c>
      <c r="TNY479" s="2204"/>
      <c r="TNZ479" s="2204"/>
      <c r="TOA479" s="2204">
        <f t="shared" si="247"/>
        <v>0</v>
      </c>
      <c r="TOB479" s="2204">
        <f>[16]BV!TOM395</f>
        <v>0</v>
      </c>
      <c r="TOC479" s="2204"/>
      <c r="TOD479" s="2204"/>
      <c r="TOE479" s="2204">
        <f t="shared" si="247"/>
        <v>0</v>
      </c>
      <c r="TOF479" s="2204">
        <f>[16]BV!TOQ395</f>
        <v>0</v>
      </c>
      <c r="TOG479" s="2204"/>
      <c r="TOH479" s="2204"/>
      <c r="TOI479" s="2204">
        <f t="shared" si="247"/>
        <v>0</v>
      </c>
      <c r="TOJ479" s="2204">
        <f>[16]BV!TOU395</f>
        <v>0</v>
      </c>
      <c r="TOK479" s="2204"/>
      <c r="TOL479" s="2204"/>
      <c r="TOM479" s="2204">
        <f t="shared" si="247"/>
        <v>0</v>
      </c>
      <c r="TON479" s="2204">
        <f>[16]BV!TOY395</f>
        <v>0</v>
      </c>
      <c r="TOO479" s="2204"/>
      <c r="TOP479" s="2204"/>
      <c r="TOQ479" s="2204">
        <f t="shared" si="247"/>
        <v>0</v>
      </c>
      <c r="TOR479" s="2204">
        <f>[16]BV!TPC395</f>
        <v>0</v>
      </c>
      <c r="TOS479" s="2204"/>
      <c r="TOT479" s="2204"/>
      <c r="TOU479" s="2204">
        <f t="shared" si="247"/>
        <v>0</v>
      </c>
      <c r="TOV479" s="2204">
        <f>[16]BV!TPG395</f>
        <v>0</v>
      </c>
      <c r="TOW479" s="2204"/>
      <c r="TOX479" s="2204"/>
      <c r="TOY479" s="2204">
        <f t="shared" si="247"/>
        <v>0</v>
      </c>
      <c r="TOZ479" s="2204">
        <f>[16]BV!TPK395</f>
        <v>0</v>
      </c>
      <c r="TPA479" s="2204"/>
      <c r="TPB479" s="2204"/>
      <c r="TPC479" s="2204">
        <f t="shared" si="247"/>
        <v>0</v>
      </c>
      <c r="TPD479" s="2204">
        <f>[16]BV!TPO395</f>
        <v>0</v>
      </c>
      <c r="TPE479" s="2204"/>
      <c r="TPF479" s="2204"/>
      <c r="TPG479" s="2204">
        <f t="shared" si="247"/>
        <v>0</v>
      </c>
      <c r="TPH479" s="2204">
        <f>[16]BV!TPS395</f>
        <v>0</v>
      </c>
      <c r="TPI479" s="2204"/>
      <c r="TPJ479" s="2204"/>
      <c r="TPK479" s="2204">
        <f t="shared" si="247"/>
        <v>0</v>
      </c>
      <c r="TPL479" s="2204">
        <f>[16]BV!TPW395</f>
        <v>0</v>
      </c>
      <c r="TPM479" s="2204"/>
      <c r="TPN479" s="2204"/>
      <c r="TPO479" s="2204">
        <f t="shared" si="247"/>
        <v>0</v>
      </c>
      <c r="TPP479" s="2204">
        <f>[16]BV!TQA395</f>
        <v>0</v>
      </c>
      <c r="TPQ479" s="2204"/>
      <c r="TPR479" s="2204"/>
      <c r="TPS479" s="2204">
        <f t="shared" ref="TPS479:TSA479" si="248">TPP479</f>
        <v>0</v>
      </c>
      <c r="TPT479" s="2204">
        <f>[16]BV!TQE395</f>
        <v>0</v>
      </c>
      <c r="TPU479" s="2204"/>
      <c r="TPV479" s="2204"/>
      <c r="TPW479" s="2204">
        <f t="shared" si="248"/>
        <v>0</v>
      </c>
      <c r="TPX479" s="2204">
        <f>[16]BV!TQI395</f>
        <v>0</v>
      </c>
      <c r="TPY479" s="2204"/>
      <c r="TPZ479" s="2204"/>
      <c r="TQA479" s="2204">
        <f t="shared" si="248"/>
        <v>0</v>
      </c>
      <c r="TQB479" s="2204">
        <f>[16]BV!TQM395</f>
        <v>0</v>
      </c>
      <c r="TQC479" s="2204"/>
      <c r="TQD479" s="2204"/>
      <c r="TQE479" s="2204">
        <f t="shared" si="248"/>
        <v>0</v>
      </c>
      <c r="TQF479" s="2204">
        <f>[16]BV!TQQ395</f>
        <v>0</v>
      </c>
      <c r="TQG479" s="2204"/>
      <c r="TQH479" s="2204"/>
      <c r="TQI479" s="2204">
        <f t="shared" si="248"/>
        <v>0</v>
      </c>
      <c r="TQJ479" s="2204">
        <f>[16]BV!TQU395</f>
        <v>0</v>
      </c>
      <c r="TQK479" s="2204"/>
      <c r="TQL479" s="2204"/>
      <c r="TQM479" s="2204">
        <f t="shared" si="248"/>
        <v>0</v>
      </c>
      <c r="TQN479" s="2204">
        <f>[16]BV!TQY395</f>
        <v>0</v>
      </c>
      <c r="TQO479" s="2204"/>
      <c r="TQP479" s="2204"/>
      <c r="TQQ479" s="2204">
        <f t="shared" si="248"/>
        <v>0</v>
      </c>
      <c r="TQR479" s="2204">
        <f>[16]BV!TRC395</f>
        <v>0</v>
      </c>
      <c r="TQS479" s="2204"/>
      <c r="TQT479" s="2204"/>
      <c r="TQU479" s="2204">
        <f t="shared" si="248"/>
        <v>0</v>
      </c>
      <c r="TQV479" s="2204">
        <f>[16]BV!TRG395</f>
        <v>0</v>
      </c>
      <c r="TQW479" s="2204"/>
      <c r="TQX479" s="2204"/>
      <c r="TQY479" s="2204">
        <f t="shared" si="248"/>
        <v>0</v>
      </c>
      <c r="TQZ479" s="2204">
        <f>[16]BV!TRK395</f>
        <v>0</v>
      </c>
      <c r="TRA479" s="2204"/>
      <c r="TRB479" s="2204"/>
      <c r="TRC479" s="2204">
        <f t="shared" si="248"/>
        <v>0</v>
      </c>
      <c r="TRD479" s="2204">
        <f>[16]BV!TRO395</f>
        <v>0</v>
      </c>
      <c r="TRE479" s="2204"/>
      <c r="TRF479" s="2204"/>
      <c r="TRG479" s="2204">
        <f t="shared" si="248"/>
        <v>0</v>
      </c>
      <c r="TRH479" s="2204">
        <f>[16]BV!TRS395</f>
        <v>0</v>
      </c>
      <c r="TRI479" s="2204"/>
      <c r="TRJ479" s="2204"/>
      <c r="TRK479" s="2204">
        <f t="shared" si="248"/>
        <v>0</v>
      </c>
      <c r="TRL479" s="2204">
        <f>[16]BV!TRW395</f>
        <v>0</v>
      </c>
      <c r="TRM479" s="2204"/>
      <c r="TRN479" s="2204"/>
      <c r="TRO479" s="2204">
        <f t="shared" si="248"/>
        <v>0</v>
      </c>
      <c r="TRP479" s="2204">
        <f>[16]BV!TSA395</f>
        <v>0</v>
      </c>
      <c r="TRQ479" s="2204"/>
      <c r="TRR479" s="2204"/>
      <c r="TRS479" s="2204">
        <f t="shared" si="248"/>
        <v>0</v>
      </c>
      <c r="TRT479" s="2204">
        <f>[16]BV!TSE395</f>
        <v>0</v>
      </c>
      <c r="TRU479" s="2204"/>
      <c r="TRV479" s="2204"/>
      <c r="TRW479" s="2204">
        <f t="shared" si="248"/>
        <v>0</v>
      </c>
      <c r="TRX479" s="2204">
        <f>[16]BV!TSI395</f>
        <v>0</v>
      </c>
      <c r="TRY479" s="2204"/>
      <c r="TRZ479" s="2204"/>
      <c r="TSA479" s="2204">
        <f t="shared" si="248"/>
        <v>0</v>
      </c>
      <c r="TSB479" s="2204">
        <f>[16]BV!TSM395</f>
        <v>0</v>
      </c>
      <c r="TSC479" s="2204"/>
      <c r="TSD479" s="2204"/>
      <c r="TSE479" s="2204">
        <f t="shared" ref="TSE479:TUM479" si="249">TSB479</f>
        <v>0</v>
      </c>
      <c r="TSF479" s="2204">
        <f>[16]BV!TSQ395</f>
        <v>0</v>
      </c>
      <c r="TSG479" s="2204"/>
      <c r="TSH479" s="2204"/>
      <c r="TSI479" s="2204">
        <f t="shared" si="249"/>
        <v>0</v>
      </c>
      <c r="TSJ479" s="2204">
        <f>[16]BV!TSU395</f>
        <v>0</v>
      </c>
      <c r="TSK479" s="2204"/>
      <c r="TSL479" s="2204"/>
      <c r="TSM479" s="2204">
        <f t="shared" si="249"/>
        <v>0</v>
      </c>
      <c r="TSN479" s="2204">
        <f>[16]BV!TSY395</f>
        <v>0</v>
      </c>
      <c r="TSO479" s="2204"/>
      <c r="TSP479" s="2204"/>
      <c r="TSQ479" s="2204">
        <f t="shared" si="249"/>
        <v>0</v>
      </c>
      <c r="TSR479" s="2204">
        <f>[16]BV!TTC395</f>
        <v>0</v>
      </c>
      <c r="TSS479" s="2204"/>
      <c r="TST479" s="2204"/>
      <c r="TSU479" s="2204">
        <f t="shared" si="249"/>
        <v>0</v>
      </c>
      <c r="TSV479" s="2204">
        <f>[16]BV!TTG395</f>
        <v>0</v>
      </c>
      <c r="TSW479" s="2204"/>
      <c r="TSX479" s="2204"/>
      <c r="TSY479" s="2204">
        <f t="shared" si="249"/>
        <v>0</v>
      </c>
      <c r="TSZ479" s="2204">
        <f>[16]BV!TTK395</f>
        <v>0</v>
      </c>
      <c r="TTA479" s="2204"/>
      <c r="TTB479" s="2204"/>
      <c r="TTC479" s="2204">
        <f t="shared" si="249"/>
        <v>0</v>
      </c>
      <c r="TTD479" s="2204">
        <f>[16]BV!TTO395</f>
        <v>0</v>
      </c>
      <c r="TTE479" s="2204"/>
      <c r="TTF479" s="2204"/>
      <c r="TTG479" s="2204">
        <f t="shared" si="249"/>
        <v>0</v>
      </c>
      <c r="TTH479" s="2204">
        <f>[16]BV!TTS395</f>
        <v>0</v>
      </c>
      <c r="TTI479" s="2204"/>
      <c r="TTJ479" s="2204"/>
      <c r="TTK479" s="2204">
        <f t="shared" si="249"/>
        <v>0</v>
      </c>
      <c r="TTL479" s="2204">
        <f>[16]BV!TTW395</f>
        <v>0</v>
      </c>
      <c r="TTM479" s="2204"/>
      <c r="TTN479" s="2204"/>
      <c r="TTO479" s="2204">
        <f t="shared" si="249"/>
        <v>0</v>
      </c>
      <c r="TTP479" s="2204">
        <f>[16]BV!TUA395</f>
        <v>0</v>
      </c>
      <c r="TTQ479" s="2204"/>
      <c r="TTR479" s="2204"/>
      <c r="TTS479" s="2204">
        <f t="shared" si="249"/>
        <v>0</v>
      </c>
      <c r="TTT479" s="2204">
        <f>[16]BV!TUE395</f>
        <v>0</v>
      </c>
      <c r="TTU479" s="2204"/>
      <c r="TTV479" s="2204"/>
      <c r="TTW479" s="2204">
        <f t="shared" si="249"/>
        <v>0</v>
      </c>
      <c r="TTX479" s="2204">
        <f>[16]BV!TUI395</f>
        <v>0</v>
      </c>
      <c r="TTY479" s="2204"/>
      <c r="TTZ479" s="2204"/>
      <c r="TUA479" s="2204">
        <f t="shared" si="249"/>
        <v>0</v>
      </c>
      <c r="TUB479" s="2204">
        <f>[16]BV!TUM395</f>
        <v>0</v>
      </c>
      <c r="TUC479" s="2204"/>
      <c r="TUD479" s="2204"/>
      <c r="TUE479" s="2204">
        <f t="shared" si="249"/>
        <v>0</v>
      </c>
      <c r="TUF479" s="2204">
        <f>[16]BV!TUQ395</f>
        <v>0</v>
      </c>
      <c r="TUG479" s="2204"/>
      <c r="TUH479" s="2204"/>
      <c r="TUI479" s="2204">
        <f t="shared" si="249"/>
        <v>0</v>
      </c>
      <c r="TUJ479" s="2204">
        <f>[16]BV!TUU395</f>
        <v>0</v>
      </c>
      <c r="TUK479" s="2204"/>
      <c r="TUL479" s="2204"/>
      <c r="TUM479" s="2204">
        <f t="shared" si="249"/>
        <v>0</v>
      </c>
      <c r="TUN479" s="2204">
        <f>[16]BV!TUY395</f>
        <v>0</v>
      </c>
      <c r="TUO479" s="2204"/>
      <c r="TUP479" s="2204"/>
      <c r="TUQ479" s="2204">
        <f t="shared" ref="TUQ479:TWY479" si="250">TUN479</f>
        <v>0</v>
      </c>
      <c r="TUR479" s="2204">
        <f>[16]BV!TVC395</f>
        <v>0</v>
      </c>
      <c r="TUS479" s="2204"/>
      <c r="TUT479" s="2204"/>
      <c r="TUU479" s="2204">
        <f t="shared" si="250"/>
        <v>0</v>
      </c>
      <c r="TUV479" s="2204">
        <f>[16]BV!TVG395</f>
        <v>0</v>
      </c>
      <c r="TUW479" s="2204"/>
      <c r="TUX479" s="2204"/>
      <c r="TUY479" s="2204">
        <f t="shared" si="250"/>
        <v>0</v>
      </c>
      <c r="TUZ479" s="2204">
        <f>[16]BV!TVK395</f>
        <v>0</v>
      </c>
      <c r="TVA479" s="2204"/>
      <c r="TVB479" s="2204"/>
      <c r="TVC479" s="2204">
        <f t="shared" si="250"/>
        <v>0</v>
      </c>
      <c r="TVD479" s="2204">
        <f>[16]BV!TVO395</f>
        <v>0</v>
      </c>
      <c r="TVE479" s="2204"/>
      <c r="TVF479" s="2204"/>
      <c r="TVG479" s="2204">
        <f t="shared" si="250"/>
        <v>0</v>
      </c>
      <c r="TVH479" s="2204">
        <f>[16]BV!TVS395</f>
        <v>0</v>
      </c>
      <c r="TVI479" s="2204"/>
      <c r="TVJ479" s="2204"/>
      <c r="TVK479" s="2204">
        <f t="shared" si="250"/>
        <v>0</v>
      </c>
      <c r="TVL479" s="2204">
        <f>[16]BV!TVW395</f>
        <v>0</v>
      </c>
      <c r="TVM479" s="2204"/>
      <c r="TVN479" s="2204"/>
      <c r="TVO479" s="2204">
        <f t="shared" si="250"/>
        <v>0</v>
      </c>
      <c r="TVP479" s="2204">
        <f>[16]BV!TWA395</f>
        <v>0</v>
      </c>
      <c r="TVQ479" s="2204"/>
      <c r="TVR479" s="2204"/>
      <c r="TVS479" s="2204">
        <f t="shared" si="250"/>
        <v>0</v>
      </c>
      <c r="TVT479" s="2204">
        <f>[16]BV!TWE395</f>
        <v>0</v>
      </c>
      <c r="TVU479" s="2204"/>
      <c r="TVV479" s="2204"/>
      <c r="TVW479" s="2204">
        <f t="shared" si="250"/>
        <v>0</v>
      </c>
      <c r="TVX479" s="2204">
        <f>[16]BV!TWI395</f>
        <v>0</v>
      </c>
      <c r="TVY479" s="2204"/>
      <c r="TVZ479" s="2204"/>
      <c r="TWA479" s="2204">
        <f t="shared" si="250"/>
        <v>0</v>
      </c>
      <c r="TWB479" s="2204">
        <f>[16]BV!TWM395</f>
        <v>0</v>
      </c>
      <c r="TWC479" s="2204"/>
      <c r="TWD479" s="2204"/>
      <c r="TWE479" s="2204">
        <f t="shared" si="250"/>
        <v>0</v>
      </c>
      <c r="TWF479" s="2204">
        <f>[16]BV!TWQ395</f>
        <v>0</v>
      </c>
      <c r="TWG479" s="2204"/>
      <c r="TWH479" s="2204"/>
      <c r="TWI479" s="2204">
        <f t="shared" si="250"/>
        <v>0</v>
      </c>
      <c r="TWJ479" s="2204">
        <f>[16]BV!TWU395</f>
        <v>0</v>
      </c>
      <c r="TWK479" s="2204"/>
      <c r="TWL479" s="2204"/>
      <c r="TWM479" s="2204">
        <f t="shared" si="250"/>
        <v>0</v>
      </c>
      <c r="TWN479" s="2204">
        <f>[16]BV!TWY395</f>
        <v>0</v>
      </c>
      <c r="TWO479" s="2204"/>
      <c r="TWP479" s="2204"/>
      <c r="TWQ479" s="2204">
        <f t="shared" si="250"/>
        <v>0</v>
      </c>
      <c r="TWR479" s="2204">
        <f>[16]BV!TXC395</f>
        <v>0</v>
      </c>
      <c r="TWS479" s="2204"/>
      <c r="TWT479" s="2204"/>
      <c r="TWU479" s="2204">
        <f t="shared" si="250"/>
        <v>0</v>
      </c>
      <c r="TWV479" s="2204">
        <f>[16]BV!TXG395</f>
        <v>0</v>
      </c>
      <c r="TWW479" s="2204"/>
      <c r="TWX479" s="2204"/>
      <c r="TWY479" s="2204">
        <f t="shared" si="250"/>
        <v>0</v>
      </c>
      <c r="TWZ479" s="2204">
        <f>[16]BV!TXK395</f>
        <v>0</v>
      </c>
      <c r="TXA479" s="2204"/>
      <c r="TXB479" s="2204"/>
      <c r="TXC479" s="2204">
        <f t="shared" ref="TXC479:TZK479" si="251">TWZ479</f>
        <v>0</v>
      </c>
      <c r="TXD479" s="2204">
        <f>[16]BV!TXO395</f>
        <v>0</v>
      </c>
      <c r="TXE479" s="2204"/>
      <c r="TXF479" s="2204"/>
      <c r="TXG479" s="2204">
        <f t="shared" si="251"/>
        <v>0</v>
      </c>
      <c r="TXH479" s="2204">
        <f>[16]BV!TXS395</f>
        <v>0</v>
      </c>
      <c r="TXI479" s="2204"/>
      <c r="TXJ479" s="2204"/>
      <c r="TXK479" s="2204">
        <f t="shared" si="251"/>
        <v>0</v>
      </c>
      <c r="TXL479" s="2204">
        <f>[16]BV!TXW395</f>
        <v>0</v>
      </c>
      <c r="TXM479" s="2204"/>
      <c r="TXN479" s="2204"/>
      <c r="TXO479" s="2204">
        <f t="shared" si="251"/>
        <v>0</v>
      </c>
      <c r="TXP479" s="2204">
        <f>[16]BV!TYA395</f>
        <v>0</v>
      </c>
      <c r="TXQ479" s="2204"/>
      <c r="TXR479" s="2204"/>
      <c r="TXS479" s="2204">
        <f t="shared" si="251"/>
        <v>0</v>
      </c>
      <c r="TXT479" s="2204">
        <f>[16]BV!TYE395</f>
        <v>0</v>
      </c>
      <c r="TXU479" s="2204"/>
      <c r="TXV479" s="2204"/>
      <c r="TXW479" s="2204">
        <f t="shared" si="251"/>
        <v>0</v>
      </c>
      <c r="TXX479" s="2204">
        <f>[16]BV!TYI395</f>
        <v>0</v>
      </c>
      <c r="TXY479" s="2204"/>
      <c r="TXZ479" s="2204"/>
      <c r="TYA479" s="2204">
        <f t="shared" si="251"/>
        <v>0</v>
      </c>
      <c r="TYB479" s="2204">
        <f>[16]BV!TYM395</f>
        <v>0</v>
      </c>
      <c r="TYC479" s="2204"/>
      <c r="TYD479" s="2204"/>
      <c r="TYE479" s="2204">
        <f t="shared" si="251"/>
        <v>0</v>
      </c>
      <c r="TYF479" s="2204">
        <f>[16]BV!TYQ395</f>
        <v>0</v>
      </c>
      <c r="TYG479" s="2204"/>
      <c r="TYH479" s="2204"/>
      <c r="TYI479" s="2204">
        <f t="shared" si="251"/>
        <v>0</v>
      </c>
      <c r="TYJ479" s="2204">
        <f>[16]BV!TYU395</f>
        <v>0</v>
      </c>
      <c r="TYK479" s="2204"/>
      <c r="TYL479" s="2204"/>
      <c r="TYM479" s="2204">
        <f t="shared" si="251"/>
        <v>0</v>
      </c>
      <c r="TYN479" s="2204">
        <f>[16]BV!TYY395</f>
        <v>0</v>
      </c>
      <c r="TYO479" s="2204"/>
      <c r="TYP479" s="2204"/>
      <c r="TYQ479" s="2204">
        <f t="shared" si="251"/>
        <v>0</v>
      </c>
      <c r="TYR479" s="2204">
        <f>[16]BV!TZC395</f>
        <v>0</v>
      </c>
      <c r="TYS479" s="2204"/>
      <c r="TYT479" s="2204"/>
      <c r="TYU479" s="2204">
        <f t="shared" si="251"/>
        <v>0</v>
      </c>
      <c r="TYV479" s="2204">
        <f>[16]BV!TZG395</f>
        <v>0</v>
      </c>
      <c r="TYW479" s="2204"/>
      <c r="TYX479" s="2204"/>
      <c r="TYY479" s="2204">
        <f t="shared" si="251"/>
        <v>0</v>
      </c>
      <c r="TYZ479" s="2204">
        <f>[16]BV!TZK395</f>
        <v>0</v>
      </c>
      <c r="TZA479" s="2204"/>
      <c r="TZB479" s="2204"/>
      <c r="TZC479" s="2204">
        <f t="shared" si="251"/>
        <v>0</v>
      </c>
      <c r="TZD479" s="2204">
        <f>[16]BV!TZO395</f>
        <v>0</v>
      </c>
      <c r="TZE479" s="2204"/>
      <c r="TZF479" s="2204"/>
      <c r="TZG479" s="2204">
        <f t="shared" si="251"/>
        <v>0</v>
      </c>
      <c r="TZH479" s="2204">
        <f>[16]BV!TZS395</f>
        <v>0</v>
      </c>
      <c r="TZI479" s="2204"/>
      <c r="TZJ479" s="2204"/>
      <c r="TZK479" s="2204">
        <f t="shared" si="251"/>
        <v>0</v>
      </c>
      <c r="TZL479" s="2204">
        <f>[16]BV!TZW395</f>
        <v>0</v>
      </c>
      <c r="TZM479" s="2204"/>
      <c r="TZN479" s="2204"/>
      <c r="TZO479" s="2204">
        <f t="shared" ref="TZO479:UBW479" si="252">TZL479</f>
        <v>0</v>
      </c>
      <c r="TZP479" s="2204">
        <f>[16]BV!UAA395</f>
        <v>0</v>
      </c>
      <c r="TZQ479" s="2204"/>
      <c r="TZR479" s="2204"/>
      <c r="TZS479" s="2204">
        <f t="shared" si="252"/>
        <v>0</v>
      </c>
      <c r="TZT479" s="2204">
        <f>[16]BV!UAE395</f>
        <v>0</v>
      </c>
      <c r="TZU479" s="2204"/>
      <c r="TZV479" s="2204"/>
      <c r="TZW479" s="2204">
        <f t="shared" si="252"/>
        <v>0</v>
      </c>
      <c r="TZX479" s="2204">
        <f>[16]BV!UAI395</f>
        <v>0</v>
      </c>
      <c r="TZY479" s="2204"/>
      <c r="TZZ479" s="2204"/>
      <c r="UAA479" s="2204">
        <f t="shared" si="252"/>
        <v>0</v>
      </c>
      <c r="UAB479" s="2204">
        <f>[16]BV!UAM395</f>
        <v>0</v>
      </c>
      <c r="UAC479" s="2204"/>
      <c r="UAD479" s="2204"/>
      <c r="UAE479" s="2204">
        <f t="shared" si="252"/>
        <v>0</v>
      </c>
      <c r="UAF479" s="2204">
        <f>[16]BV!UAQ395</f>
        <v>0</v>
      </c>
      <c r="UAG479" s="2204"/>
      <c r="UAH479" s="2204"/>
      <c r="UAI479" s="2204">
        <f t="shared" si="252"/>
        <v>0</v>
      </c>
      <c r="UAJ479" s="2204">
        <f>[16]BV!UAU395</f>
        <v>0</v>
      </c>
      <c r="UAK479" s="2204"/>
      <c r="UAL479" s="2204"/>
      <c r="UAM479" s="2204">
        <f t="shared" si="252"/>
        <v>0</v>
      </c>
      <c r="UAN479" s="2204">
        <f>[16]BV!UAY395</f>
        <v>0</v>
      </c>
      <c r="UAO479" s="2204"/>
      <c r="UAP479" s="2204"/>
      <c r="UAQ479" s="2204">
        <f t="shared" si="252"/>
        <v>0</v>
      </c>
      <c r="UAR479" s="2204">
        <f>[16]BV!UBC395</f>
        <v>0</v>
      </c>
      <c r="UAS479" s="2204"/>
      <c r="UAT479" s="2204"/>
      <c r="UAU479" s="2204">
        <f t="shared" si="252"/>
        <v>0</v>
      </c>
      <c r="UAV479" s="2204">
        <f>[16]BV!UBG395</f>
        <v>0</v>
      </c>
      <c r="UAW479" s="2204"/>
      <c r="UAX479" s="2204"/>
      <c r="UAY479" s="2204">
        <f t="shared" si="252"/>
        <v>0</v>
      </c>
      <c r="UAZ479" s="2204">
        <f>[16]BV!UBK395</f>
        <v>0</v>
      </c>
      <c r="UBA479" s="2204"/>
      <c r="UBB479" s="2204"/>
      <c r="UBC479" s="2204">
        <f t="shared" si="252"/>
        <v>0</v>
      </c>
      <c r="UBD479" s="2204">
        <f>[16]BV!UBO395</f>
        <v>0</v>
      </c>
      <c r="UBE479" s="2204"/>
      <c r="UBF479" s="2204"/>
      <c r="UBG479" s="2204">
        <f t="shared" si="252"/>
        <v>0</v>
      </c>
      <c r="UBH479" s="2204">
        <f>[16]BV!UBS395</f>
        <v>0</v>
      </c>
      <c r="UBI479" s="2204"/>
      <c r="UBJ479" s="2204"/>
      <c r="UBK479" s="2204">
        <f t="shared" si="252"/>
        <v>0</v>
      </c>
      <c r="UBL479" s="2204">
        <f>[16]BV!UBW395</f>
        <v>0</v>
      </c>
      <c r="UBM479" s="2204"/>
      <c r="UBN479" s="2204"/>
      <c r="UBO479" s="2204">
        <f t="shared" si="252"/>
        <v>0</v>
      </c>
      <c r="UBP479" s="2204">
        <f>[16]BV!UCA395</f>
        <v>0</v>
      </c>
      <c r="UBQ479" s="2204"/>
      <c r="UBR479" s="2204"/>
      <c r="UBS479" s="2204">
        <f t="shared" si="252"/>
        <v>0</v>
      </c>
      <c r="UBT479" s="2204">
        <f>[16]BV!UCE395</f>
        <v>0</v>
      </c>
      <c r="UBU479" s="2204"/>
      <c r="UBV479" s="2204"/>
      <c r="UBW479" s="2204">
        <f t="shared" si="252"/>
        <v>0</v>
      </c>
      <c r="UBX479" s="2204">
        <f>[16]BV!UCI395</f>
        <v>0</v>
      </c>
      <c r="UBY479" s="2204"/>
      <c r="UBZ479" s="2204"/>
      <c r="UCA479" s="2204">
        <f t="shared" ref="UCA479:UEI479" si="253">UBX479</f>
        <v>0</v>
      </c>
      <c r="UCB479" s="2204">
        <f>[16]BV!UCM395</f>
        <v>0</v>
      </c>
      <c r="UCC479" s="2204"/>
      <c r="UCD479" s="2204"/>
      <c r="UCE479" s="2204">
        <f t="shared" si="253"/>
        <v>0</v>
      </c>
      <c r="UCF479" s="2204">
        <f>[16]BV!UCQ395</f>
        <v>0</v>
      </c>
      <c r="UCG479" s="2204"/>
      <c r="UCH479" s="2204"/>
      <c r="UCI479" s="2204">
        <f t="shared" si="253"/>
        <v>0</v>
      </c>
      <c r="UCJ479" s="2204">
        <f>[16]BV!UCU395</f>
        <v>0</v>
      </c>
      <c r="UCK479" s="2204"/>
      <c r="UCL479" s="2204"/>
      <c r="UCM479" s="2204">
        <f t="shared" si="253"/>
        <v>0</v>
      </c>
      <c r="UCN479" s="2204">
        <f>[16]BV!UCY395</f>
        <v>0</v>
      </c>
      <c r="UCO479" s="2204"/>
      <c r="UCP479" s="2204"/>
      <c r="UCQ479" s="2204">
        <f t="shared" si="253"/>
        <v>0</v>
      </c>
      <c r="UCR479" s="2204">
        <f>[16]BV!UDC395</f>
        <v>0</v>
      </c>
      <c r="UCS479" s="2204"/>
      <c r="UCT479" s="2204"/>
      <c r="UCU479" s="2204">
        <f t="shared" si="253"/>
        <v>0</v>
      </c>
      <c r="UCV479" s="2204">
        <f>[16]BV!UDG395</f>
        <v>0</v>
      </c>
      <c r="UCW479" s="2204"/>
      <c r="UCX479" s="2204"/>
      <c r="UCY479" s="2204">
        <f t="shared" si="253"/>
        <v>0</v>
      </c>
      <c r="UCZ479" s="2204">
        <f>[16]BV!UDK395</f>
        <v>0</v>
      </c>
      <c r="UDA479" s="2204"/>
      <c r="UDB479" s="2204"/>
      <c r="UDC479" s="2204">
        <f t="shared" si="253"/>
        <v>0</v>
      </c>
      <c r="UDD479" s="2204">
        <f>[16]BV!UDO395</f>
        <v>0</v>
      </c>
      <c r="UDE479" s="2204"/>
      <c r="UDF479" s="2204"/>
      <c r="UDG479" s="2204">
        <f t="shared" si="253"/>
        <v>0</v>
      </c>
      <c r="UDH479" s="2204">
        <f>[16]BV!UDS395</f>
        <v>0</v>
      </c>
      <c r="UDI479" s="2204"/>
      <c r="UDJ479" s="2204"/>
      <c r="UDK479" s="2204">
        <f t="shared" si="253"/>
        <v>0</v>
      </c>
      <c r="UDL479" s="2204">
        <f>[16]BV!UDW395</f>
        <v>0</v>
      </c>
      <c r="UDM479" s="2204"/>
      <c r="UDN479" s="2204"/>
      <c r="UDO479" s="2204">
        <f t="shared" si="253"/>
        <v>0</v>
      </c>
      <c r="UDP479" s="2204">
        <f>[16]BV!UEA395</f>
        <v>0</v>
      </c>
      <c r="UDQ479" s="2204"/>
      <c r="UDR479" s="2204"/>
      <c r="UDS479" s="2204">
        <f t="shared" si="253"/>
        <v>0</v>
      </c>
      <c r="UDT479" s="2204">
        <f>[16]BV!UEE395</f>
        <v>0</v>
      </c>
      <c r="UDU479" s="2204"/>
      <c r="UDV479" s="2204"/>
      <c r="UDW479" s="2204">
        <f t="shared" si="253"/>
        <v>0</v>
      </c>
      <c r="UDX479" s="2204">
        <f>[16]BV!UEI395</f>
        <v>0</v>
      </c>
      <c r="UDY479" s="2204"/>
      <c r="UDZ479" s="2204"/>
      <c r="UEA479" s="2204">
        <f t="shared" si="253"/>
        <v>0</v>
      </c>
      <c r="UEB479" s="2204">
        <f>[16]BV!UEM395</f>
        <v>0</v>
      </c>
      <c r="UEC479" s="2204"/>
      <c r="UED479" s="2204"/>
      <c r="UEE479" s="2204">
        <f t="shared" si="253"/>
        <v>0</v>
      </c>
      <c r="UEF479" s="2204">
        <f>[16]BV!UEQ395</f>
        <v>0</v>
      </c>
      <c r="UEG479" s="2204"/>
      <c r="UEH479" s="2204"/>
      <c r="UEI479" s="2204">
        <f t="shared" si="253"/>
        <v>0</v>
      </c>
      <c r="UEJ479" s="2204">
        <f>[16]BV!UEU395</f>
        <v>0</v>
      </c>
      <c r="UEK479" s="2204"/>
      <c r="UEL479" s="2204"/>
      <c r="UEM479" s="2204">
        <f t="shared" ref="UEM479:UGU479" si="254">UEJ479</f>
        <v>0</v>
      </c>
      <c r="UEN479" s="2204">
        <f>[16]BV!UEY395</f>
        <v>0</v>
      </c>
      <c r="UEO479" s="2204"/>
      <c r="UEP479" s="2204"/>
      <c r="UEQ479" s="2204">
        <f t="shared" si="254"/>
        <v>0</v>
      </c>
      <c r="UER479" s="2204">
        <f>[16]BV!UFC395</f>
        <v>0</v>
      </c>
      <c r="UES479" s="2204"/>
      <c r="UET479" s="2204"/>
      <c r="UEU479" s="2204">
        <f t="shared" si="254"/>
        <v>0</v>
      </c>
      <c r="UEV479" s="2204">
        <f>[16]BV!UFG395</f>
        <v>0</v>
      </c>
      <c r="UEW479" s="2204"/>
      <c r="UEX479" s="2204"/>
      <c r="UEY479" s="2204">
        <f t="shared" si="254"/>
        <v>0</v>
      </c>
      <c r="UEZ479" s="2204">
        <f>[16]BV!UFK395</f>
        <v>0</v>
      </c>
      <c r="UFA479" s="2204"/>
      <c r="UFB479" s="2204"/>
      <c r="UFC479" s="2204">
        <f t="shared" si="254"/>
        <v>0</v>
      </c>
      <c r="UFD479" s="2204">
        <f>[16]BV!UFO395</f>
        <v>0</v>
      </c>
      <c r="UFE479" s="2204"/>
      <c r="UFF479" s="2204"/>
      <c r="UFG479" s="2204">
        <f t="shared" si="254"/>
        <v>0</v>
      </c>
      <c r="UFH479" s="2204">
        <f>[16]BV!UFS395</f>
        <v>0</v>
      </c>
      <c r="UFI479" s="2204"/>
      <c r="UFJ479" s="2204"/>
      <c r="UFK479" s="2204">
        <f t="shared" si="254"/>
        <v>0</v>
      </c>
      <c r="UFL479" s="2204">
        <f>[16]BV!UFW395</f>
        <v>0</v>
      </c>
      <c r="UFM479" s="2204"/>
      <c r="UFN479" s="2204"/>
      <c r="UFO479" s="2204">
        <f t="shared" si="254"/>
        <v>0</v>
      </c>
      <c r="UFP479" s="2204">
        <f>[16]BV!UGA395</f>
        <v>0</v>
      </c>
      <c r="UFQ479" s="2204"/>
      <c r="UFR479" s="2204"/>
      <c r="UFS479" s="2204">
        <f t="shared" si="254"/>
        <v>0</v>
      </c>
      <c r="UFT479" s="2204">
        <f>[16]BV!UGE395</f>
        <v>0</v>
      </c>
      <c r="UFU479" s="2204"/>
      <c r="UFV479" s="2204"/>
      <c r="UFW479" s="2204">
        <f t="shared" si="254"/>
        <v>0</v>
      </c>
      <c r="UFX479" s="2204">
        <f>[16]BV!UGI395</f>
        <v>0</v>
      </c>
      <c r="UFY479" s="2204"/>
      <c r="UFZ479" s="2204"/>
      <c r="UGA479" s="2204">
        <f t="shared" si="254"/>
        <v>0</v>
      </c>
      <c r="UGB479" s="2204">
        <f>[16]BV!UGM395</f>
        <v>0</v>
      </c>
      <c r="UGC479" s="2204"/>
      <c r="UGD479" s="2204"/>
      <c r="UGE479" s="2204">
        <f t="shared" si="254"/>
        <v>0</v>
      </c>
      <c r="UGF479" s="2204">
        <f>[16]BV!UGQ395</f>
        <v>0</v>
      </c>
      <c r="UGG479" s="2204"/>
      <c r="UGH479" s="2204"/>
      <c r="UGI479" s="2204">
        <f t="shared" si="254"/>
        <v>0</v>
      </c>
      <c r="UGJ479" s="2204">
        <f>[16]BV!UGU395</f>
        <v>0</v>
      </c>
      <c r="UGK479" s="2204"/>
      <c r="UGL479" s="2204"/>
      <c r="UGM479" s="2204">
        <f t="shared" si="254"/>
        <v>0</v>
      </c>
      <c r="UGN479" s="2204">
        <f>[16]BV!UGY395</f>
        <v>0</v>
      </c>
      <c r="UGO479" s="2204"/>
      <c r="UGP479" s="2204"/>
      <c r="UGQ479" s="2204">
        <f t="shared" si="254"/>
        <v>0</v>
      </c>
      <c r="UGR479" s="2204">
        <f>[16]BV!UHC395</f>
        <v>0</v>
      </c>
      <c r="UGS479" s="2204"/>
      <c r="UGT479" s="2204"/>
      <c r="UGU479" s="2204">
        <f t="shared" si="254"/>
        <v>0</v>
      </c>
      <c r="UGV479" s="2204">
        <f>[16]BV!UHG395</f>
        <v>0</v>
      </c>
      <c r="UGW479" s="2204"/>
      <c r="UGX479" s="2204"/>
      <c r="UGY479" s="2204">
        <f t="shared" ref="UGY479:UJG479" si="255">UGV479</f>
        <v>0</v>
      </c>
      <c r="UGZ479" s="2204">
        <f>[16]BV!UHK395</f>
        <v>0</v>
      </c>
      <c r="UHA479" s="2204"/>
      <c r="UHB479" s="2204"/>
      <c r="UHC479" s="2204">
        <f t="shared" si="255"/>
        <v>0</v>
      </c>
      <c r="UHD479" s="2204">
        <f>[16]BV!UHO395</f>
        <v>0</v>
      </c>
      <c r="UHE479" s="2204"/>
      <c r="UHF479" s="2204"/>
      <c r="UHG479" s="2204">
        <f t="shared" si="255"/>
        <v>0</v>
      </c>
      <c r="UHH479" s="2204">
        <f>[16]BV!UHS395</f>
        <v>0</v>
      </c>
      <c r="UHI479" s="2204"/>
      <c r="UHJ479" s="2204"/>
      <c r="UHK479" s="2204">
        <f t="shared" si="255"/>
        <v>0</v>
      </c>
      <c r="UHL479" s="2204">
        <f>[16]BV!UHW395</f>
        <v>0</v>
      </c>
      <c r="UHM479" s="2204"/>
      <c r="UHN479" s="2204"/>
      <c r="UHO479" s="2204">
        <f t="shared" si="255"/>
        <v>0</v>
      </c>
      <c r="UHP479" s="2204">
        <f>[16]BV!UIA395</f>
        <v>0</v>
      </c>
      <c r="UHQ479" s="2204"/>
      <c r="UHR479" s="2204"/>
      <c r="UHS479" s="2204">
        <f t="shared" si="255"/>
        <v>0</v>
      </c>
      <c r="UHT479" s="2204">
        <f>[16]BV!UIE395</f>
        <v>0</v>
      </c>
      <c r="UHU479" s="2204"/>
      <c r="UHV479" s="2204"/>
      <c r="UHW479" s="2204">
        <f t="shared" si="255"/>
        <v>0</v>
      </c>
      <c r="UHX479" s="2204">
        <f>[16]BV!UII395</f>
        <v>0</v>
      </c>
      <c r="UHY479" s="2204"/>
      <c r="UHZ479" s="2204"/>
      <c r="UIA479" s="2204">
        <f t="shared" si="255"/>
        <v>0</v>
      </c>
      <c r="UIB479" s="2204">
        <f>[16]BV!UIM395</f>
        <v>0</v>
      </c>
      <c r="UIC479" s="2204"/>
      <c r="UID479" s="2204"/>
      <c r="UIE479" s="2204">
        <f t="shared" si="255"/>
        <v>0</v>
      </c>
      <c r="UIF479" s="2204">
        <f>[16]BV!UIQ395</f>
        <v>0</v>
      </c>
      <c r="UIG479" s="2204"/>
      <c r="UIH479" s="2204"/>
      <c r="UII479" s="2204">
        <f t="shared" si="255"/>
        <v>0</v>
      </c>
      <c r="UIJ479" s="2204">
        <f>[16]BV!UIU395</f>
        <v>0</v>
      </c>
      <c r="UIK479" s="2204"/>
      <c r="UIL479" s="2204"/>
      <c r="UIM479" s="2204">
        <f t="shared" si="255"/>
        <v>0</v>
      </c>
      <c r="UIN479" s="2204">
        <f>[16]BV!UIY395</f>
        <v>0</v>
      </c>
      <c r="UIO479" s="2204"/>
      <c r="UIP479" s="2204"/>
      <c r="UIQ479" s="2204">
        <f t="shared" si="255"/>
        <v>0</v>
      </c>
      <c r="UIR479" s="2204">
        <f>[16]BV!UJC395</f>
        <v>0</v>
      </c>
      <c r="UIS479" s="2204"/>
      <c r="UIT479" s="2204"/>
      <c r="UIU479" s="2204">
        <f t="shared" si="255"/>
        <v>0</v>
      </c>
      <c r="UIV479" s="2204">
        <f>[16]BV!UJG395</f>
        <v>0</v>
      </c>
      <c r="UIW479" s="2204"/>
      <c r="UIX479" s="2204"/>
      <c r="UIY479" s="2204">
        <f t="shared" si="255"/>
        <v>0</v>
      </c>
      <c r="UIZ479" s="2204">
        <f>[16]BV!UJK395</f>
        <v>0</v>
      </c>
      <c r="UJA479" s="2204"/>
      <c r="UJB479" s="2204"/>
      <c r="UJC479" s="2204">
        <f t="shared" si="255"/>
        <v>0</v>
      </c>
      <c r="UJD479" s="2204">
        <f>[16]BV!UJO395</f>
        <v>0</v>
      </c>
      <c r="UJE479" s="2204"/>
      <c r="UJF479" s="2204"/>
      <c r="UJG479" s="2204">
        <f t="shared" si="255"/>
        <v>0</v>
      </c>
      <c r="UJH479" s="2204">
        <f>[16]BV!UJS395</f>
        <v>0</v>
      </c>
      <c r="UJI479" s="2204"/>
      <c r="UJJ479" s="2204"/>
      <c r="UJK479" s="2204">
        <f t="shared" ref="UJK479:ULS479" si="256">UJH479</f>
        <v>0</v>
      </c>
      <c r="UJL479" s="2204">
        <f>[16]BV!UJW395</f>
        <v>0</v>
      </c>
      <c r="UJM479" s="2204"/>
      <c r="UJN479" s="2204"/>
      <c r="UJO479" s="2204">
        <f t="shared" si="256"/>
        <v>0</v>
      </c>
      <c r="UJP479" s="2204">
        <f>[16]BV!UKA395</f>
        <v>0</v>
      </c>
      <c r="UJQ479" s="2204"/>
      <c r="UJR479" s="2204"/>
      <c r="UJS479" s="2204">
        <f t="shared" si="256"/>
        <v>0</v>
      </c>
      <c r="UJT479" s="2204">
        <f>[16]BV!UKE395</f>
        <v>0</v>
      </c>
      <c r="UJU479" s="2204"/>
      <c r="UJV479" s="2204"/>
      <c r="UJW479" s="2204">
        <f t="shared" si="256"/>
        <v>0</v>
      </c>
      <c r="UJX479" s="2204">
        <f>[16]BV!UKI395</f>
        <v>0</v>
      </c>
      <c r="UJY479" s="2204"/>
      <c r="UJZ479" s="2204"/>
      <c r="UKA479" s="2204">
        <f t="shared" si="256"/>
        <v>0</v>
      </c>
      <c r="UKB479" s="2204">
        <f>[16]BV!UKM395</f>
        <v>0</v>
      </c>
      <c r="UKC479" s="2204"/>
      <c r="UKD479" s="2204"/>
      <c r="UKE479" s="2204">
        <f t="shared" si="256"/>
        <v>0</v>
      </c>
      <c r="UKF479" s="2204">
        <f>[16]BV!UKQ395</f>
        <v>0</v>
      </c>
      <c r="UKG479" s="2204"/>
      <c r="UKH479" s="2204"/>
      <c r="UKI479" s="2204">
        <f t="shared" si="256"/>
        <v>0</v>
      </c>
      <c r="UKJ479" s="2204">
        <f>[16]BV!UKU395</f>
        <v>0</v>
      </c>
      <c r="UKK479" s="2204"/>
      <c r="UKL479" s="2204"/>
      <c r="UKM479" s="2204">
        <f t="shared" si="256"/>
        <v>0</v>
      </c>
      <c r="UKN479" s="2204">
        <f>[16]BV!UKY395</f>
        <v>0</v>
      </c>
      <c r="UKO479" s="2204"/>
      <c r="UKP479" s="2204"/>
      <c r="UKQ479" s="2204">
        <f t="shared" si="256"/>
        <v>0</v>
      </c>
      <c r="UKR479" s="2204">
        <f>[16]BV!ULC395</f>
        <v>0</v>
      </c>
      <c r="UKS479" s="2204"/>
      <c r="UKT479" s="2204"/>
      <c r="UKU479" s="2204">
        <f t="shared" si="256"/>
        <v>0</v>
      </c>
      <c r="UKV479" s="2204">
        <f>[16]BV!ULG395</f>
        <v>0</v>
      </c>
      <c r="UKW479" s="2204"/>
      <c r="UKX479" s="2204"/>
      <c r="UKY479" s="2204">
        <f t="shared" si="256"/>
        <v>0</v>
      </c>
      <c r="UKZ479" s="2204">
        <f>[16]BV!ULK395</f>
        <v>0</v>
      </c>
      <c r="ULA479" s="2204"/>
      <c r="ULB479" s="2204"/>
      <c r="ULC479" s="2204">
        <f t="shared" si="256"/>
        <v>0</v>
      </c>
      <c r="ULD479" s="2204">
        <f>[16]BV!ULO395</f>
        <v>0</v>
      </c>
      <c r="ULE479" s="2204"/>
      <c r="ULF479" s="2204"/>
      <c r="ULG479" s="2204">
        <f t="shared" si="256"/>
        <v>0</v>
      </c>
      <c r="ULH479" s="2204">
        <f>[16]BV!ULS395</f>
        <v>0</v>
      </c>
      <c r="ULI479" s="2204"/>
      <c r="ULJ479" s="2204"/>
      <c r="ULK479" s="2204">
        <f t="shared" si="256"/>
        <v>0</v>
      </c>
      <c r="ULL479" s="2204">
        <f>[16]BV!ULW395</f>
        <v>0</v>
      </c>
      <c r="ULM479" s="2204"/>
      <c r="ULN479" s="2204"/>
      <c r="ULO479" s="2204">
        <f t="shared" si="256"/>
        <v>0</v>
      </c>
      <c r="ULP479" s="2204">
        <f>[16]BV!UMA395</f>
        <v>0</v>
      </c>
      <c r="ULQ479" s="2204"/>
      <c r="ULR479" s="2204"/>
      <c r="ULS479" s="2204">
        <f t="shared" si="256"/>
        <v>0</v>
      </c>
      <c r="ULT479" s="2204">
        <f>[16]BV!UME395</f>
        <v>0</v>
      </c>
      <c r="ULU479" s="2204"/>
      <c r="ULV479" s="2204"/>
      <c r="ULW479" s="2204">
        <f t="shared" ref="ULW479:UOE479" si="257">ULT479</f>
        <v>0</v>
      </c>
      <c r="ULX479" s="2204">
        <f>[16]BV!UMI395</f>
        <v>0</v>
      </c>
      <c r="ULY479" s="2204"/>
      <c r="ULZ479" s="2204"/>
      <c r="UMA479" s="2204">
        <f t="shared" si="257"/>
        <v>0</v>
      </c>
      <c r="UMB479" s="2204">
        <f>[16]BV!UMM395</f>
        <v>0</v>
      </c>
      <c r="UMC479" s="2204"/>
      <c r="UMD479" s="2204"/>
      <c r="UME479" s="2204">
        <f t="shared" si="257"/>
        <v>0</v>
      </c>
      <c r="UMF479" s="2204">
        <f>[16]BV!UMQ395</f>
        <v>0</v>
      </c>
      <c r="UMG479" s="2204"/>
      <c r="UMH479" s="2204"/>
      <c r="UMI479" s="2204">
        <f t="shared" si="257"/>
        <v>0</v>
      </c>
      <c r="UMJ479" s="2204">
        <f>[16]BV!UMU395</f>
        <v>0</v>
      </c>
      <c r="UMK479" s="2204"/>
      <c r="UML479" s="2204"/>
      <c r="UMM479" s="2204">
        <f t="shared" si="257"/>
        <v>0</v>
      </c>
      <c r="UMN479" s="2204">
        <f>[16]BV!UMY395</f>
        <v>0</v>
      </c>
      <c r="UMO479" s="2204"/>
      <c r="UMP479" s="2204"/>
      <c r="UMQ479" s="2204">
        <f t="shared" si="257"/>
        <v>0</v>
      </c>
      <c r="UMR479" s="2204">
        <f>[16]BV!UNC395</f>
        <v>0</v>
      </c>
      <c r="UMS479" s="2204"/>
      <c r="UMT479" s="2204"/>
      <c r="UMU479" s="2204">
        <f t="shared" si="257"/>
        <v>0</v>
      </c>
      <c r="UMV479" s="2204">
        <f>[16]BV!UNG395</f>
        <v>0</v>
      </c>
      <c r="UMW479" s="2204"/>
      <c r="UMX479" s="2204"/>
      <c r="UMY479" s="2204">
        <f t="shared" si="257"/>
        <v>0</v>
      </c>
      <c r="UMZ479" s="2204">
        <f>[16]BV!UNK395</f>
        <v>0</v>
      </c>
      <c r="UNA479" s="2204"/>
      <c r="UNB479" s="2204"/>
      <c r="UNC479" s="2204">
        <f t="shared" si="257"/>
        <v>0</v>
      </c>
      <c r="UND479" s="2204">
        <f>[16]BV!UNO395</f>
        <v>0</v>
      </c>
      <c r="UNE479" s="2204"/>
      <c r="UNF479" s="2204"/>
      <c r="UNG479" s="2204">
        <f t="shared" si="257"/>
        <v>0</v>
      </c>
      <c r="UNH479" s="2204">
        <f>[16]BV!UNS395</f>
        <v>0</v>
      </c>
      <c r="UNI479" s="2204"/>
      <c r="UNJ479" s="2204"/>
      <c r="UNK479" s="2204">
        <f t="shared" si="257"/>
        <v>0</v>
      </c>
      <c r="UNL479" s="2204">
        <f>[16]BV!UNW395</f>
        <v>0</v>
      </c>
      <c r="UNM479" s="2204"/>
      <c r="UNN479" s="2204"/>
      <c r="UNO479" s="2204">
        <f t="shared" si="257"/>
        <v>0</v>
      </c>
      <c r="UNP479" s="2204">
        <f>[16]BV!UOA395</f>
        <v>0</v>
      </c>
      <c r="UNQ479" s="2204"/>
      <c r="UNR479" s="2204"/>
      <c r="UNS479" s="2204">
        <f t="shared" si="257"/>
        <v>0</v>
      </c>
      <c r="UNT479" s="2204">
        <f>[16]BV!UOE395</f>
        <v>0</v>
      </c>
      <c r="UNU479" s="2204"/>
      <c r="UNV479" s="2204"/>
      <c r="UNW479" s="2204">
        <f t="shared" si="257"/>
        <v>0</v>
      </c>
      <c r="UNX479" s="2204">
        <f>[16]BV!UOI395</f>
        <v>0</v>
      </c>
      <c r="UNY479" s="2204"/>
      <c r="UNZ479" s="2204"/>
      <c r="UOA479" s="2204">
        <f t="shared" si="257"/>
        <v>0</v>
      </c>
      <c r="UOB479" s="2204">
        <f>[16]BV!UOM395</f>
        <v>0</v>
      </c>
      <c r="UOC479" s="2204"/>
      <c r="UOD479" s="2204"/>
      <c r="UOE479" s="2204">
        <f t="shared" si="257"/>
        <v>0</v>
      </c>
      <c r="UOF479" s="2204">
        <f>[16]BV!UOQ395</f>
        <v>0</v>
      </c>
      <c r="UOG479" s="2204"/>
      <c r="UOH479" s="2204"/>
      <c r="UOI479" s="2204">
        <f t="shared" ref="UOI479:UQQ479" si="258">UOF479</f>
        <v>0</v>
      </c>
      <c r="UOJ479" s="2204">
        <f>[16]BV!UOU395</f>
        <v>0</v>
      </c>
      <c r="UOK479" s="2204"/>
      <c r="UOL479" s="2204"/>
      <c r="UOM479" s="2204">
        <f t="shared" si="258"/>
        <v>0</v>
      </c>
      <c r="UON479" s="2204">
        <f>[16]BV!UOY395</f>
        <v>0</v>
      </c>
      <c r="UOO479" s="2204"/>
      <c r="UOP479" s="2204"/>
      <c r="UOQ479" s="2204">
        <f t="shared" si="258"/>
        <v>0</v>
      </c>
      <c r="UOR479" s="2204">
        <f>[16]BV!UPC395</f>
        <v>0</v>
      </c>
      <c r="UOS479" s="2204"/>
      <c r="UOT479" s="2204"/>
      <c r="UOU479" s="2204">
        <f t="shared" si="258"/>
        <v>0</v>
      </c>
      <c r="UOV479" s="2204">
        <f>[16]BV!UPG395</f>
        <v>0</v>
      </c>
      <c r="UOW479" s="2204"/>
      <c r="UOX479" s="2204"/>
      <c r="UOY479" s="2204">
        <f t="shared" si="258"/>
        <v>0</v>
      </c>
      <c r="UOZ479" s="2204">
        <f>[16]BV!UPK395</f>
        <v>0</v>
      </c>
      <c r="UPA479" s="2204"/>
      <c r="UPB479" s="2204"/>
      <c r="UPC479" s="2204">
        <f t="shared" si="258"/>
        <v>0</v>
      </c>
      <c r="UPD479" s="2204">
        <f>[16]BV!UPO395</f>
        <v>0</v>
      </c>
      <c r="UPE479" s="2204"/>
      <c r="UPF479" s="2204"/>
      <c r="UPG479" s="2204">
        <f t="shared" si="258"/>
        <v>0</v>
      </c>
      <c r="UPH479" s="2204">
        <f>[16]BV!UPS395</f>
        <v>0</v>
      </c>
      <c r="UPI479" s="2204"/>
      <c r="UPJ479" s="2204"/>
      <c r="UPK479" s="2204">
        <f t="shared" si="258"/>
        <v>0</v>
      </c>
      <c r="UPL479" s="2204">
        <f>[16]BV!UPW395</f>
        <v>0</v>
      </c>
      <c r="UPM479" s="2204"/>
      <c r="UPN479" s="2204"/>
      <c r="UPO479" s="2204">
        <f t="shared" si="258"/>
        <v>0</v>
      </c>
      <c r="UPP479" s="2204">
        <f>[16]BV!UQA395</f>
        <v>0</v>
      </c>
      <c r="UPQ479" s="2204"/>
      <c r="UPR479" s="2204"/>
      <c r="UPS479" s="2204">
        <f t="shared" si="258"/>
        <v>0</v>
      </c>
      <c r="UPT479" s="2204">
        <f>[16]BV!UQE395</f>
        <v>0</v>
      </c>
      <c r="UPU479" s="2204"/>
      <c r="UPV479" s="2204"/>
      <c r="UPW479" s="2204">
        <f t="shared" si="258"/>
        <v>0</v>
      </c>
      <c r="UPX479" s="2204">
        <f>[16]BV!UQI395</f>
        <v>0</v>
      </c>
      <c r="UPY479" s="2204"/>
      <c r="UPZ479" s="2204"/>
      <c r="UQA479" s="2204">
        <f t="shared" si="258"/>
        <v>0</v>
      </c>
      <c r="UQB479" s="2204">
        <f>[16]BV!UQM395</f>
        <v>0</v>
      </c>
      <c r="UQC479" s="2204"/>
      <c r="UQD479" s="2204"/>
      <c r="UQE479" s="2204">
        <f t="shared" si="258"/>
        <v>0</v>
      </c>
      <c r="UQF479" s="2204">
        <f>[16]BV!UQQ395</f>
        <v>0</v>
      </c>
      <c r="UQG479" s="2204"/>
      <c r="UQH479" s="2204"/>
      <c r="UQI479" s="2204">
        <f t="shared" si="258"/>
        <v>0</v>
      </c>
      <c r="UQJ479" s="2204">
        <f>[16]BV!UQU395</f>
        <v>0</v>
      </c>
      <c r="UQK479" s="2204"/>
      <c r="UQL479" s="2204"/>
      <c r="UQM479" s="2204">
        <f t="shared" si="258"/>
        <v>0</v>
      </c>
      <c r="UQN479" s="2204">
        <f>[16]BV!UQY395</f>
        <v>0</v>
      </c>
      <c r="UQO479" s="2204"/>
      <c r="UQP479" s="2204"/>
      <c r="UQQ479" s="2204">
        <f t="shared" si="258"/>
        <v>0</v>
      </c>
      <c r="UQR479" s="2204">
        <f>[16]BV!URC395</f>
        <v>0</v>
      </c>
      <c r="UQS479" s="2204"/>
      <c r="UQT479" s="2204"/>
      <c r="UQU479" s="2204">
        <f t="shared" ref="UQU479:UTC479" si="259">UQR479</f>
        <v>0</v>
      </c>
      <c r="UQV479" s="2204">
        <f>[16]BV!URG395</f>
        <v>0</v>
      </c>
      <c r="UQW479" s="2204"/>
      <c r="UQX479" s="2204"/>
      <c r="UQY479" s="2204">
        <f t="shared" si="259"/>
        <v>0</v>
      </c>
      <c r="UQZ479" s="2204">
        <f>[16]BV!URK395</f>
        <v>0</v>
      </c>
      <c r="URA479" s="2204"/>
      <c r="URB479" s="2204"/>
      <c r="URC479" s="2204">
        <f t="shared" si="259"/>
        <v>0</v>
      </c>
      <c r="URD479" s="2204">
        <f>[16]BV!URO395</f>
        <v>0</v>
      </c>
      <c r="URE479" s="2204"/>
      <c r="URF479" s="2204"/>
      <c r="URG479" s="2204">
        <f t="shared" si="259"/>
        <v>0</v>
      </c>
      <c r="URH479" s="2204">
        <f>[16]BV!URS395</f>
        <v>0</v>
      </c>
      <c r="URI479" s="2204"/>
      <c r="URJ479" s="2204"/>
      <c r="URK479" s="2204">
        <f t="shared" si="259"/>
        <v>0</v>
      </c>
      <c r="URL479" s="2204">
        <f>[16]BV!URW395</f>
        <v>0</v>
      </c>
      <c r="URM479" s="2204"/>
      <c r="URN479" s="2204"/>
      <c r="URO479" s="2204">
        <f t="shared" si="259"/>
        <v>0</v>
      </c>
      <c r="URP479" s="2204">
        <f>[16]BV!USA395</f>
        <v>0</v>
      </c>
      <c r="URQ479" s="2204"/>
      <c r="URR479" s="2204"/>
      <c r="URS479" s="2204">
        <f t="shared" si="259"/>
        <v>0</v>
      </c>
      <c r="URT479" s="2204">
        <f>[16]BV!USE395</f>
        <v>0</v>
      </c>
      <c r="URU479" s="2204"/>
      <c r="URV479" s="2204"/>
      <c r="URW479" s="2204">
        <f t="shared" si="259"/>
        <v>0</v>
      </c>
      <c r="URX479" s="2204">
        <f>[16]BV!USI395</f>
        <v>0</v>
      </c>
      <c r="URY479" s="2204"/>
      <c r="URZ479" s="2204"/>
      <c r="USA479" s="2204">
        <f t="shared" si="259"/>
        <v>0</v>
      </c>
      <c r="USB479" s="2204">
        <f>[16]BV!USM395</f>
        <v>0</v>
      </c>
      <c r="USC479" s="2204"/>
      <c r="USD479" s="2204"/>
      <c r="USE479" s="2204">
        <f t="shared" si="259"/>
        <v>0</v>
      </c>
      <c r="USF479" s="2204">
        <f>[16]BV!USQ395</f>
        <v>0</v>
      </c>
      <c r="USG479" s="2204"/>
      <c r="USH479" s="2204"/>
      <c r="USI479" s="2204">
        <f t="shared" si="259"/>
        <v>0</v>
      </c>
      <c r="USJ479" s="2204">
        <f>[16]BV!USU395</f>
        <v>0</v>
      </c>
      <c r="USK479" s="2204"/>
      <c r="USL479" s="2204"/>
      <c r="USM479" s="2204">
        <f t="shared" si="259"/>
        <v>0</v>
      </c>
      <c r="USN479" s="2204">
        <f>[16]BV!USY395</f>
        <v>0</v>
      </c>
      <c r="USO479" s="2204"/>
      <c r="USP479" s="2204"/>
      <c r="USQ479" s="2204">
        <f t="shared" si="259"/>
        <v>0</v>
      </c>
      <c r="USR479" s="2204">
        <f>[16]BV!UTC395</f>
        <v>0</v>
      </c>
      <c r="USS479" s="2204"/>
      <c r="UST479" s="2204"/>
      <c r="USU479" s="2204">
        <f t="shared" si="259"/>
        <v>0</v>
      </c>
      <c r="USV479" s="2204">
        <f>[16]BV!UTG395</f>
        <v>0</v>
      </c>
      <c r="USW479" s="2204"/>
      <c r="USX479" s="2204"/>
      <c r="USY479" s="2204">
        <f t="shared" si="259"/>
        <v>0</v>
      </c>
      <c r="USZ479" s="2204">
        <f>[16]BV!UTK395</f>
        <v>0</v>
      </c>
      <c r="UTA479" s="2204"/>
      <c r="UTB479" s="2204"/>
      <c r="UTC479" s="2204">
        <f t="shared" si="259"/>
        <v>0</v>
      </c>
      <c r="UTD479" s="2204">
        <f>[16]BV!UTO395</f>
        <v>0</v>
      </c>
      <c r="UTE479" s="2204"/>
      <c r="UTF479" s="2204"/>
      <c r="UTG479" s="2204">
        <f t="shared" ref="UTG479:UVO479" si="260">UTD479</f>
        <v>0</v>
      </c>
      <c r="UTH479" s="2204">
        <f>[16]BV!UTS395</f>
        <v>0</v>
      </c>
      <c r="UTI479" s="2204"/>
      <c r="UTJ479" s="2204"/>
      <c r="UTK479" s="2204">
        <f t="shared" si="260"/>
        <v>0</v>
      </c>
      <c r="UTL479" s="2204">
        <f>[16]BV!UTW395</f>
        <v>0</v>
      </c>
      <c r="UTM479" s="2204"/>
      <c r="UTN479" s="2204"/>
      <c r="UTO479" s="2204">
        <f t="shared" si="260"/>
        <v>0</v>
      </c>
      <c r="UTP479" s="2204">
        <f>[16]BV!UUA395</f>
        <v>0</v>
      </c>
      <c r="UTQ479" s="2204"/>
      <c r="UTR479" s="2204"/>
      <c r="UTS479" s="2204">
        <f t="shared" si="260"/>
        <v>0</v>
      </c>
      <c r="UTT479" s="2204">
        <f>[16]BV!UUE395</f>
        <v>0</v>
      </c>
      <c r="UTU479" s="2204"/>
      <c r="UTV479" s="2204"/>
      <c r="UTW479" s="2204">
        <f t="shared" si="260"/>
        <v>0</v>
      </c>
      <c r="UTX479" s="2204">
        <f>[16]BV!UUI395</f>
        <v>0</v>
      </c>
      <c r="UTY479" s="2204"/>
      <c r="UTZ479" s="2204"/>
      <c r="UUA479" s="2204">
        <f t="shared" si="260"/>
        <v>0</v>
      </c>
      <c r="UUB479" s="2204">
        <f>[16]BV!UUM395</f>
        <v>0</v>
      </c>
      <c r="UUC479" s="2204"/>
      <c r="UUD479" s="2204"/>
      <c r="UUE479" s="2204">
        <f t="shared" si="260"/>
        <v>0</v>
      </c>
      <c r="UUF479" s="2204">
        <f>[16]BV!UUQ395</f>
        <v>0</v>
      </c>
      <c r="UUG479" s="2204"/>
      <c r="UUH479" s="2204"/>
      <c r="UUI479" s="2204">
        <f t="shared" si="260"/>
        <v>0</v>
      </c>
      <c r="UUJ479" s="2204">
        <f>[16]BV!UUU395</f>
        <v>0</v>
      </c>
      <c r="UUK479" s="2204"/>
      <c r="UUL479" s="2204"/>
      <c r="UUM479" s="2204">
        <f t="shared" si="260"/>
        <v>0</v>
      </c>
      <c r="UUN479" s="2204">
        <f>[16]BV!UUY395</f>
        <v>0</v>
      </c>
      <c r="UUO479" s="2204"/>
      <c r="UUP479" s="2204"/>
      <c r="UUQ479" s="2204">
        <f t="shared" si="260"/>
        <v>0</v>
      </c>
      <c r="UUR479" s="2204">
        <f>[16]BV!UVC395</f>
        <v>0</v>
      </c>
      <c r="UUS479" s="2204"/>
      <c r="UUT479" s="2204"/>
      <c r="UUU479" s="2204">
        <f t="shared" si="260"/>
        <v>0</v>
      </c>
      <c r="UUV479" s="2204">
        <f>[16]BV!UVG395</f>
        <v>0</v>
      </c>
      <c r="UUW479" s="2204"/>
      <c r="UUX479" s="2204"/>
      <c r="UUY479" s="2204">
        <f t="shared" si="260"/>
        <v>0</v>
      </c>
      <c r="UUZ479" s="2204">
        <f>[16]BV!UVK395</f>
        <v>0</v>
      </c>
      <c r="UVA479" s="2204"/>
      <c r="UVB479" s="2204"/>
      <c r="UVC479" s="2204">
        <f t="shared" si="260"/>
        <v>0</v>
      </c>
      <c r="UVD479" s="2204">
        <f>[16]BV!UVO395</f>
        <v>0</v>
      </c>
      <c r="UVE479" s="2204"/>
      <c r="UVF479" s="2204"/>
      <c r="UVG479" s="2204">
        <f t="shared" si="260"/>
        <v>0</v>
      </c>
      <c r="UVH479" s="2204">
        <f>[16]BV!UVS395</f>
        <v>0</v>
      </c>
      <c r="UVI479" s="2204"/>
      <c r="UVJ479" s="2204"/>
      <c r="UVK479" s="2204">
        <f t="shared" si="260"/>
        <v>0</v>
      </c>
      <c r="UVL479" s="2204">
        <f>[16]BV!UVW395</f>
        <v>0</v>
      </c>
      <c r="UVM479" s="2204"/>
      <c r="UVN479" s="2204"/>
      <c r="UVO479" s="2204">
        <f t="shared" si="260"/>
        <v>0</v>
      </c>
      <c r="UVP479" s="2204">
        <f>[16]BV!UWA395</f>
        <v>0</v>
      </c>
      <c r="UVQ479" s="2204"/>
      <c r="UVR479" s="2204"/>
      <c r="UVS479" s="2204">
        <f t="shared" ref="UVS479:UYA479" si="261">UVP479</f>
        <v>0</v>
      </c>
      <c r="UVT479" s="2204">
        <f>[16]BV!UWE395</f>
        <v>0</v>
      </c>
      <c r="UVU479" s="2204"/>
      <c r="UVV479" s="2204"/>
      <c r="UVW479" s="2204">
        <f t="shared" si="261"/>
        <v>0</v>
      </c>
      <c r="UVX479" s="2204">
        <f>[16]BV!UWI395</f>
        <v>0</v>
      </c>
      <c r="UVY479" s="2204"/>
      <c r="UVZ479" s="2204"/>
      <c r="UWA479" s="2204">
        <f t="shared" si="261"/>
        <v>0</v>
      </c>
      <c r="UWB479" s="2204">
        <f>[16]BV!UWM395</f>
        <v>0</v>
      </c>
      <c r="UWC479" s="2204"/>
      <c r="UWD479" s="2204"/>
      <c r="UWE479" s="2204">
        <f t="shared" si="261"/>
        <v>0</v>
      </c>
      <c r="UWF479" s="2204">
        <f>[16]BV!UWQ395</f>
        <v>0</v>
      </c>
      <c r="UWG479" s="2204"/>
      <c r="UWH479" s="2204"/>
      <c r="UWI479" s="2204">
        <f t="shared" si="261"/>
        <v>0</v>
      </c>
      <c r="UWJ479" s="2204">
        <f>[16]BV!UWU395</f>
        <v>0</v>
      </c>
      <c r="UWK479" s="2204"/>
      <c r="UWL479" s="2204"/>
      <c r="UWM479" s="2204">
        <f t="shared" si="261"/>
        <v>0</v>
      </c>
      <c r="UWN479" s="2204">
        <f>[16]BV!UWY395</f>
        <v>0</v>
      </c>
      <c r="UWO479" s="2204"/>
      <c r="UWP479" s="2204"/>
      <c r="UWQ479" s="2204">
        <f t="shared" si="261"/>
        <v>0</v>
      </c>
      <c r="UWR479" s="2204">
        <f>[16]BV!UXC395</f>
        <v>0</v>
      </c>
      <c r="UWS479" s="2204"/>
      <c r="UWT479" s="2204"/>
      <c r="UWU479" s="2204">
        <f t="shared" si="261"/>
        <v>0</v>
      </c>
      <c r="UWV479" s="2204">
        <f>[16]BV!UXG395</f>
        <v>0</v>
      </c>
      <c r="UWW479" s="2204"/>
      <c r="UWX479" s="2204"/>
      <c r="UWY479" s="2204">
        <f t="shared" si="261"/>
        <v>0</v>
      </c>
      <c r="UWZ479" s="2204">
        <f>[16]BV!UXK395</f>
        <v>0</v>
      </c>
      <c r="UXA479" s="2204"/>
      <c r="UXB479" s="2204"/>
      <c r="UXC479" s="2204">
        <f t="shared" si="261"/>
        <v>0</v>
      </c>
      <c r="UXD479" s="2204">
        <f>[16]BV!UXO395</f>
        <v>0</v>
      </c>
      <c r="UXE479" s="2204"/>
      <c r="UXF479" s="2204"/>
      <c r="UXG479" s="2204">
        <f t="shared" si="261"/>
        <v>0</v>
      </c>
      <c r="UXH479" s="2204">
        <f>[16]BV!UXS395</f>
        <v>0</v>
      </c>
      <c r="UXI479" s="2204"/>
      <c r="UXJ479" s="2204"/>
      <c r="UXK479" s="2204">
        <f t="shared" si="261"/>
        <v>0</v>
      </c>
      <c r="UXL479" s="2204">
        <f>[16]BV!UXW395</f>
        <v>0</v>
      </c>
      <c r="UXM479" s="2204"/>
      <c r="UXN479" s="2204"/>
      <c r="UXO479" s="2204">
        <f t="shared" si="261"/>
        <v>0</v>
      </c>
      <c r="UXP479" s="2204">
        <f>[16]BV!UYA395</f>
        <v>0</v>
      </c>
      <c r="UXQ479" s="2204"/>
      <c r="UXR479" s="2204"/>
      <c r="UXS479" s="2204">
        <f t="shared" si="261"/>
        <v>0</v>
      </c>
      <c r="UXT479" s="2204">
        <f>[16]BV!UYE395</f>
        <v>0</v>
      </c>
      <c r="UXU479" s="2204"/>
      <c r="UXV479" s="2204"/>
      <c r="UXW479" s="2204">
        <f t="shared" si="261"/>
        <v>0</v>
      </c>
      <c r="UXX479" s="2204">
        <f>[16]BV!UYI395</f>
        <v>0</v>
      </c>
      <c r="UXY479" s="2204"/>
      <c r="UXZ479" s="2204"/>
      <c r="UYA479" s="2204">
        <f t="shared" si="261"/>
        <v>0</v>
      </c>
      <c r="UYB479" s="2204">
        <f>[16]BV!UYM395</f>
        <v>0</v>
      </c>
      <c r="UYC479" s="2204"/>
      <c r="UYD479" s="2204"/>
      <c r="UYE479" s="2204">
        <f t="shared" ref="UYE479:VAM479" si="262">UYB479</f>
        <v>0</v>
      </c>
      <c r="UYF479" s="2204">
        <f>[16]BV!UYQ395</f>
        <v>0</v>
      </c>
      <c r="UYG479" s="2204"/>
      <c r="UYH479" s="2204"/>
      <c r="UYI479" s="2204">
        <f t="shared" si="262"/>
        <v>0</v>
      </c>
      <c r="UYJ479" s="2204">
        <f>[16]BV!UYU395</f>
        <v>0</v>
      </c>
      <c r="UYK479" s="2204"/>
      <c r="UYL479" s="2204"/>
      <c r="UYM479" s="2204">
        <f t="shared" si="262"/>
        <v>0</v>
      </c>
      <c r="UYN479" s="2204">
        <f>[16]BV!UYY395</f>
        <v>0</v>
      </c>
      <c r="UYO479" s="2204"/>
      <c r="UYP479" s="2204"/>
      <c r="UYQ479" s="2204">
        <f t="shared" si="262"/>
        <v>0</v>
      </c>
      <c r="UYR479" s="2204">
        <f>[16]BV!UZC395</f>
        <v>0</v>
      </c>
      <c r="UYS479" s="2204"/>
      <c r="UYT479" s="2204"/>
      <c r="UYU479" s="2204">
        <f t="shared" si="262"/>
        <v>0</v>
      </c>
      <c r="UYV479" s="2204">
        <f>[16]BV!UZG395</f>
        <v>0</v>
      </c>
      <c r="UYW479" s="2204"/>
      <c r="UYX479" s="2204"/>
      <c r="UYY479" s="2204">
        <f t="shared" si="262"/>
        <v>0</v>
      </c>
      <c r="UYZ479" s="2204">
        <f>[16]BV!UZK395</f>
        <v>0</v>
      </c>
      <c r="UZA479" s="2204"/>
      <c r="UZB479" s="2204"/>
      <c r="UZC479" s="2204">
        <f t="shared" si="262"/>
        <v>0</v>
      </c>
      <c r="UZD479" s="2204">
        <f>[16]BV!UZO395</f>
        <v>0</v>
      </c>
      <c r="UZE479" s="2204"/>
      <c r="UZF479" s="2204"/>
      <c r="UZG479" s="2204">
        <f t="shared" si="262"/>
        <v>0</v>
      </c>
      <c r="UZH479" s="2204">
        <f>[16]BV!UZS395</f>
        <v>0</v>
      </c>
      <c r="UZI479" s="2204"/>
      <c r="UZJ479" s="2204"/>
      <c r="UZK479" s="2204">
        <f t="shared" si="262"/>
        <v>0</v>
      </c>
      <c r="UZL479" s="2204">
        <f>[16]BV!UZW395</f>
        <v>0</v>
      </c>
      <c r="UZM479" s="2204"/>
      <c r="UZN479" s="2204"/>
      <c r="UZO479" s="2204">
        <f t="shared" si="262"/>
        <v>0</v>
      </c>
      <c r="UZP479" s="2204">
        <f>[16]BV!VAA395</f>
        <v>0</v>
      </c>
      <c r="UZQ479" s="2204"/>
      <c r="UZR479" s="2204"/>
      <c r="UZS479" s="2204">
        <f t="shared" si="262"/>
        <v>0</v>
      </c>
      <c r="UZT479" s="2204">
        <f>[16]BV!VAE395</f>
        <v>0</v>
      </c>
      <c r="UZU479" s="2204"/>
      <c r="UZV479" s="2204"/>
      <c r="UZW479" s="2204">
        <f t="shared" si="262"/>
        <v>0</v>
      </c>
      <c r="UZX479" s="2204">
        <f>[16]BV!VAI395</f>
        <v>0</v>
      </c>
      <c r="UZY479" s="2204"/>
      <c r="UZZ479" s="2204"/>
      <c r="VAA479" s="2204">
        <f t="shared" si="262"/>
        <v>0</v>
      </c>
      <c r="VAB479" s="2204">
        <f>[16]BV!VAM395</f>
        <v>0</v>
      </c>
      <c r="VAC479" s="2204"/>
      <c r="VAD479" s="2204"/>
      <c r="VAE479" s="2204">
        <f t="shared" si="262"/>
        <v>0</v>
      </c>
      <c r="VAF479" s="2204">
        <f>[16]BV!VAQ395</f>
        <v>0</v>
      </c>
      <c r="VAG479" s="2204"/>
      <c r="VAH479" s="2204"/>
      <c r="VAI479" s="2204">
        <f t="shared" si="262"/>
        <v>0</v>
      </c>
      <c r="VAJ479" s="2204">
        <f>[16]BV!VAU395</f>
        <v>0</v>
      </c>
      <c r="VAK479" s="2204"/>
      <c r="VAL479" s="2204"/>
      <c r="VAM479" s="2204">
        <f t="shared" si="262"/>
        <v>0</v>
      </c>
      <c r="VAN479" s="2204">
        <f>[16]BV!VAY395</f>
        <v>0</v>
      </c>
      <c r="VAO479" s="2204"/>
      <c r="VAP479" s="2204"/>
      <c r="VAQ479" s="2204">
        <f t="shared" ref="VAQ479:VCY479" si="263">VAN479</f>
        <v>0</v>
      </c>
      <c r="VAR479" s="2204">
        <f>[16]BV!VBC395</f>
        <v>0</v>
      </c>
      <c r="VAS479" s="2204"/>
      <c r="VAT479" s="2204"/>
      <c r="VAU479" s="2204">
        <f t="shared" si="263"/>
        <v>0</v>
      </c>
      <c r="VAV479" s="2204">
        <f>[16]BV!VBG395</f>
        <v>0</v>
      </c>
      <c r="VAW479" s="2204"/>
      <c r="VAX479" s="2204"/>
      <c r="VAY479" s="2204">
        <f t="shared" si="263"/>
        <v>0</v>
      </c>
      <c r="VAZ479" s="2204">
        <f>[16]BV!VBK395</f>
        <v>0</v>
      </c>
      <c r="VBA479" s="2204"/>
      <c r="VBB479" s="2204"/>
      <c r="VBC479" s="2204">
        <f t="shared" si="263"/>
        <v>0</v>
      </c>
      <c r="VBD479" s="2204">
        <f>[16]BV!VBO395</f>
        <v>0</v>
      </c>
      <c r="VBE479" s="2204"/>
      <c r="VBF479" s="2204"/>
      <c r="VBG479" s="2204">
        <f t="shared" si="263"/>
        <v>0</v>
      </c>
      <c r="VBH479" s="2204">
        <f>[16]BV!VBS395</f>
        <v>0</v>
      </c>
      <c r="VBI479" s="2204"/>
      <c r="VBJ479" s="2204"/>
      <c r="VBK479" s="2204">
        <f t="shared" si="263"/>
        <v>0</v>
      </c>
      <c r="VBL479" s="2204">
        <f>[16]BV!VBW395</f>
        <v>0</v>
      </c>
      <c r="VBM479" s="2204"/>
      <c r="VBN479" s="2204"/>
      <c r="VBO479" s="2204">
        <f t="shared" si="263"/>
        <v>0</v>
      </c>
      <c r="VBP479" s="2204">
        <f>[16]BV!VCA395</f>
        <v>0</v>
      </c>
      <c r="VBQ479" s="2204"/>
      <c r="VBR479" s="2204"/>
      <c r="VBS479" s="2204">
        <f t="shared" si="263"/>
        <v>0</v>
      </c>
      <c r="VBT479" s="2204">
        <f>[16]BV!VCE395</f>
        <v>0</v>
      </c>
      <c r="VBU479" s="2204"/>
      <c r="VBV479" s="2204"/>
      <c r="VBW479" s="2204">
        <f t="shared" si="263"/>
        <v>0</v>
      </c>
      <c r="VBX479" s="2204">
        <f>[16]BV!VCI395</f>
        <v>0</v>
      </c>
      <c r="VBY479" s="2204"/>
      <c r="VBZ479" s="2204"/>
      <c r="VCA479" s="2204">
        <f t="shared" si="263"/>
        <v>0</v>
      </c>
      <c r="VCB479" s="2204">
        <f>[16]BV!VCM395</f>
        <v>0</v>
      </c>
      <c r="VCC479" s="2204"/>
      <c r="VCD479" s="2204"/>
      <c r="VCE479" s="2204">
        <f t="shared" si="263"/>
        <v>0</v>
      </c>
      <c r="VCF479" s="2204">
        <f>[16]BV!VCQ395</f>
        <v>0</v>
      </c>
      <c r="VCG479" s="2204"/>
      <c r="VCH479" s="2204"/>
      <c r="VCI479" s="2204">
        <f t="shared" si="263"/>
        <v>0</v>
      </c>
      <c r="VCJ479" s="2204">
        <f>[16]BV!VCU395</f>
        <v>0</v>
      </c>
      <c r="VCK479" s="2204"/>
      <c r="VCL479" s="2204"/>
      <c r="VCM479" s="2204">
        <f t="shared" si="263"/>
        <v>0</v>
      </c>
      <c r="VCN479" s="2204">
        <f>[16]BV!VCY395</f>
        <v>0</v>
      </c>
      <c r="VCO479" s="2204"/>
      <c r="VCP479" s="2204"/>
      <c r="VCQ479" s="2204">
        <f t="shared" si="263"/>
        <v>0</v>
      </c>
      <c r="VCR479" s="2204">
        <f>[16]BV!VDC395</f>
        <v>0</v>
      </c>
      <c r="VCS479" s="2204"/>
      <c r="VCT479" s="2204"/>
      <c r="VCU479" s="2204">
        <f t="shared" si="263"/>
        <v>0</v>
      </c>
      <c r="VCV479" s="2204">
        <f>[16]BV!VDG395</f>
        <v>0</v>
      </c>
      <c r="VCW479" s="2204"/>
      <c r="VCX479" s="2204"/>
      <c r="VCY479" s="2204">
        <f t="shared" si="263"/>
        <v>0</v>
      </c>
      <c r="VCZ479" s="2204">
        <f>[16]BV!VDK395</f>
        <v>0</v>
      </c>
      <c r="VDA479" s="2204"/>
      <c r="VDB479" s="2204"/>
      <c r="VDC479" s="2204">
        <f t="shared" ref="VDC479:VFK479" si="264">VCZ479</f>
        <v>0</v>
      </c>
      <c r="VDD479" s="2204">
        <f>[16]BV!VDO395</f>
        <v>0</v>
      </c>
      <c r="VDE479" s="2204"/>
      <c r="VDF479" s="2204"/>
      <c r="VDG479" s="2204">
        <f t="shared" si="264"/>
        <v>0</v>
      </c>
      <c r="VDH479" s="2204">
        <f>[16]BV!VDS395</f>
        <v>0</v>
      </c>
      <c r="VDI479" s="2204"/>
      <c r="VDJ479" s="2204"/>
      <c r="VDK479" s="2204">
        <f t="shared" si="264"/>
        <v>0</v>
      </c>
      <c r="VDL479" s="2204">
        <f>[16]BV!VDW395</f>
        <v>0</v>
      </c>
      <c r="VDM479" s="2204"/>
      <c r="VDN479" s="2204"/>
      <c r="VDO479" s="2204">
        <f t="shared" si="264"/>
        <v>0</v>
      </c>
      <c r="VDP479" s="2204">
        <f>[16]BV!VEA395</f>
        <v>0</v>
      </c>
      <c r="VDQ479" s="2204"/>
      <c r="VDR479" s="2204"/>
      <c r="VDS479" s="2204">
        <f t="shared" si="264"/>
        <v>0</v>
      </c>
      <c r="VDT479" s="2204">
        <f>[16]BV!VEE395</f>
        <v>0</v>
      </c>
      <c r="VDU479" s="2204"/>
      <c r="VDV479" s="2204"/>
      <c r="VDW479" s="2204">
        <f t="shared" si="264"/>
        <v>0</v>
      </c>
      <c r="VDX479" s="2204">
        <f>[16]BV!VEI395</f>
        <v>0</v>
      </c>
      <c r="VDY479" s="2204"/>
      <c r="VDZ479" s="2204"/>
      <c r="VEA479" s="2204">
        <f t="shared" si="264"/>
        <v>0</v>
      </c>
      <c r="VEB479" s="2204">
        <f>[16]BV!VEM395</f>
        <v>0</v>
      </c>
      <c r="VEC479" s="2204"/>
      <c r="VED479" s="2204"/>
      <c r="VEE479" s="2204">
        <f t="shared" si="264"/>
        <v>0</v>
      </c>
      <c r="VEF479" s="2204">
        <f>[16]BV!VEQ395</f>
        <v>0</v>
      </c>
      <c r="VEG479" s="2204"/>
      <c r="VEH479" s="2204"/>
      <c r="VEI479" s="2204">
        <f t="shared" si="264"/>
        <v>0</v>
      </c>
      <c r="VEJ479" s="2204">
        <f>[16]BV!VEU395</f>
        <v>0</v>
      </c>
      <c r="VEK479" s="2204"/>
      <c r="VEL479" s="2204"/>
      <c r="VEM479" s="2204">
        <f t="shared" si="264"/>
        <v>0</v>
      </c>
      <c r="VEN479" s="2204">
        <f>[16]BV!VEY395</f>
        <v>0</v>
      </c>
      <c r="VEO479" s="2204"/>
      <c r="VEP479" s="2204"/>
      <c r="VEQ479" s="2204">
        <f t="shared" si="264"/>
        <v>0</v>
      </c>
      <c r="VER479" s="2204">
        <f>[16]BV!VFC395</f>
        <v>0</v>
      </c>
      <c r="VES479" s="2204"/>
      <c r="VET479" s="2204"/>
      <c r="VEU479" s="2204">
        <f t="shared" si="264"/>
        <v>0</v>
      </c>
      <c r="VEV479" s="2204">
        <f>[16]BV!VFG395</f>
        <v>0</v>
      </c>
      <c r="VEW479" s="2204"/>
      <c r="VEX479" s="2204"/>
      <c r="VEY479" s="2204">
        <f t="shared" si="264"/>
        <v>0</v>
      </c>
      <c r="VEZ479" s="2204">
        <f>[16]BV!VFK395</f>
        <v>0</v>
      </c>
      <c r="VFA479" s="2204"/>
      <c r="VFB479" s="2204"/>
      <c r="VFC479" s="2204">
        <f t="shared" si="264"/>
        <v>0</v>
      </c>
      <c r="VFD479" s="2204">
        <f>[16]BV!VFO395</f>
        <v>0</v>
      </c>
      <c r="VFE479" s="2204"/>
      <c r="VFF479" s="2204"/>
      <c r="VFG479" s="2204">
        <f t="shared" si="264"/>
        <v>0</v>
      </c>
      <c r="VFH479" s="2204">
        <f>[16]BV!VFS395</f>
        <v>0</v>
      </c>
      <c r="VFI479" s="2204"/>
      <c r="VFJ479" s="2204"/>
      <c r="VFK479" s="2204">
        <f t="shared" si="264"/>
        <v>0</v>
      </c>
      <c r="VFL479" s="2204">
        <f>[16]BV!VFW395</f>
        <v>0</v>
      </c>
      <c r="VFM479" s="2204"/>
      <c r="VFN479" s="2204"/>
      <c r="VFO479" s="2204">
        <f t="shared" ref="VFO479:VHW479" si="265">VFL479</f>
        <v>0</v>
      </c>
      <c r="VFP479" s="2204">
        <f>[16]BV!VGA395</f>
        <v>0</v>
      </c>
      <c r="VFQ479" s="2204"/>
      <c r="VFR479" s="2204"/>
      <c r="VFS479" s="2204">
        <f t="shared" si="265"/>
        <v>0</v>
      </c>
      <c r="VFT479" s="2204">
        <f>[16]BV!VGE395</f>
        <v>0</v>
      </c>
      <c r="VFU479" s="2204"/>
      <c r="VFV479" s="2204"/>
      <c r="VFW479" s="2204">
        <f t="shared" si="265"/>
        <v>0</v>
      </c>
      <c r="VFX479" s="2204">
        <f>[16]BV!VGI395</f>
        <v>0</v>
      </c>
      <c r="VFY479" s="2204"/>
      <c r="VFZ479" s="2204"/>
      <c r="VGA479" s="2204">
        <f t="shared" si="265"/>
        <v>0</v>
      </c>
      <c r="VGB479" s="2204">
        <f>[16]BV!VGM395</f>
        <v>0</v>
      </c>
      <c r="VGC479" s="2204"/>
      <c r="VGD479" s="2204"/>
      <c r="VGE479" s="2204">
        <f t="shared" si="265"/>
        <v>0</v>
      </c>
      <c r="VGF479" s="2204">
        <f>[16]BV!VGQ395</f>
        <v>0</v>
      </c>
      <c r="VGG479" s="2204"/>
      <c r="VGH479" s="2204"/>
      <c r="VGI479" s="2204">
        <f t="shared" si="265"/>
        <v>0</v>
      </c>
      <c r="VGJ479" s="2204">
        <f>[16]BV!VGU395</f>
        <v>0</v>
      </c>
      <c r="VGK479" s="2204"/>
      <c r="VGL479" s="2204"/>
      <c r="VGM479" s="2204">
        <f t="shared" si="265"/>
        <v>0</v>
      </c>
      <c r="VGN479" s="2204">
        <f>[16]BV!VGY395</f>
        <v>0</v>
      </c>
      <c r="VGO479" s="2204"/>
      <c r="VGP479" s="2204"/>
      <c r="VGQ479" s="2204">
        <f t="shared" si="265"/>
        <v>0</v>
      </c>
      <c r="VGR479" s="2204">
        <f>[16]BV!VHC395</f>
        <v>0</v>
      </c>
      <c r="VGS479" s="2204"/>
      <c r="VGT479" s="2204"/>
      <c r="VGU479" s="2204">
        <f t="shared" si="265"/>
        <v>0</v>
      </c>
      <c r="VGV479" s="2204">
        <f>[16]BV!VHG395</f>
        <v>0</v>
      </c>
      <c r="VGW479" s="2204"/>
      <c r="VGX479" s="2204"/>
      <c r="VGY479" s="2204">
        <f t="shared" si="265"/>
        <v>0</v>
      </c>
      <c r="VGZ479" s="2204">
        <f>[16]BV!VHK395</f>
        <v>0</v>
      </c>
      <c r="VHA479" s="2204"/>
      <c r="VHB479" s="2204"/>
      <c r="VHC479" s="2204">
        <f t="shared" si="265"/>
        <v>0</v>
      </c>
      <c r="VHD479" s="2204">
        <f>[16]BV!VHO395</f>
        <v>0</v>
      </c>
      <c r="VHE479" s="2204"/>
      <c r="VHF479" s="2204"/>
      <c r="VHG479" s="2204">
        <f t="shared" si="265"/>
        <v>0</v>
      </c>
      <c r="VHH479" s="2204">
        <f>[16]BV!VHS395</f>
        <v>0</v>
      </c>
      <c r="VHI479" s="2204"/>
      <c r="VHJ479" s="2204"/>
      <c r="VHK479" s="2204">
        <f t="shared" si="265"/>
        <v>0</v>
      </c>
      <c r="VHL479" s="2204">
        <f>[16]BV!VHW395</f>
        <v>0</v>
      </c>
      <c r="VHM479" s="2204"/>
      <c r="VHN479" s="2204"/>
      <c r="VHO479" s="2204">
        <f t="shared" si="265"/>
        <v>0</v>
      </c>
      <c r="VHP479" s="2204">
        <f>[16]BV!VIA395</f>
        <v>0</v>
      </c>
      <c r="VHQ479" s="2204"/>
      <c r="VHR479" s="2204"/>
      <c r="VHS479" s="2204">
        <f t="shared" si="265"/>
        <v>0</v>
      </c>
      <c r="VHT479" s="2204">
        <f>[16]BV!VIE395</f>
        <v>0</v>
      </c>
      <c r="VHU479" s="2204"/>
      <c r="VHV479" s="2204"/>
      <c r="VHW479" s="2204">
        <f t="shared" si="265"/>
        <v>0</v>
      </c>
      <c r="VHX479" s="2204">
        <f>[16]BV!VII395</f>
        <v>0</v>
      </c>
      <c r="VHY479" s="2204"/>
      <c r="VHZ479" s="2204"/>
      <c r="VIA479" s="2204">
        <f t="shared" ref="VIA479:VKI479" si="266">VHX479</f>
        <v>0</v>
      </c>
      <c r="VIB479" s="2204">
        <f>[16]BV!VIM395</f>
        <v>0</v>
      </c>
      <c r="VIC479" s="2204"/>
      <c r="VID479" s="2204"/>
      <c r="VIE479" s="2204">
        <f t="shared" si="266"/>
        <v>0</v>
      </c>
      <c r="VIF479" s="2204">
        <f>[16]BV!VIQ395</f>
        <v>0</v>
      </c>
      <c r="VIG479" s="2204"/>
      <c r="VIH479" s="2204"/>
      <c r="VII479" s="2204">
        <f t="shared" si="266"/>
        <v>0</v>
      </c>
      <c r="VIJ479" s="2204">
        <f>[16]BV!VIU395</f>
        <v>0</v>
      </c>
      <c r="VIK479" s="2204"/>
      <c r="VIL479" s="2204"/>
      <c r="VIM479" s="2204">
        <f t="shared" si="266"/>
        <v>0</v>
      </c>
      <c r="VIN479" s="2204">
        <f>[16]BV!VIY395</f>
        <v>0</v>
      </c>
      <c r="VIO479" s="2204"/>
      <c r="VIP479" s="2204"/>
      <c r="VIQ479" s="2204">
        <f t="shared" si="266"/>
        <v>0</v>
      </c>
      <c r="VIR479" s="2204">
        <f>[16]BV!VJC395</f>
        <v>0</v>
      </c>
      <c r="VIS479" s="2204"/>
      <c r="VIT479" s="2204"/>
      <c r="VIU479" s="2204">
        <f t="shared" si="266"/>
        <v>0</v>
      </c>
      <c r="VIV479" s="2204">
        <f>[16]BV!VJG395</f>
        <v>0</v>
      </c>
      <c r="VIW479" s="2204"/>
      <c r="VIX479" s="2204"/>
      <c r="VIY479" s="2204">
        <f t="shared" si="266"/>
        <v>0</v>
      </c>
      <c r="VIZ479" s="2204">
        <f>[16]BV!VJK395</f>
        <v>0</v>
      </c>
      <c r="VJA479" s="2204"/>
      <c r="VJB479" s="2204"/>
      <c r="VJC479" s="2204">
        <f t="shared" si="266"/>
        <v>0</v>
      </c>
      <c r="VJD479" s="2204">
        <f>[16]BV!VJO395</f>
        <v>0</v>
      </c>
      <c r="VJE479" s="2204"/>
      <c r="VJF479" s="2204"/>
      <c r="VJG479" s="2204">
        <f t="shared" si="266"/>
        <v>0</v>
      </c>
      <c r="VJH479" s="2204">
        <f>[16]BV!VJS395</f>
        <v>0</v>
      </c>
      <c r="VJI479" s="2204"/>
      <c r="VJJ479" s="2204"/>
      <c r="VJK479" s="2204">
        <f t="shared" si="266"/>
        <v>0</v>
      </c>
      <c r="VJL479" s="2204">
        <f>[16]BV!VJW395</f>
        <v>0</v>
      </c>
      <c r="VJM479" s="2204"/>
      <c r="VJN479" s="2204"/>
      <c r="VJO479" s="2204">
        <f t="shared" si="266"/>
        <v>0</v>
      </c>
      <c r="VJP479" s="2204">
        <f>[16]BV!VKA395</f>
        <v>0</v>
      </c>
      <c r="VJQ479" s="2204"/>
      <c r="VJR479" s="2204"/>
      <c r="VJS479" s="2204">
        <f t="shared" si="266"/>
        <v>0</v>
      </c>
      <c r="VJT479" s="2204">
        <f>[16]BV!VKE395</f>
        <v>0</v>
      </c>
      <c r="VJU479" s="2204"/>
      <c r="VJV479" s="2204"/>
      <c r="VJW479" s="2204">
        <f t="shared" si="266"/>
        <v>0</v>
      </c>
      <c r="VJX479" s="2204">
        <f>[16]BV!VKI395</f>
        <v>0</v>
      </c>
      <c r="VJY479" s="2204"/>
      <c r="VJZ479" s="2204"/>
      <c r="VKA479" s="2204">
        <f t="shared" si="266"/>
        <v>0</v>
      </c>
      <c r="VKB479" s="2204">
        <f>[16]BV!VKM395</f>
        <v>0</v>
      </c>
      <c r="VKC479" s="2204"/>
      <c r="VKD479" s="2204"/>
      <c r="VKE479" s="2204">
        <f t="shared" si="266"/>
        <v>0</v>
      </c>
      <c r="VKF479" s="2204">
        <f>[16]BV!VKQ395</f>
        <v>0</v>
      </c>
      <c r="VKG479" s="2204"/>
      <c r="VKH479" s="2204"/>
      <c r="VKI479" s="2204">
        <f t="shared" si="266"/>
        <v>0</v>
      </c>
      <c r="VKJ479" s="2204">
        <f>[16]BV!VKU395</f>
        <v>0</v>
      </c>
      <c r="VKK479" s="2204"/>
      <c r="VKL479" s="2204"/>
      <c r="VKM479" s="2204">
        <f t="shared" ref="VKM479:VMU479" si="267">VKJ479</f>
        <v>0</v>
      </c>
      <c r="VKN479" s="2204">
        <f>[16]BV!VKY395</f>
        <v>0</v>
      </c>
      <c r="VKO479" s="2204"/>
      <c r="VKP479" s="2204"/>
      <c r="VKQ479" s="2204">
        <f t="shared" si="267"/>
        <v>0</v>
      </c>
      <c r="VKR479" s="2204">
        <f>[16]BV!VLC395</f>
        <v>0</v>
      </c>
      <c r="VKS479" s="2204"/>
      <c r="VKT479" s="2204"/>
      <c r="VKU479" s="2204">
        <f t="shared" si="267"/>
        <v>0</v>
      </c>
      <c r="VKV479" s="2204">
        <f>[16]BV!VLG395</f>
        <v>0</v>
      </c>
      <c r="VKW479" s="2204"/>
      <c r="VKX479" s="2204"/>
      <c r="VKY479" s="2204">
        <f t="shared" si="267"/>
        <v>0</v>
      </c>
      <c r="VKZ479" s="2204">
        <f>[16]BV!VLK395</f>
        <v>0</v>
      </c>
      <c r="VLA479" s="2204"/>
      <c r="VLB479" s="2204"/>
      <c r="VLC479" s="2204">
        <f t="shared" si="267"/>
        <v>0</v>
      </c>
      <c r="VLD479" s="2204">
        <f>[16]BV!VLO395</f>
        <v>0</v>
      </c>
      <c r="VLE479" s="2204"/>
      <c r="VLF479" s="2204"/>
      <c r="VLG479" s="2204">
        <f t="shared" si="267"/>
        <v>0</v>
      </c>
      <c r="VLH479" s="2204">
        <f>[16]BV!VLS395</f>
        <v>0</v>
      </c>
      <c r="VLI479" s="2204"/>
      <c r="VLJ479" s="2204"/>
      <c r="VLK479" s="2204">
        <f t="shared" si="267"/>
        <v>0</v>
      </c>
      <c r="VLL479" s="2204">
        <f>[16]BV!VLW395</f>
        <v>0</v>
      </c>
      <c r="VLM479" s="2204"/>
      <c r="VLN479" s="2204"/>
      <c r="VLO479" s="2204">
        <f t="shared" si="267"/>
        <v>0</v>
      </c>
      <c r="VLP479" s="2204">
        <f>[16]BV!VMA395</f>
        <v>0</v>
      </c>
      <c r="VLQ479" s="2204"/>
      <c r="VLR479" s="2204"/>
      <c r="VLS479" s="2204">
        <f t="shared" si="267"/>
        <v>0</v>
      </c>
      <c r="VLT479" s="2204">
        <f>[16]BV!VME395</f>
        <v>0</v>
      </c>
      <c r="VLU479" s="2204"/>
      <c r="VLV479" s="2204"/>
      <c r="VLW479" s="2204">
        <f t="shared" si="267"/>
        <v>0</v>
      </c>
      <c r="VLX479" s="2204">
        <f>[16]BV!VMI395</f>
        <v>0</v>
      </c>
      <c r="VLY479" s="2204"/>
      <c r="VLZ479" s="2204"/>
      <c r="VMA479" s="2204">
        <f t="shared" si="267"/>
        <v>0</v>
      </c>
      <c r="VMB479" s="2204">
        <f>[16]BV!VMM395</f>
        <v>0</v>
      </c>
      <c r="VMC479" s="2204"/>
      <c r="VMD479" s="2204"/>
      <c r="VME479" s="2204">
        <f t="shared" si="267"/>
        <v>0</v>
      </c>
      <c r="VMF479" s="2204">
        <f>[16]BV!VMQ395</f>
        <v>0</v>
      </c>
      <c r="VMG479" s="2204"/>
      <c r="VMH479" s="2204"/>
      <c r="VMI479" s="2204">
        <f t="shared" si="267"/>
        <v>0</v>
      </c>
      <c r="VMJ479" s="2204">
        <f>[16]BV!VMU395</f>
        <v>0</v>
      </c>
      <c r="VMK479" s="2204"/>
      <c r="VML479" s="2204"/>
      <c r="VMM479" s="2204">
        <f t="shared" si="267"/>
        <v>0</v>
      </c>
      <c r="VMN479" s="2204">
        <f>[16]BV!VMY395</f>
        <v>0</v>
      </c>
      <c r="VMO479" s="2204"/>
      <c r="VMP479" s="2204"/>
      <c r="VMQ479" s="2204">
        <f t="shared" si="267"/>
        <v>0</v>
      </c>
      <c r="VMR479" s="2204">
        <f>[16]BV!VNC395</f>
        <v>0</v>
      </c>
      <c r="VMS479" s="2204"/>
      <c r="VMT479" s="2204"/>
      <c r="VMU479" s="2204">
        <f t="shared" si="267"/>
        <v>0</v>
      </c>
      <c r="VMV479" s="2204">
        <f>[16]BV!VNG395</f>
        <v>0</v>
      </c>
      <c r="VMW479" s="2204"/>
      <c r="VMX479" s="2204"/>
      <c r="VMY479" s="2204">
        <f t="shared" ref="VMY479:VPG479" si="268">VMV479</f>
        <v>0</v>
      </c>
      <c r="VMZ479" s="2204">
        <f>[16]BV!VNK395</f>
        <v>0</v>
      </c>
      <c r="VNA479" s="2204"/>
      <c r="VNB479" s="2204"/>
      <c r="VNC479" s="2204">
        <f t="shared" si="268"/>
        <v>0</v>
      </c>
      <c r="VND479" s="2204">
        <f>[16]BV!VNO395</f>
        <v>0</v>
      </c>
      <c r="VNE479" s="2204"/>
      <c r="VNF479" s="2204"/>
      <c r="VNG479" s="2204">
        <f t="shared" si="268"/>
        <v>0</v>
      </c>
      <c r="VNH479" s="2204">
        <f>[16]BV!VNS395</f>
        <v>0</v>
      </c>
      <c r="VNI479" s="2204"/>
      <c r="VNJ479" s="2204"/>
      <c r="VNK479" s="2204">
        <f t="shared" si="268"/>
        <v>0</v>
      </c>
      <c r="VNL479" s="2204">
        <f>[16]BV!VNW395</f>
        <v>0</v>
      </c>
      <c r="VNM479" s="2204"/>
      <c r="VNN479" s="2204"/>
      <c r="VNO479" s="2204">
        <f t="shared" si="268"/>
        <v>0</v>
      </c>
      <c r="VNP479" s="2204">
        <f>[16]BV!VOA395</f>
        <v>0</v>
      </c>
      <c r="VNQ479" s="2204"/>
      <c r="VNR479" s="2204"/>
      <c r="VNS479" s="2204">
        <f t="shared" si="268"/>
        <v>0</v>
      </c>
      <c r="VNT479" s="2204">
        <f>[16]BV!VOE395</f>
        <v>0</v>
      </c>
      <c r="VNU479" s="2204"/>
      <c r="VNV479" s="2204"/>
      <c r="VNW479" s="2204">
        <f t="shared" si="268"/>
        <v>0</v>
      </c>
      <c r="VNX479" s="2204">
        <f>[16]BV!VOI395</f>
        <v>0</v>
      </c>
      <c r="VNY479" s="2204"/>
      <c r="VNZ479" s="2204"/>
      <c r="VOA479" s="2204">
        <f t="shared" si="268"/>
        <v>0</v>
      </c>
      <c r="VOB479" s="2204">
        <f>[16]BV!VOM395</f>
        <v>0</v>
      </c>
      <c r="VOC479" s="2204"/>
      <c r="VOD479" s="2204"/>
      <c r="VOE479" s="2204">
        <f t="shared" si="268"/>
        <v>0</v>
      </c>
      <c r="VOF479" s="2204">
        <f>[16]BV!VOQ395</f>
        <v>0</v>
      </c>
      <c r="VOG479" s="2204"/>
      <c r="VOH479" s="2204"/>
      <c r="VOI479" s="2204">
        <f t="shared" si="268"/>
        <v>0</v>
      </c>
      <c r="VOJ479" s="2204">
        <f>[16]BV!VOU395</f>
        <v>0</v>
      </c>
      <c r="VOK479" s="2204"/>
      <c r="VOL479" s="2204"/>
      <c r="VOM479" s="2204">
        <f t="shared" si="268"/>
        <v>0</v>
      </c>
      <c r="VON479" s="2204">
        <f>[16]BV!VOY395</f>
        <v>0</v>
      </c>
      <c r="VOO479" s="2204"/>
      <c r="VOP479" s="2204"/>
      <c r="VOQ479" s="2204">
        <f t="shared" si="268"/>
        <v>0</v>
      </c>
      <c r="VOR479" s="2204">
        <f>[16]BV!VPC395</f>
        <v>0</v>
      </c>
      <c r="VOS479" s="2204"/>
      <c r="VOT479" s="2204"/>
      <c r="VOU479" s="2204">
        <f t="shared" si="268"/>
        <v>0</v>
      </c>
      <c r="VOV479" s="2204">
        <f>[16]BV!VPG395</f>
        <v>0</v>
      </c>
      <c r="VOW479" s="2204"/>
      <c r="VOX479" s="2204"/>
      <c r="VOY479" s="2204">
        <f t="shared" si="268"/>
        <v>0</v>
      </c>
      <c r="VOZ479" s="2204">
        <f>[16]BV!VPK395</f>
        <v>0</v>
      </c>
      <c r="VPA479" s="2204"/>
      <c r="VPB479" s="2204"/>
      <c r="VPC479" s="2204">
        <f t="shared" si="268"/>
        <v>0</v>
      </c>
      <c r="VPD479" s="2204">
        <f>[16]BV!VPO395</f>
        <v>0</v>
      </c>
      <c r="VPE479" s="2204"/>
      <c r="VPF479" s="2204"/>
      <c r="VPG479" s="2204">
        <f t="shared" si="268"/>
        <v>0</v>
      </c>
      <c r="VPH479" s="2204">
        <f>[16]BV!VPS395</f>
        <v>0</v>
      </c>
      <c r="VPI479" s="2204"/>
      <c r="VPJ479" s="2204"/>
      <c r="VPK479" s="2204">
        <f t="shared" ref="VPK479:VRS479" si="269">VPH479</f>
        <v>0</v>
      </c>
      <c r="VPL479" s="2204">
        <f>[16]BV!VPW395</f>
        <v>0</v>
      </c>
      <c r="VPM479" s="2204"/>
      <c r="VPN479" s="2204"/>
      <c r="VPO479" s="2204">
        <f t="shared" si="269"/>
        <v>0</v>
      </c>
      <c r="VPP479" s="2204">
        <f>[16]BV!VQA395</f>
        <v>0</v>
      </c>
      <c r="VPQ479" s="2204"/>
      <c r="VPR479" s="2204"/>
      <c r="VPS479" s="2204">
        <f t="shared" si="269"/>
        <v>0</v>
      </c>
      <c r="VPT479" s="2204">
        <f>[16]BV!VQE395</f>
        <v>0</v>
      </c>
      <c r="VPU479" s="2204"/>
      <c r="VPV479" s="2204"/>
      <c r="VPW479" s="2204">
        <f t="shared" si="269"/>
        <v>0</v>
      </c>
      <c r="VPX479" s="2204">
        <f>[16]BV!VQI395</f>
        <v>0</v>
      </c>
      <c r="VPY479" s="2204"/>
      <c r="VPZ479" s="2204"/>
      <c r="VQA479" s="2204">
        <f t="shared" si="269"/>
        <v>0</v>
      </c>
      <c r="VQB479" s="2204">
        <f>[16]BV!VQM395</f>
        <v>0</v>
      </c>
      <c r="VQC479" s="2204"/>
      <c r="VQD479" s="2204"/>
      <c r="VQE479" s="2204">
        <f t="shared" si="269"/>
        <v>0</v>
      </c>
      <c r="VQF479" s="2204">
        <f>[16]BV!VQQ395</f>
        <v>0</v>
      </c>
      <c r="VQG479" s="2204"/>
      <c r="VQH479" s="2204"/>
      <c r="VQI479" s="2204">
        <f t="shared" si="269"/>
        <v>0</v>
      </c>
      <c r="VQJ479" s="2204">
        <f>[16]BV!VQU395</f>
        <v>0</v>
      </c>
      <c r="VQK479" s="2204"/>
      <c r="VQL479" s="2204"/>
      <c r="VQM479" s="2204">
        <f t="shared" si="269"/>
        <v>0</v>
      </c>
      <c r="VQN479" s="2204">
        <f>[16]BV!VQY395</f>
        <v>0</v>
      </c>
      <c r="VQO479" s="2204"/>
      <c r="VQP479" s="2204"/>
      <c r="VQQ479" s="2204">
        <f t="shared" si="269"/>
        <v>0</v>
      </c>
      <c r="VQR479" s="2204">
        <f>[16]BV!VRC395</f>
        <v>0</v>
      </c>
      <c r="VQS479" s="2204"/>
      <c r="VQT479" s="2204"/>
      <c r="VQU479" s="2204">
        <f t="shared" si="269"/>
        <v>0</v>
      </c>
      <c r="VQV479" s="2204">
        <f>[16]BV!VRG395</f>
        <v>0</v>
      </c>
      <c r="VQW479" s="2204"/>
      <c r="VQX479" s="2204"/>
      <c r="VQY479" s="2204">
        <f t="shared" si="269"/>
        <v>0</v>
      </c>
      <c r="VQZ479" s="2204">
        <f>[16]BV!VRK395</f>
        <v>0</v>
      </c>
      <c r="VRA479" s="2204"/>
      <c r="VRB479" s="2204"/>
      <c r="VRC479" s="2204">
        <f t="shared" si="269"/>
        <v>0</v>
      </c>
      <c r="VRD479" s="2204">
        <f>[16]BV!VRO395</f>
        <v>0</v>
      </c>
      <c r="VRE479" s="2204"/>
      <c r="VRF479" s="2204"/>
      <c r="VRG479" s="2204">
        <f t="shared" si="269"/>
        <v>0</v>
      </c>
      <c r="VRH479" s="2204">
        <f>[16]BV!VRS395</f>
        <v>0</v>
      </c>
      <c r="VRI479" s="2204"/>
      <c r="VRJ479" s="2204"/>
      <c r="VRK479" s="2204">
        <f t="shared" si="269"/>
        <v>0</v>
      </c>
      <c r="VRL479" s="2204">
        <f>[16]BV!VRW395</f>
        <v>0</v>
      </c>
      <c r="VRM479" s="2204"/>
      <c r="VRN479" s="2204"/>
      <c r="VRO479" s="2204">
        <f t="shared" si="269"/>
        <v>0</v>
      </c>
      <c r="VRP479" s="2204">
        <f>[16]BV!VSA395</f>
        <v>0</v>
      </c>
      <c r="VRQ479" s="2204"/>
      <c r="VRR479" s="2204"/>
      <c r="VRS479" s="2204">
        <f t="shared" si="269"/>
        <v>0</v>
      </c>
      <c r="VRT479" s="2204">
        <f>[16]BV!VSE395</f>
        <v>0</v>
      </c>
      <c r="VRU479" s="2204"/>
      <c r="VRV479" s="2204"/>
      <c r="VRW479" s="2204">
        <f t="shared" ref="VRW479:VUE479" si="270">VRT479</f>
        <v>0</v>
      </c>
      <c r="VRX479" s="2204">
        <f>[16]BV!VSI395</f>
        <v>0</v>
      </c>
      <c r="VRY479" s="2204"/>
      <c r="VRZ479" s="2204"/>
      <c r="VSA479" s="2204">
        <f t="shared" si="270"/>
        <v>0</v>
      </c>
      <c r="VSB479" s="2204">
        <f>[16]BV!VSM395</f>
        <v>0</v>
      </c>
      <c r="VSC479" s="2204"/>
      <c r="VSD479" s="2204"/>
      <c r="VSE479" s="2204">
        <f t="shared" si="270"/>
        <v>0</v>
      </c>
      <c r="VSF479" s="2204">
        <f>[16]BV!VSQ395</f>
        <v>0</v>
      </c>
      <c r="VSG479" s="2204"/>
      <c r="VSH479" s="2204"/>
      <c r="VSI479" s="2204">
        <f t="shared" si="270"/>
        <v>0</v>
      </c>
      <c r="VSJ479" s="2204">
        <f>[16]BV!VSU395</f>
        <v>0</v>
      </c>
      <c r="VSK479" s="2204"/>
      <c r="VSL479" s="2204"/>
      <c r="VSM479" s="2204">
        <f t="shared" si="270"/>
        <v>0</v>
      </c>
      <c r="VSN479" s="2204">
        <f>[16]BV!VSY395</f>
        <v>0</v>
      </c>
      <c r="VSO479" s="2204"/>
      <c r="VSP479" s="2204"/>
      <c r="VSQ479" s="2204">
        <f t="shared" si="270"/>
        <v>0</v>
      </c>
      <c r="VSR479" s="2204">
        <f>[16]BV!VTC395</f>
        <v>0</v>
      </c>
      <c r="VSS479" s="2204"/>
      <c r="VST479" s="2204"/>
      <c r="VSU479" s="2204">
        <f t="shared" si="270"/>
        <v>0</v>
      </c>
      <c r="VSV479" s="2204">
        <f>[16]BV!VTG395</f>
        <v>0</v>
      </c>
      <c r="VSW479" s="2204"/>
      <c r="VSX479" s="2204"/>
      <c r="VSY479" s="2204">
        <f t="shared" si="270"/>
        <v>0</v>
      </c>
      <c r="VSZ479" s="2204">
        <f>[16]BV!VTK395</f>
        <v>0</v>
      </c>
      <c r="VTA479" s="2204"/>
      <c r="VTB479" s="2204"/>
      <c r="VTC479" s="2204">
        <f t="shared" si="270"/>
        <v>0</v>
      </c>
      <c r="VTD479" s="2204">
        <f>[16]BV!VTO395</f>
        <v>0</v>
      </c>
      <c r="VTE479" s="2204"/>
      <c r="VTF479" s="2204"/>
      <c r="VTG479" s="2204">
        <f t="shared" si="270"/>
        <v>0</v>
      </c>
      <c r="VTH479" s="2204">
        <f>[16]BV!VTS395</f>
        <v>0</v>
      </c>
      <c r="VTI479" s="2204"/>
      <c r="VTJ479" s="2204"/>
      <c r="VTK479" s="2204">
        <f t="shared" si="270"/>
        <v>0</v>
      </c>
      <c r="VTL479" s="2204">
        <f>[16]BV!VTW395</f>
        <v>0</v>
      </c>
      <c r="VTM479" s="2204"/>
      <c r="VTN479" s="2204"/>
      <c r="VTO479" s="2204">
        <f t="shared" si="270"/>
        <v>0</v>
      </c>
      <c r="VTP479" s="2204">
        <f>[16]BV!VUA395</f>
        <v>0</v>
      </c>
      <c r="VTQ479" s="2204"/>
      <c r="VTR479" s="2204"/>
      <c r="VTS479" s="2204">
        <f t="shared" si="270"/>
        <v>0</v>
      </c>
      <c r="VTT479" s="2204">
        <f>[16]BV!VUE395</f>
        <v>0</v>
      </c>
      <c r="VTU479" s="2204"/>
      <c r="VTV479" s="2204"/>
      <c r="VTW479" s="2204">
        <f t="shared" si="270"/>
        <v>0</v>
      </c>
      <c r="VTX479" s="2204">
        <f>[16]BV!VUI395</f>
        <v>0</v>
      </c>
      <c r="VTY479" s="2204"/>
      <c r="VTZ479" s="2204"/>
      <c r="VUA479" s="2204">
        <f t="shared" si="270"/>
        <v>0</v>
      </c>
      <c r="VUB479" s="2204">
        <f>[16]BV!VUM395</f>
        <v>0</v>
      </c>
      <c r="VUC479" s="2204"/>
      <c r="VUD479" s="2204"/>
      <c r="VUE479" s="2204">
        <f t="shared" si="270"/>
        <v>0</v>
      </c>
      <c r="VUF479" s="2204">
        <f>[16]BV!VUQ395</f>
        <v>0</v>
      </c>
      <c r="VUG479" s="2204"/>
      <c r="VUH479" s="2204"/>
      <c r="VUI479" s="2204">
        <f t="shared" ref="VUI479:VWQ479" si="271">VUF479</f>
        <v>0</v>
      </c>
      <c r="VUJ479" s="2204">
        <f>[16]BV!VUU395</f>
        <v>0</v>
      </c>
      <c r="VUK479" s="2204"/>
      <c r="VUL479" s="2204"/>
      <c r="VUM479" s="2204">
        <f t="shared" si="271"/>
        <v>0</v>
      </c>
      <c r="VUN479" s="2204">
        <f>[16]BV!VUY395</f>
        <v>0</v>
      </c>
      <c r="VUO479" s="2204"/>
      <c r="VUP479" s="2204"/>
      <c r="VUQ479" s="2204">
        <f t="shared" si="271"/>
        <v>0</v>
      </c>
      <c r="VUR479" s="2204">
        <f>[16]BV!VVC395</f>
        <v>0</v>
      </c>
      <c r="VUS479" s="2204"/>
      <c r="VUT479" s="2204"/>
      <c r="VUU479" s="2204">
        <f t="shared" si="271"/>
        <v>0</v>
      </c>
      <c r="VUV479" s="2204">
        <f>[16]BV!VVG395</f>
        <v>0</v>
      </c>
      <c r="VUW479" s="2204"/>
      <c r="VUX479" s="2204"/>
      <c r="VUY479" s="2204">
        <f t="shared" si="271"/>
        <v>0</v>
      </c>
      <c r="VUZ479" s="2204">
        <f>[16]BV!VVK395</f>
        <v>0</v>
      </c>
      <c r="VVA479" s="2204"/>
      <c r="VVB479" s="2204"/>
      <c r="VVC479" s="2204">
        <f t="shared" si="271"/>
        <v>0</v>
      </c>
      <c r="VVD479" s="2204">
        <f>[16]BV!VVO395</f>
        <v>0</v>
      </c>
      <c r="VVE479" s="2204"/>
      <c r="VVF479" s="2204"/>
      <c r="VVG479" s="2204">
        <f t="shared" si="271"/>
        <v>0</v>
      </c>
      <c r="VVH479" s="2204">
        <f>[16]BV!VVS395</f>
        <v>0</v>
      </c>
      <c r="VVI479" s="2204"/>
      <c r="VVJ479" s="2204"/>
      <c r="VVK479" s="2204">
        <f t="shared" si="271"/>
        <v>0</v>
      </c>
      <c r="VVL479" s="2204">
        <f>[16]BV!VVW395</f>
        <v>0</v>
      </c>
      <c r="VVM479" s="2204"/>
      <c r="VVN479" s="2204"/>
      <c r="VVO479" s="2204">
        <f t="shared" si="271"/>
        <v>0</v>
      </c>
      <c r="VVP479" s="2204">
        <f>[16]BV!VWA395</f>
        <v>0</v>
      </c>
      <c r="VVQ479" s="2204"/>
      <c r="VVR479" s="2204"/>
      <c r="VVS479" s="2204">
        <f t="shared" si="271"/>
        <v>0</v>
      </c>
      <c r="VVT479" s="2204">
        <f>[16]BV!VWE395</f>
        <v>0</v>
      </c>
      <c r="VVU479" s="2204"/>
      <c r="VVV479" s="2204"/>
      <c r="VVW479" s="2204">
        <f t="shared" si="271"/>
        <v>0</v>
      </c>
      <c r="VVX479" s="2204">
        <f>[16]BV!VWI395</f>
        <v>0</v>
      </c>
      <c r="VVY479" s="2204"/>
      <c r="VVZ479" s="2204"/>
      <c r="VWA479" s="2204">
        <f t="shared" si="271"/>
        <v>0</v>
      </c>
      <c r="VWB479" s="2204">
        <f>[16]BV!VWM395</f>
        <v>0</v>
      </c>
      <c r="VWC479" s="2204"/>
      <c r="VWD479" s="2204"/>
      <c r="VWE479" s="2204">
        <f t="shared" si="271"/>
        <v>0</v>
      </c>
      <c r="VWF479" s="2204">
        <f>[16]BV!VWQ395</f>
        <v>0</v>
      </c>
      <c r="VWG479" s="2204"/>
      <c r="VWH479" s="2204"/>
      <c r="VWI479" s="2204">
        <f t="shared" si="271"/>
        <v>0</v>
      </c>
      <c r="VWJ479" s="2204">
        <f>[16]BV!VWU395</f>
        <v>0</v>
      </c>
      <c r="VWK479" s="2204"/>
      <c r="VWL479" s="2204"/>
      <c r="VWM479" s="2204">
        <f t="shared" si="271"/>
        <v>0</v>
      </c>
      <c r="VWN479" s="2204">
        <f>[16]BV!VWY395</f>
        <v>0</v>
      </c>
      <c r="VWO479" s="2204"/>
      <c r="VWP479" s="2204"/>
      <c r="VWQ479" s="2204">
        <f t="shared" si="271"/>
        <v>0</v>
      </c>
      <c r="VWR479" s="2204">
        <f>[16]BV!VXC395</f>
        <v>0</v>
      </c>
      <c r="VWS479" s="2204"/>
      <c r="VWT479" s="2204"/>
      <c r="VWU479" s="2204">
        <f t="shared" ref="VWU479:VZC479" si="272">VWR479</f>
        <v>0</v>
      </c>
      <c r="VWV479" s="2204">
        <f>[16]BV!VXG395</f>
        <v>0</v>
      </c>
      <c r="VWW479" s="2204"/>
      <c r="VWX479" s="2204"/>
      <c r="VWY479" s="2204">
        <f t="shared" si="272"/>
        <v>0</v>
      </c>
      <c r="VWZ479" s="2204">
        <f>[16]BV!VXK395</f>
        <v>0</v>
      </c>
      <c r="VXA479" s="2204"/>
      <c r="VXB479" s="2204"/>
      <c r="VXC479" s="2204">
        <f t="shared" si="272"/>
        <v>0</v>
      </c>
      <c r="VXD479" s="2204">
        <f>[16]BV!VXO395</f>
        <v>0</v>
      </c>
      <c r="VXE479" s="2204"/>
      <c r="VXF479" s="2204"/>
      <c r="VXG479" s="2204">
        <f t="shared" si="272"/>
        <v>0</v>
      </c>
      <c r="VXH479" s="2204">
        <f>[16]BV!VXS395</f>
        <v>0</v>
      </c>
      <c r="VXI479" s="2204"/>
      <c r="VXJ479" s="2204"/>
      <c r="VXK479" s="2204">
        <f t="shared" si="272"/>
        <v>0</v>
      </c>
      <c r="VXL479" s="2204">
        <f>[16]BV!VXW395</f>
        <v>0</v>
      </c>
      <c r="VXM479" s="2204"/>
      <c r="VXN479" s="2204"/>
      <c r="VXO479" s="2204">
        <f t="shared" si="272"/>
        <v>0</v>
      </c>
      <c r="VXP479" s="2204">
        <f>[16]BV!VYA395</f>
        <v>0</v>
      </c>
      <c r="VXQ479" s="2204"/>
      <c r="VXR479" s="2204"/>
      <c r="VXS479" s="2204">
        <f t="shared" si="272"/>
        <v>0</v>
      </c>
      <c r="VXT479" s="2204">
        <f>[16]BV!VYE395</f>
        <v>0</v>
      </c>
      <c r="VXU479" s="2204"/>
      <c r="VXV479" s="2204"/>
      <c r="VXW479" s="2204">
        <f t="shared" si="272"/>
        <v>0</v>
      </c>
      <c r="VXX479" s="2204">
        <f>[16]BV!VYI395</f>
        <v>0</v>
      </c>
      <c r="VXY479" s="2204"/>
      <c r="VXZ479" s="2204"/>
      <c r="VYA479" s="2204">
        <f t="shared" si="272"/>
        <v>0</v>
      </c>
      <c r="VYB479" s="2204">
        <f>[16]BV!VYM395</f>
        <v>0</v>
      </c>
      <c r="VYC479" s="2204"/>
      <c r="VYD479" s="2204"/>
      <c r="VYE479" s="2204">
        <f t="shared" si="272"/>
        <v>0</v>
      </c>
      <c r="VYF479" s="2204">
        <f>[16]BV!VYQ395</f>
        <v>0</v>
      </c>
      <c r="VYG479" s="2204"/>
      <c r="VYH479" s="2204"/>
      <c r="VYI479" s="2204">
        <f t="shared" si="272"/>
        <v>0</v>
      </c>
      <c r="VYJ479" s="2204">
        <f>[16]BV!VYU395</f>
        <v>0</v>
      </c>
      <c r="VYK479" s="2204"/>
      <c r="VYL479" s="2204"/>
      <c r="VYM479" s="2204">
        <f t="shared" si="272"/>
        <v>0</v>
      </c>
      <c r="VYN479" s="2204">
        <f>[16]BV!VYY395</f>
        <v>0</v>
      </c>
      <c r="VYO479" s="2204"/>
      <c r="VYP479" s="2204"/>
      <c r="VYQ479" s="2204">
        <f t="shared" si="272"/>
        <v>0</v>
      </c>
      <c r="VYR479" s="2204">
        <f>[16]BV!VZC395</f>
        <v>0</v>
      </c>
      <c r="VYS479" s="2204"/>
      <c r="VYT479" s="2204"/>
      <c r="VYU479" s="2204">
        <f t="shared" si="272"/>
        <v>0</v>
      </c>
      <c r="VYV479" s="2204">
        <f>[16]BV!VZG395</f>
        <v>0</v>
      </c>
      <c r="VYW479" s="2204"/>
      <c r="VYX479" s="2204"/>
      <c r="VYY479" s="2204">
        <f t="shared" si="272"/>
        <v>0</v>
      </c>
      <c r="VYZ479" s="2204">
        <f>[16]BV!VZK395</f>
        <v>0</v>
      </c>
      <c r="VZA479" s="2204"/>
      <c r="VZB479" s="2204"/>
      <c r="VZC479" s="2204">
        <f t="shared" si="272"/>
        <v>0</v>
      </c>
      <c r="VZD479" s="2204">
        <f>[16]BV!VZO395</f>
        <v>0</v>
      </c>
      <c r="VZE479" s="2204"/>
      <c r="VZF479" s="2204"/>
      <c r="VZG479" s="2204">
        <f t="shared" ref="VZG479:WBO479" si="273">VZD479</f>
        <v>0</v>
      </c>
      <c r="VZH479" s="2204">
        <f>[16]BV!VZS395</f>
        <v>0</v>
      </c>
      <c r="VZI479" s="2204"/>
      <c r="VZJ479" s="2204"/>
      <c r="VZK479" s="2204">
        <f t="shared" si="273"/>
        <v>0</v>
      </c>
      <c r="VZL479" s="2204">
        <f>[16]BV!VZW395</f>
        <v>0</v>
      </c>
      <c r="VZM479" s="2204"/>
      <c r="VZN479" s="2204"/>
      <c r="VZO479" s="2204">
        <f t="shared" si="273"/>
        <v>0</v>
      </c>
      <c r="VZP479" s="2204">
        <f>[16]BV!WAA395</f>
        <v>0</v>
      </c>
      <c r="VZQ479" s="2204"/>
      <c r="VZR479" s="2204"/>
      <c r="VZS479" s="2204">
        <f t="shared" si="273"/>
        <v>0</v>
      </c>
      <c r="VZT479" s="2204">
        <f>[16]BV!WAE395</f>
        <v>0</v>
      </c>
      <c r="VZU479" s="2204"/>
      <c r="VZV479" s="2204"/>
      <c r="VZW479" s="2204">
        <f t="shared" si="273"/>
        <v>0</v>
      </c>
      <c r="VZX479" s="2204">
        <f>[16]BV!WAI395</f>
        <v>0</v>
      </c>
      <c r="VZY479" s="2204"/>
      <c r="VZZ479" s="2204"/>
      <c r="WAA479" s="2204">
        <f t="shared" si="273"/>
        <v>0</v>
      </c>
      <c r="WAB479" s="2204">
        <f>[16]BV!WAM395</f>
        <v>0</v>
      </c>
      <c r="WAC479" s="2204"/>
      <c r="WAD479" s="2204"/>
      <c r="WAE479" s="2204">
        <f t="shared" si="273"/>
        <v>0</v>
      </c>
      <c r="WAF479" s="2204">
        <f>[16]BV!WAQ395</f>
        <v>0</v>
      </c>
      <c r="WAG479" s="2204"/>
      <c r="WAH479" s="2204"/>
      <c r="WAI479" s="2204">
        <f t="shared" si="273"/>
        <v>0</v>
      </c>
      <c r="WAJ479" s="2204">
        <f>[16]BV!WAU395</f>
        <v>0</v>
      </c>
      <c r="WAK479" s="2204"/>
      <c r="WAL479" s="2204"/>
      <c r="WAM479" s="2204">
        <f t="shared" si="273"/>
        <v>0</v>
      </c>
      <c r="WAN479" s="2204">
        <f>[16]BV!WAY395</f>
        <v>0</v>
      </c>
      <c r="WAO479" s="2204"/>
      <c r="WAP479" s="2204"/>
      <c r="WAQ479" s="2204">
        <f t="shared" si="273"/>
        <v>0</v>
      </c>
      <c r="WAR479" s="2204">
        <f>[16]BV!WBC395</f>
        <v>0</v>
      </c>
      <c r="WAS479" s="2204"/>
      <c r="WAT479" s="2204"/>
      <c r="WAU479" s="2204">
        <f t="shared" si="273"/>
        <v>0</v>
      </c>
      <c r="WAV479" s="2204">
        <f>[16]BV!WBG395</f>
        <v>0</v>
      </c>
      <c r="WAW479" s="2204"/>
      <c r="WAX479" s="2204"/>
      <c r="WAY479" s="2204">
        <f t="shared" si="273"/>
        <v>0</v>
      </c>
      <c r="WAZ479" s="2204">
        <f>[16]BV!WBK395</f>
        <v>0</v>
      </c>
      <c r="WBA479" s="2204"/>
      <c r="WBB479" s="2204"/>
      <c r="WBC479" s="2204">
        <f t="shared" si="273"/>
        <v>0</v>
      </c>
      <c r="WBD479" s="2204">
        <f>[16]BV!WBO395</f>
        <v>0</v>
      </c>
      <c r="WBE479" s="2204"/>
      <c r="WBF479" s="2204"/>
      <c r="WBG479" s="2204">
        <f t="shared" si="273"/>
        <v>0</v>
      </c>
      <c r="WBH479" s="2204">
        <f>[16]BV!WBS395</f>
        <v>0</v>
      </c>
      <c r="WBI479" s="2204"/>
      <c r="WBJ479" s="2204"/>
      <c r="WBK479" s="2204">
        <f t="shared" si="273"/>
        <v>0</v>
      </c>
      <c r="WBL479" s="2204">
        <f>[16]BV!WBW395</f>
        <v>0</v>
      </c>
      <c r="WBM479" s="2204"/>
      <c r="WBN479" s="2204"/>
      <c r="WBO479" s="2204">
        <f t="shared" si="273"/>
        <v>0</v>
      </c>
      <c r="WBP479" s="2204">
        <f>[16]BV!WCA395</f>
        <v>0</v>
      </c>
      <c r="WBQ479" s="2204"/>
      <c r="WBR479" s="2204"/>
      <c r="WBS479" s="2204">
        <f t="shared" ref="WBS479:WEA479" si="274">WBP479</f>
        <v>0</v>
      </c>
      <c r="WBT479" s="2204">
        <f>[16]BV!WCE395</f>
        <v>0</v>
      </c>
      <c r="WBU479" s="2204"/>
      <c r="WBV479" s="2204"/>
      <c r="WBW479" s="2204">
        <f t="shared" si="274"/>
        <v>0</v>
      </c>
      <c r="WBX479" s="2204">
        <f>[16]BV!WCI395</f>
        <v>0</v>
      </c>
      <c r="WBY479" s="2204"/>
      <c r="WBZ479" s="2204"/>
      <c r="WCA479" s="2204">
        <f t="shared" si="274"/>
        <v>0</v>
      </c>
      <c r="WCB479" s="2204">
        <f>[16]BV!WCM395</f>
        <v>0</v>
      </c>
      <c r="WCC479" s="2204"/>
      <c r="WCD479" s="2204"/>
      <c r="WCE479" s="2204">
        <f t="shared" si="274"/>
        <v>0</v>
      </c>
      <c r="WCF479" s="2204">
        <f>[16]BV!WCQ395</f>
        <v>0</v>
      </c>
      <c r="WCG479" s="2204"/>
      <c r="WCH479" s="2204"/>
      <c r="WCI479" s="2204">
        <f t="shared" si="274"/>
        <v>0</v>
      </c>
      <c r="WCJ479" s="2204">
        <f>[16]BV!WCU395</f>
        <v>0</v>
      </c>
      <c r="WCK479" s="2204"/>
      <c r="WCL479" s="2204"/>
      <c r="WCM479" s="2204">
        <f t="shared" si="274"/>
        <v>0</v>
      </c>
      <c r="WCN479" s="2204">
        <f>[16]BV!WCY395</f>
        <v>0</v>
      </c>
      <c r="WCO479" s="2204"/>
      <c r="WCP479" s="2204"/>
      <c r="WCQ479" s="2204">
        <f t="shared" si="274"/>
        <v>0</v>
      </c>
      <c r="WCR479" s="2204">
        <f>[16]BV!WDC395</f>
        <v>0</v>
      </c>
      <c r="WCS479" s="2204"/>
      <c r="WCT479" s="2204"/>
      <c r="WCU479" s="2204">
        <f t="shared" si="274"/>
        <v>0</v>
      </c>
      <c r="WCV479" s="2204">
        <f>[16]BV!WDG395</f>
        <v>0</v>
      </c>
      <c r="WCW479" s="2204"/>
      <c r="WCX479" s="2204"/>
      <c r="WCY479" s="2204">
        <f t="shared" si="274"/>
        <v>0</v>
      </c>
      <c r="WCZ479" s="2204">
        <f>[16]BV!WDK395</f>
        <v>0</v>
      </c>
      <c r="WDA479" s="2204"/>
      <c r="WDB479" s="2204"/>
      <c r="WDC479" s="2204">
        <f t="shared" si="274"/>
        <v>0</v>
      </c>
      <c r="WDD479" s="2204">
        <f>[16]BV!WDO395</f>
        <v>0</v>
      </c>
      <c r="WDE479" s="2204"/>
      <c r="WDF479" s="2204"/>
      <c r="WDG479" s="2204">
        <f t="shared" si="274"/>
        <v>0</v>
      </c>
      <c r="WDH479" s="2204">
        <f>[16]BV!WDS395</f>
        <v>0</v>
      </c>
      <c r="WDI479" s="2204"/>
      <c r="WDJ479" s="2204"/>
      <c r="WDK479" s="2204">
        <f t="shared" si="274"/>
        <v>0</v>
      </c>
      <c r="WDL479" s="2204">
        <f>[16]BV!WDW395</f>
        <v>0</v>
      </c>
      <c r="WDM479" s="2204"/>
      <c r="WDN479" s="2204"/>
      <c r="WDO479" s="2204">
        <f t="shared" si="274"/>
        <v>0</v>
      </c>
      <c r="WDP479" s="2204">
        <f>[16]BV!WEA395</f>
        <v>0</v>
      </c>
      <c r="WDQ479" s="2204"/>
      <c r="WDR479" s="2204"/>
      <c r="WDS479" s="2204">
        <f t="shared" si="274"/>
        <v>0</v>
      </c>
      <c r="WDT479" s="2204">
        <f>[16]BV!WEE395</f>
        <v>0</v>
      </c>
      <c r="WDU479" s="2204"/>
      <c r="WDV479" s="2204"/>
      <c r="WDW479" s="2204">
        <f t="shared" si="274"/>
        <v>0</v>
      </c>
      <c r="WDX479" s="2204">
        <f>[16]BV!WEI395</f>
        <v>0</v>
      </c>
      <c r="WDY479" s="2204"/>
      <c r="WDZ479" s="2204"/>
      <c r="WEA479" s="2204">
        <f t="shared" si="274"/>
        <v>0</v>
      </c>
      <c r="WEB479" s="2204">
        <f>[16]BV!WEM395</f>
        <v>0</v>
      </c>
      <c r="WEC479" s="2204"/>
      <c r="WED479" s="2204"/>
      <c r="WEE479" s="2204">
        <f t="shared" ref="WEE479:WGM479" si="275">WEB479</f>
        <v>0</v>
      </c>
      <c r="WEF479" s="2204">
        <f>[16]BV!WEQ395</f>
        <v>0</v>
      </c>
      <c r="WEG479" s="2204"/>
      <c r="WEH479" s="2204"/>
      <c r="WEI479" s="2204">
        <f t="shared" si="275"/>
        <v>0</v>
      </c>
      <c r="WEJ479" s="2204">
        <f>[16]BV!WEU395</f>
        <v>0</v>
      </c>
      <c r="WEK479" s="2204"/>
      <c r="WEL479" s="2204"/>
      <c r="WEM479" s="2204">
        <f t="shared" si="275"/>
        <v>0</v>
      </c>
      <c r="WEN479" s="2204">
        <f>[16]BV!WEY395</f>
        <v>0</v>
      </c>
      <c r="WEO479" s="2204"/>
      <c r="WEP479" s="2204"/>
      <c r="WEQ479" s="2204">
        <f t="shared" si="275"/>
        <v>0</v>
      </c>
      <c r="WER479" s="2204">
        <f>[16]BV!WFC395</f>
        <v>0</v>
      </c>
      <c r="WES479" s="2204"/>
      <c r="WET479" s="2204"/>
      <c r="WEU479" s="2204">
        <f t="shared" si="275"/>
        <v>0</v>
      </c>
      <c r="WEV479" s="2204">
        <f>[16]BV!WFG395</f>
        <v>0</v>
      </c>
      <c r="WEW479" s="2204"/>
      <c r="WEX479" s="2204"/>
      <c r="WEY479" s="2204">
        <f t="shared" si="275"/>
        <v>0</v>
      </c>
      <c r="WEZ479" s="2204">
        <f>[16]BV!WFK395</f>
        <v>0</v>
      </c>
      <c r="WFA479" s="2204"/>
      <c r="WFB479" s="2204"/>
      <c r="WFC479" s="2204">
        <f t="shared" si="275"/>
        <v>0</v>
      </c>
      <c r="WFD479" s="2204">
        <f>[16]BV!WFO395</f>
        <v>0</v>
      </c>
      <c r="WFE479" s="2204"/>
      <c r="WFF479" s="2204"/>
      <c r="WFG479" s="2204">
        <f t="shared" si="275"/>
        <v>0</v>
      </c>
      <c r="WFH479" s="2204">
        <f>[16]BV!WFS395</f>
        <v>0</v>
      </c>
      <c r="WFI479" s="2204"/>
      <c r="WFJ479" s="2204"/>
      <c r="WFK479" s="2204">
        <f t="shared" si="275"/>
        <v>0</v>
      </c>
      <c r="WFL479" s="2204">
        <f>[16]BV!WFW395</f>
        <v>0</v>
      </c>
      <c r="WFM479" s="2204"/>
      <c r="WFN479" s="2204"/>
      <c r="WFO479" s="2204">
        <f t="shared" si="275"/>
        <v>0</v>
      </c>
      <c r="WFP479" s="2204">
        <f>[16]BV!WGA395</f>
        <v>0</v>
      </c>
      <c r="WFQ479" s="2204"/>
      <c r="WFR479" s="2204"/>
      <c r="WFS479" s="2204">
        <f t="shared" si="275"/>
        <v>0</v>
      </c>
      <c r="WFT479" s="2204">
        <f>[16]BV!WGE395</f>
        <v>0</v>
      </c>
      <c r="WFU479" s="2204"/>
      <c r="WFV479" s="2204"/>
      <c r="WFW479" s="2204">
        <f t="shared" si="275"/>
        <v>0</v>
      </c>
      <c r="WFX479" s="2204">
        <f>[16]BV!WGI395</f>
        <v>0</v>
      </c>
      <c r="WFY479" s="2204"/>
      <c r="WFZ479" s="2204"/>
      <c r="WGA479" s="2204">
        <f t="shared" si="275"/>
        <v>0</v>
      </c>
      <c r="WGB479" s="2204">
        <f>[16]BV!WGM395</f>
        <v>0</v>
      </c>
      <c r="WGC479" s="2204"/>
      <c r="WGD479" s="2204"/>
      <c r="WGE479" s="2204">
        <f t="shared" si="275"/>
        <v>0</v>
      </c>
      <c r="WGF479" s="2204">
        <f>[16]BV!WGQ395</f>
        <v>0</v>
      </c>
      <c r="WGG479" s="2204"/>
      <c r="WGH479" s="2204"/>
      <c r="WGI479" s="2204">
        <f t="shared" si="275"/>
        <v>0</v>
      </c>
      <c r="WGJ479" s="2204">
        <f>[16]BV!WGU395</f>
        <v>0</v>
      </c>
      <c r="WGK479" s="2204"/>
      <c r="WGL479" s="2204"/>
      <c r="WGM479" s="2204">
        <f t="shared" si="275"/>
        <v>0</v>
      </c>
      <c r="WGN479" s="2204">
        <f>[16]BV!WGY395</f>
        <v>0</v>
      </c>
      <c r="WGO479" s="2204"/>
      <c r="WGP479" s="2204"/>
      <c r="WGQ479" s="2204">
        <f t="shared" ref="WGQ479:WIY479" si="276">WGN479</f>
        <v>0</v>
      </c>
      <c r="WGR479" s="2204">
        <f>[16]BV!WHC395</f>
        <v>0</v>
      </c>
      <c r="WGS479" s="2204"/>
      <c r="WGT479" s="2204"/>
      <c r="WGU479" s="2204">
        <f t="shared" si="276"/>
        <v>0</v>
      </c>
      <c r="WGV479" s="2204">
        <f>[16]BV!WHG395</f>
        <v>0</v>
      </c>
      <c r="WGW479" s="2204"/>
      <c r="WGX479" s="2204"/>
      <c r="WGY479" s="2204">
        <f t="shared" si="276"/>
        <v>0</v>
      </c>
      <c r="WGZ479" s="2204">
        <f>[16]BV!WHK395</f>
        <v>0</v>
      </c>
      <c r="WHA479" s="2204"/>
      <c r="WHB479" s="2204"/>
      <c r="WHC479" s="2204">
        <f t="shared" si="276"/>
        <v>0</v>
      </c>
      <c r="WHD479" s="2204">
        <f>[16]BV!WHO395</f>
        <v>0</v>
      </c>
      <c r="WHE479" s="2204"/>
      <c r="WHF479" s="2204"/>
      <c r="WHG479" s="2204">
        <f t="shared" si="276"/>
        <v>0</v>
      </c>
      <c r="WHH479" s="2204">
        <f>[16]BV!WHS395</f>
        <v>0</v>
      </c>
      <c r="WHI479" s="2204"/>
      <c r="WHJ479" s="2204"/>
      <c r="WHK479" s="2204">
        <f t="shared" si="276"/>
        <v>0</v>
      </c>
      <c r="WHL479" s="2204">
        <f>[16]BV!WHW395</f>
        <v>0</v>
      </c>
      <c r="WHM479" s="2204"/>
      <c r="WHN479" s="2204"/>
      <c r="WHO479" s="2204">
        <f t="shared" si="276"/>
        <v>0</v>
      </c>
      <c r="WHP479" s="2204">
        <f>[16]BV!WIA395</f>
        <v>0</v>
      </c>
      <c r="WHQ479" s="2204"/>
      <c r="WHR479" s="2204"/>
      <c r="WHS479" s="2204">
        <f t="shared" si="276"/>
        <v>0</v>
      </c>
      <c r="WHT479" s="2204">
        <f>[16]BV!WIE395</f>
        <v>0</v>
      </c>
      <c r="WHU479" s="2204"/>
      <c r="WHV479" s="2204"/>
      <c r="WHW479" s="2204">
        <f t="shared" si="276"/>
        <v>0</v>
      </c>
      <c r="WHX479" s="2204">
        <f>[16]BV!WII395</f>
        <v>0</v>
      </c>
      <c r="WHY479" s="2204"/>
      <c r="WHZ479" s="2204"/>
      <c r="WIA479" s="2204">
        <f t="shared" si="276"/>
        <v>0</v>
      </c>
      <c r="WIB479" s="2204">
        <f>[16]BV!WIM395</f>
        <v>0</v>
      </c>
      <c r="WIC479" s="2204"/>
      <c r="WID479" s="2204"/>
      <c r="WIE479" s="2204">
        <f t="shared" si="276"/>
        <v>0</v>
      </c>
      <c r="WIF479" s="2204">
        <f>[16]BV!WIQ395</f>
        <v>0</v>
      </c>
      <c r="WIG479" s="2204"/>
      <c r="WIH479" s="2204"/>
      <c r="WII479" s="2204">
        <f t="shared" si="276"/>
        <v>0</v>
      </c>
      <c r="WIJ479" s="2204">
        <f>[16]BV!WIU395</f>
        <v>0</v>
      </c>
      <c r="WIK479" s="2204"/>
      <c r="WIL479" s="2204"/>
      <c r="WIM479" s="2204">
        <f t="shared" si="276"/>
        <v>0</v>
      </c>
      <c r="WIN479" s="2204">
        <f>[16]BV!WIY395</f>
        <v>0</v>
      </c>
      <c r="WIO479" s="2204"/>
      <c r="WIP479" s="2204"/>
      <c r="WIQ479" s="2204">
        <f t="shared" si="276"/>
        <v>0</v>
      </c>
      <c r="WIR479" s="2204">
        <f>[16]BV!WJC395</f>
        <v>0</v>
      </c>
      <c r="WIS479" s="2204"/>
      <c r="WIT479" s="2204"/>
      <c r="WIU479" s="2204">
        <f t="shared" si="276"/>
        <v>0</v>
      </c>
      <c r="WIV479" s="2204">
        <f>[16]BV!WJG395</f>
        <v>0</v>
      </c>
      <c r="WIW479" s="2204"/>
      <c r="WIX479" s="2204"/>
      <c r="WIY479" s="2204">
        <f t="shared" si="276"/>
        <v>0</v>
      </c>
      <c r="WIZ479" s="2204">
        <f>[16]BV!WJK395</f>
        <v>0</v>
      </c>
      <c r="WJA479" s="2204"/>
      <c r="WJB479" s="2204"/>
      <c r="WJC479" s="2204">
        <f t="shared" ref="WJC479:WLK479" si="277">WIZ479</f>
        <v>0</v>
      </c>
      <c r="WJD479" s="2204">
        <f>[16]BV!WJO395</f>
        <v>0</v>
      </c>
      <c r="WJE479" s="2204"/>
      <c r="WJF479" s="2204"/>
      <c r="WJG479" s="2204">
        <f t="shared" si="277"/>
        <v>0</v>
      </c>
      <c r="WJH479" s="2204">
        <f>[16]BV!WJS395</f>
        <v>0</v>
      </c>
      <c r="WJI479" s="2204"/>
      <c r="WJJ479" s="2204"/>
      <c r="WJK479" s="2204">
        <f t="shared" si="277"/>
        <v>0</v>
      </c>
      <c r="WJL479" s="2204">
        <f>[16]BV!WJW395</f>
        <v>0</v>
      </c>
      <c r="WJM479" s="2204"/>
      <c r="WJN479" s="2204"/>
      <c r="WJO479" s="2204">
        <f t="shared" si="277"/>
        <v>0</v>
      </c>
      <c r="WJP479" s="2204">
        <f>[16]BV!WKA395</f>
        <v>0</v>
      </c>
      <c r="WJQ479" s="2204"/>
      <c r="WJR479" s="2204"/>
      <c r="WJS479" s="2204">
        <f t="shared" si="277"/>
        <v>0</v>
      </c>
      <c r="WJT479" s="2204">
        <f>[16]BV!WKE395</f>
        <v>0</v>
      </c>
      <c r="WJU479" s="2204"/>
      <c r="WJV479" s="2204"/>
      <c r="WJW479" s="2204">
        <f t="shared" si="277"/>
        <v>0</v>
      </c>
      <c r="WJX479" s="2204">
        <f>[16]BV!WKI395</f>
        <v>0</v>
      </c>
      <c r="WJY479" s="2204"/>
      <c r="WJZ479" s="2204"/>
      <c r="WKA479" s="2204">
        <f t="shared" si="277"/>
        <v>0</v>
      </c>
      <c r="WKB479" s="2204">
        <f>[16]BV!WKM395</f>
        <v>0</v>
      </c>
      <c r="WKC479" s="2204"/>
      <c r="WKD479" s="2204"/>
      <c r="WKE479" s="2204">
        <f t="shared" si="277"/>
        <v>0</v>
      </c>
      <c r="WKF479" s="2204">
        <f>[16]BV!WKQ395</f>
        <v>0</v>
      </c>
      <c r="WKG479" s="2204"/>
      <c r="WKH479" s="2204"/>
      <c r="WKI479" s="2204">
        <f t="shared" si="277"/>
        <v>0</v>
      </c>
      <c r="WKJ479" s="2204">
        <f>[16]BV!WKU395</f>
        <v>0</v>
      </c>
      <c r="WKK479" s="2204"/>
      <c r="WKL479" s="2204"/>
      <c r="WKM479" s="2204">
        <f t="shared" si="277"/>
        <v>0</v>
      </c>
      <c r="WKN479" s="2204">
        <f>[16]BV!WKY395</f>
        <v>0</v>
      </c>
      <c r="WKO479" s="2204"/>
      <c r="WKP479" s="2204"/>
      <c r="WKQ479" s="2204">
        <f t="shared" si="277"/>
        <v>0</v>
      </c>
      <c r="WKR479" s="2204">
        <f>[16]BV!WLC395</f>
        <v>0</v>
      </c>
      <c r="WKS479" s="2204"/>
      <c r="WKT479" s="2204"/>
      <c r="WKU479" s="2204">
        <f t="shared" si="277"/>
        <v>0</v>
      </c>
      <c r="WKV479" s="2204">
        <f>[16]BV!WLG395</f>
        <v>0</v>
      </c>
      <c r="WKW479" s="2204"/>
      <c r="WKX479" s="2204"/>
      <c r="WKY479" s="2204">
        <f t="shared" si="277"/>
        <v>0</v>
      </c>
      <c r="WKZ479" s="2204">
        <f>[16]BV!WLK395</f>
        <v>0</v>
      </c>
      <c r="WLA479" s="2204"/>
      <c r="WLB479" s="2204"/>
      <c r="WLC479" s="2204">
        <f t="shared" si="277"/>
        <v>0</v>
      </c>
      <c r="WLD479" s="2204">
        <f>[16]BV!WLO395</f>
        <v>0</v>
      </c>
      <c r="WLE479" s="2204"/>
      <c r="WLF479" s="2204"/>
      <c r="WLG479" s="2204">
        <f t="shared" si="277"/>
        <v>0</v>
      </c>
      <c r="WLH479" s="2204">
        <f>[16]BV!WLS395</f>
        <v>0</v>
      </c>
      <c r="WLI479" s="2204"/>
      <c r="WLJ479" s="2204"/>
      <c r="WLK479" s="2204">
        <f t="shared" si="277"/>
        <v>0</v>
      </c>
      <c r="WLL479" s="2204">
        <f>[16]BV!WLW395</f>
        <v>0</v>
      </c>
      <c r="WLM479" s="2204"/>
      <c r="WLN479" s="2204"/>
      <c r="WLO479" s="2204">
        <f t="shared" ref="WLO479:WNW479" si="278">WLL479</f>
        <v>0</v>
      </c>
      <c r="WLP479" s="2204">
        <f>[16]BV!WMA395</f>
        <v>0</v>
      </c>
      <c r="WLQ479" s="2204"/>
      <c r="WLR479" s="2204"/>
      <c r="WLS479" s="2204">
        <f t="shared" si="278"/>
        <v>0</v>
      </c>
      <c r="WLT479" s="2204">
        <f>[16]BV!WME395</f>
        <v>0</v>
      </c>
      <c r="WLU479" s="2204"/>
      <c r="WLV479" s="2204"/>
      <c r="WLW479" s="2204">
        <f t="shared" si="278"/>
        <v>0</v>
      </c>
      <c r="WLX479" s="2204">
        <f>[16]BV!WMI395</f>
        <v>0</v>
      </c>
      <c r="WLY479" s="2204"/>
      <c r="WLZ479" s="2204"/>
      <c r="WMA479" s="2204">
        <f t="shared" si="278"/>
        <v>0</v>
      </c>
      <c r="WMB479" s="2204">
        <f>[16]BV!WMM395</f>
        <v>0</v>
      </c>
      <c r="WMC479" s="2204"/>
      <c r="WMD479" s="2204"/>
      <c r="WME479" s="2204">
        <f t="shared" si="278"/>
        <v>0</v>
      </c>
      <c r="WMF479" s="2204">
        <f>[16]BV!WMQ395</f>
        <v>0</v>
      </c>
      <c r="WMG479" s="2204"/>
      <c r="WMH479" s="2204"/>
      <c r="WMI479" s="2204">
        <f t="shared" si="278"/>
        <v>0</v>
      </c>
      <c r="WMJ479" s="2204">
        <f>[16]BV!WMU395</f>
        <v>0</v>
      </c>
      <c r="WMK479" s="2204"/>
      <c r="WML479" s="2204"/>
      <c r="WMM479" s="2204">
        <f t="shared" si="278"/>
        <v>0</v>
      </c>
      <c r="WMN479" s="2204">
        <f>[16]BV!WMY395</f>
        <v>0</v>
      </c>
      <c r="WMO479" s="2204"/>
      <c r="WMP479" s="2204"/>
      <c r="WMQ479" s="2204">
        <f t="shared" si="278"/>
        <v>0</v>
      </c>
      <c r="WMR479" s="2204">
        <f>[16]BV!WNC395</f>
        <v>0</v>
      </c>
      <c r="WMS479" s="2204"/>
      <c r="WMT479" s="2204"/>
      <c r="WMU479" s="2204">
        <f t="shared" si="278"/>
        <v>0</v>
      </c>
      <c r="WMV479" s="2204">
        <f>[16]BV!WNG395</f>
        <v>0</v>
      </c>
      <c r="WMW479" s="2204"/>
      <c r="WMX479" s="2204"/>
      <c r="WMY479" s="2204">
        <f t="shared" si="278"/>
        <v>0</v>
      </c>
      <c r="WMZ479" s="2204">
        <f>[16]BV!WNK395</f>
        <v>0</v>
      </c>
      <c r="WNA479" s="2204"/>
      <c r="WNB479" s="2204"/>
      <c r="WNC479" s="2204">
        <f t="shared" si="278"/>
        <v>0</v>
      </c>
      <c r="WND479" s="2204">
        <f>[16]BV!WNO395</f>
        <v>0</v>
      </c>
      <c r="WNE479" s="2204"/>
      <c r="WNF479" s="2204"/>
      <c r="WNG479" s="2204">
        <f t="shared" si="278"/>
        <v>0</v>
      </c>
      <c r="WNH479" s="2204">
        <f>[16]BV!WNS395</f>
        <v>0</v>
      </c>
      <c r="WNI479" s="2204"/>
      <c r="WNJ479" s="2204"/>
      <c r="WNK479" s="2204">
        <f t="shared" si="278"/>
        <v>0</v>
      </c>
      <c r="WNL479" s="2204">
        <f>[16]BV!WNW395</f>
        <v>0</v>
      </c>
      <c r="WNM479" s="2204"/>
      <c r="WNN479" s="2204"/>
      <c r="WNO479" s="2204">
        <f t="shared" si="278"/>
        <v>0</v>
      </c>
      <c r="WNP479" s="2204">
        <f>[16]BV!WOA395</f>
        <v>0</v>
      </c>
      <c r="WNQ479" s="2204"/>
      <c r="WNR479" s="2204"/>
      <c r="WNS479" s="2204">
        <f t="shared" si="278"/>
        <v>0</v>
      </c>
      <c r="WNT479" s="2204">
        <f>[16]BV!WOE395</f>
        <v>0</v>
      </c>
      <c r="WNU479" s="2204"/>
      <c r="WNV479" s="2204"/>
      <c r="WNW479" s="2204">
        <f t="shared" si="278"/>
        <v>0</v>
      </c>
      <c r="WNX479" s="2204">
        <f>[16]BV!WOI395</f>
        <v>0</v>
      </c>
      <c r="WNY479" s="2204"/>
      <c r="WNZ479" s="2204"/>
      <c r="WOA479" s="2204">
        <f t="shared" ref="WOA479:WQI479" si="279">WNX479</f>
        <v>0</v>
      </c>
      <c r="WOB479" s="2204">
        <f>[16]BV!WOM395</f>
        <v>0</v>
      </c>
      <c r="WOC479" s="2204"/>
      <c r="WOD479" s="2204"/>
      <c r="WOE479" s="2204">
        <f t="shared" si="279"/>
        <v>0</v>
      </c>
      <c r="WOF479" s="2204">
        <f>[16]BV!WOQ395</f>
        <v>0</v>
      </c>
      <c r="WOG479" s="2204"/>
      <c r="WOH479" s="2204"/>
      <c r="WOI479" s="2204">
        <f t="shared" si="279"/>
        <v>0</v>
      </c>
      <c r="WOJ479" s="2204">
        <f>[16]BV!WOU395</f>
        <v>0</v>
      </c>
      <c r="WOK479" s="2204"/>
      <c r="WOL479" s="2204"/>
      <c r="WOM479" s="2204">
        <f t="shared" si="279"/>
        <v>0</v>
      </c>
      <c r="WON479" s="2204">
        <f>[16]BV!WOY395</f>
        <v>0</v>
      </c>
      <c r="WOO479" s="2204"/>
      <c r="WOP479" s="2204"/>
      <c r="WOQ479" s="2204">
        <f t="shared" si="279"/>
        <v>0</v>
      </c>
      <c r="WOR479" s="2204">
        <f>[16]BV!WPC395</f>
        <v>0</v>
      </c>
      <c r="WOS479" s="2204"/>
      <c r="WOT479" s="2204"/>
      <c r="WOU479" s="2204">
        <f t="shared" si="279"/>
        <v>0</v>
      </c>
      <c r="WOV479" s="2204">
        <f>[16]BV!WPG395</f>
        <v>0</v>
      </c>
      <c r="WOW479" s="2204"/>
      <c r="WOX479" s="2204"/>
      <c r="WOY479" s="2204">
        <f t="shared" si="279"/>
        <v>0</v>
      </c>
      <c r="WOZ479" s="2204">
        <f>[16]BV!WPK395</f>
        <v>0</v>
      </c>
      <c r="WPA479" s="2204"/>
      <c r="WPB479" s="2204"/>
      <c r="WPC479" s="2204">
        <f t="shared" si="279"/>
        <v>0</v>
      </c>
      <c r="WPD479" s="2204">
        <f>[16]BV!WPO395</f>
        <v>0</v>
      </c>
      <c r="WPE479" s="2204"/>
      <c r="WPF479" s="2204"/>
      <c r="WPG479" s="2204">
        <f t="shared" si="279"/>
        <v>0</v>
      </c>
      <c r="WPH479" s="2204">
        <f>[16]BV!WPS395</f>
        <v>0</v>
      </c>
      <c r="WPI479" s="2204"/>
      <c r="WPJ479" s="2204"/>
      <c r="WPK479" s="2204">
        <f t="shared" si="279"/>
        <v>0</v>
      </c>
      <c r="WPL479" s="2204">
        <f>[16]BV!WPW395</f>
        <v>0</v>
      </c>
      <c r="WPM479" s="2204"/>
      <c r="WPN479" s="2204"/>
      <c r="WPO479" s="2204">
        <f t="shared" si="279"/>
        <v>0</v>
      </c>
      <c r="WPP479" s="2204">
        <f>[16]BV!WQA395</f>
        <v>0</v>
      </c>
      <c r="WPQ479" s="2204"/>
      <c r="WPR479" s="2204"/>
      <c r="WPS479" s="2204">
        <f t="shared" si="279"/>
        <v>0</v>
      </c>
      <c r="WPT479" s="2204">
        <f>[16]BV!WQE395</f>
        <v>0</v>
      </c>
      <c r="WPU479" s="2204"/>
      <c r="WPV479" s="2204"/>
      <c r="WPW479" s="2204">
        <f t="shared" si="279"/>
        <v>0</v>
      </c>
      <c r="WPX479" s="2204">
        <f>[16]BV!WQI395</f>
        <v>0</v>
      </c>
      <c r="WPY479" s="2204"/>
      <c r="WPZ479" s="2204"/>
      <c r="WQA479" s="2204">
        <f t="shared" si="279"/>
        <v>0</v>
      </c>
      <c r="WQB479" s="2204">
        <f>[16]BV!WQM395</f>
        <v>0</v>
      </c>
      <c r="WQC479" s="2204"/>
      <c r="WQD479" s="2204"/>
      <c r="WQE479" s="2204">
        <f t="shared" si="279"/>
        <v>0</v>
      </c>
      <c r="WQF479" s="2204">
        <f>[16]BV!WQQ395</f>
        <v>0</v>
      </c>
      <c r="WQG479" s="2204"/>
      <c r="WQH479" s="2204"/>
      <c r="WQI479" s="2204">
        <f t="shared" si="279"/>
        <v>0</v>
      </c>
      <c r="WQJ479" s="2204">
        <f>[16]BV!WQU395</f>
        <v>0</v>
      </c>
      <c r="WQK479" s="2204"/>
      <c r="WQL479" s="2204"/>
      <c r="WQM479" s="2204">
        <f t="shared" ref="WQM479:WSU479" si="280">WQJ479</f>
        <v>0</v>
      </c>
      <c r="WQN479" s="2204">
        <f>[16]BV!WQY395</f>
        <v>0</v>
      </c>
      <c r="WQO479" s="2204"/>
      <c r="WQP479" s="2204"/>
      <c r="WQQ479" s="2204">
        <f t="shared" si="280"/>
        <v>0</v>
      </c>
      <c r="WQR479" s="2204">
        <f>[16]BV!WRC395</f>
        <v>0</v>
      </c>
      <c r="WQS479" s="2204"/>
      <c r="WQT479" s="2204"/>
      <c r="WQU479" s="2204">
        <f t="shared" si="280"/>
        <v>0</v>
      </c>
      <c r="WQV479" s="2204">
        <f>[16]BV!WRG395</f>
        <v>0</v>
      </c>
      <c r="WQW479" s="2204"/>
      <c r="WQX479" s="2204"/>
      <c r="WQY479" s="2204">
        <f t="shared" si="280"/>
        <v>0</v>
      </c>
      <c r="WQZ479" s="2204">
        <f>[16]BV!WRK395</f>
        <v>0</v>
      </c>
      <c r="WRA479" s="2204"/>
      <c r="WRB479" s="2204"/>
      <c r="WRC479" s="2204">
        <f t="shared" si="280"/>
        <v>0</v>
      </c>
      <c r="WRD479" s="2204">
        <f>[16]BV!WRO395</f>
        <v>0</v>
      </c>
      <c r="WRE479" s="2204"/>
      <c r="WRF479" s="2204"/>
      <c r="WRG479" s="2204">
        <f t="shared" si="280"/>
        <v>0</v>
      </c>
      <c r="WRH479" s="2204">
        <f>[16]BV!WRS395</f>
        <v>0</v>
      </c>
      <c r="WRI479" s="2204"/>
      <c r="WRJ479" s="2204"/>
      <c r="WRK479" s="2204">
        <f t="shared" si="280"/>
        <v>0</v>
      </c>
      <c r="WRL479" s="2204">
        <f>[16]BV!WRW395</f>
        <v>0</v>
      </c>
      <c r="WRM479" s="2204"/>
      <c r="WRN479" s="2204"/>
      <c r="WRO479" s="2204">
        <f t="shared" si="280"/>
        <v>0</v>
      </c>
      <c r="WRP479" s="2204">
        <f>[16]BV!WSA395</f>
        <v>0</v>
      </c>
      <c r="WRQ479" s="2204"/>
      <c r="WRR479" s="2204"/>
      <c r="WRS479" s="2204">
        <f t="shared" si="280"/>
        <v>0</v>
      </c>
      <c r="WRT479" s="2204">
        <f>[16]BV!WSE395</f>
        <v>0</v>
      </c>
      <c r="WRU479" s="2204"/>
      <c r="WRV479" s="2204"/>
      <c r="WRW479" s="2204">
        <f t="shared" si="280"/>
        <v>0</v>
      </c>
      <c r="WRX479" s="2204">
        <f>[16]BV!WSI395</f>
        <v>0</v>
      </c>
      <c r="WRY479" s="2204"/>
      <c r="WRZ479" s="2204"/>
      <c r="WSA479" s="2204">
        <f t="shared" si="280"/>
        <v>0</v>
      </c>
      <c r="WSB479" s="2204">
        <f>[16]BV!WSM395</f>
        <v>0</v>
      </c>
      <c r="WSC479" s="2204"/>
      <c r="WSD479" s="2204"/>
      <c r="WSE479" s="2204">
        <f t="shared" si="280"/>
        <v>0</v>
      </c>
      <c r="WSF479" s="2204">
        <f>[16]BV!WSQ395</f>
        <v>0</v>
      </c>
      <c r="WSG479" s="2204"/>
      <c r="WSH479" s="2204"/>
      <c r="WSI479" s="2204">
        <f t="shared" si="280"/>
        <v>0</v>
      </c>
      <c r="WSJ479" s="2204">
        <f>[16]BV!WSU395</f>
        <v>0</v>
      </c>
      <c r="WSK479" s="2204"/>
      <c r="WSL479" s="2204"/>
      <c r="WSM479" s="2204">
        <f t="shared" si="280"/>
        <v>0</v>
      </c>
      <c r="WSN479" s="2204">
        <f>[16]BV!WSY395</f>
        <v>0</v>
      </c>
      <c r="WSO479" s="2204"/>
      <c r="WSP479" s="2204"/>
      <c r="WSQ479" s="2204">
        <f t="shared" si="280"/>
        <v>0</v>
      </c>
      <c r="WSR479" s="2204">
        <f>[16]BV!WTC395</f>
        <v>0</v>
      </c>
      <c r="WSS479" s="2204"/>
      <c r="WST479" s="2204"/>
      <c r="WSU479" s="2204">
        <f t="shared" si="280"/>
        <v>0</v>
      </c>
      <c r="WSV479" s="2204">
        <f>[16]BV!WTG395</f>
        <v>0</v>
      </c>
      <c r="WSW479" s="2204"/>
      <c r="WSX479" s="2204"/>
      <c r="WSY479" s="2204">
        <f t="shared" ref="WSY479:WVG479" si="281">WSV479</f>
        <v>0</v>
      </c>
      <c r="WSZ479" s="2204">
        <f>[16]BV!WTK395</f>
        <v>0</v>
      </c>
      <c r="WTA479" s="2204"/>
      <c r="WTB479" s="2204"/>
      <c r="WTC479" s="2204">
        <f t="shared" si="281"/>
        <v>0</v>
      </c>
      <c r="WTD479" s="2204">
        <f>[16]BV!WTO395</f>
        <v>0</v>
      </c>
      <c r="WTE479" s="2204"/>
      <c r="WTF479" s="2204"/>
      <c r="WTG479" s="2204">
        <f t="shared" si="281"/>
        <v>0</v>
      </c>
      <c r="WTH479" s="2204">
        <f>[16]BV!WTS395</f>
        <v>0</v>
      </c>
      <c r="WTI479" s="2204"/>
      <c r="WTJ479" s="2204"/>
      <c r="WTK479" s="2204">
        <f t="shared" si="281"/>
        <v>0</v>
      </c>
      <c r="WTL479" s="2204">
        <f>[16]BV!WTW395</f>
        <v>0</v>
      </c>
      <c r="WTM479" s="2204"/>
      <c r="WTN479" s="2204"/>
      <c r="WTO479" s="2204">
        <f t="shared" si="281"/>
        <v>0</v>
      </c>
      <c r="WTP479" s="2204">
        <f>[16]BV!WUA395</f>
        <v>0</v>
      </c>
      <c r="WTQ479" s="2204"/>
      <c r="WTR479" s="2204"/>
      <c r="WTS479" s="2204">
        <f t="shared" si="281"/>
        <v>0</v>
      </c>
      <c r="WTT479" s="2204">
        <f>[16]BV!WUE395</f>
        <v>0</v>
      </c>
      <c r="WTU479" s="2204"/>
      <c r="WTV479" s="2204"/>
      <c r="WTW479" s="2204">
        <f t="shared" si="281"/>
        <v>0</v>
      </c>
      <c r="WTX479" s="2204">
        <f>[16]BV!WUI395</f>
        <v>0</v>
      </c>
      <c r="WTY479" s="2204"/>
      <c r="WTZ479" s="2204"/>
      <c r="WUA479" s="2204">
        <f t="shared" si="281"/>
        <v>0</v>
      </c>
      <c r="WUB479" s="2204">
        <f>[16]BV!WUM395</f>
        <v>0</v>
      </c>
      <c r="WUC479" s="2204"/>
      <c r="WUD479" s="2204"/>
      <c r="WUE479" s="2204">
        <f t="shared" si="281"/>
        <v>0</v>
      </c>
      <c r="WUF479" s="2204">
        <f>[16]BV!WUQ395</f>
        <v>0</v>
      </c>
      <c r="WUG479" s="2204"/>
      <c r="WUH479" s="2204"/>
      <c r="WUI479" s="2204">
        <f t="shared" si="281"/>
        <v>0</v>
      </c>
      <c r="WUJ479" s="2204">
        <f>[16]BV!WUU395</f>
        <v>0</v>
      </c>
      <c r="WUK479" s="2204"/>
      <c r="WUL479" s="2204"/>
      <c r="WUM479" s="2204">
        <f t="shared" si="281"/>
        <v>0</v>
      </c>
      <c r="WUN479" s="2204">
        <f>[16]BV!WUY395</f>
        <v>0</v>
      </c>
      <c r="WUO479" s="2204"/>
      <c r="WUP479" s="2204"/>
      <c r="WUQ479" s="2204">
        <f t="shared" si="281"/>
        <v>0</v>
      </c>
      <c r="WUR479" s="2204">
        <f>[16]BV!WVC395</f>
        <v>0</v>
      </c>
      <c r="WUS479" s="2204"/>
      <c r="WUT479" s="2204"/>
      <c r="WUU479" s="2204">
        <f t="shared" si="281"/>
        <v>0</v>
      </c>
      <c r="WUV479" s="2204">
        <f>[16]BV!WVG395</f>
        <v>0</v>
      </c>
      <c r="WUW479" s="2204"/>
      <c r="WUX479" s="2204"/>
      <c r="WUY479" s="2204">
        <f t="shared" si="281"/>
        <v>0</v>
      </c>
      <c r="WUZ479" s="2204">
        <f>[16]BV!WVK395</f>
        <v>0</v>
      </c>
      <c r="WVA479" s="2204"/>
      <c r="WVB479" s="2204"/>
      <c r="WVC479" s="2204">
        <f t="shared" si="281"/>
        <v>0</v>
      </c>
      <c r="WVD479" s="2204">
        <f>[16]BV!WVO395</f>
        <v>0</v>
      </c>
      <c r="WVE479" s="2204"/>
      <c r="WVF479" s="2204"/>
      <c r="WVG479" s="2204">
        <f t="shared" si="281"/>
        <v>0</v>
      </c>
      <c r="WVH479" s="2204">
        <f>[16]BV!WVS395</f>
        <v>0</v>
      </c>
      <c r="WVI479" s="2204"/>
      <c r="WVJ479" s="2204"/>
      <c r="WVK479" s="2204">
        <f t="shared" ref="WVK479:WXS479" si="282">WVH479</f>
        <v>0</v>
      </c>
      <c r="WVL479" s="2204">
        <f>[16]BV!WVW395</f>
        <v>0</v>
      </c>
      <c r="WVM479" s="2204"/>
      <c r="WVN479" s="2204"/>
      <c r="WVO479" s="2204">
        <f t="shared" si="282"/>
        <v>0</v>
      </c>
      <c r="WVP479" s="2204">
        <f>[16]BV!WWA395</f>
        <v>0</v>
      </c>
      <c r="WVQ479" s="2204"/>
      <c r="WVR479" s="2204"/>
      <c r="WVS479" s="2204">
        <f t="shared" si="282"/>
        <v>0</v>
      </c>
      <c r="WVT479" s="2204">
        <f>[16]BV!WWE395</f>
        <v>0</v>
      </c>
      <c r="WVU479" s="2204"/>
      <c r="WVV479" s="2204"/>
      <c r="WVW479" s="2204">
        <f t="shared" si="282"/>
        <v>0</v>
      </c>
      <c r="WVX479" s="2204">
        <f>[16]BV!WWI395</f>
        <v>0</v>
      </c>
      <c r="WVY479" s="2204"/>
      <c r="WVZ479" s="2204"/>
      <c r="WWA479" s="2204">
        <f t="shared" si="282"/>
        <v>0</v>
      </c>
      <c r="WWB479" s="2204">
        <f>[16]BV!WWM395</f>
        <v>0</v>
      </c>
      <c r="WWC479" s="2204"/>
      <c r="WWD479" s="2204"/>
      <c r="WWE479" s="2204">
        <f t="shared" si="282"/>
        <v>0</v>
      </c>
      <c r="WWF479" s="2204">
        <f>[16]BV!WWQ395</f>
        <v>0</v>
      </c>
      <c r="WWG479" s="2204"/>
      <c r="WWH479" s="2204"/>
      <c r="WWI479" s="2204">
        <f t="shared" si="282"/>
        <v>0</v>
      </c>
      <c r="WWJ479" s="2204">
        <f>[16]BV!WWU395</f>
        <v>0</v>
      </c>
      <c r="WWK479" s="2204"/>
      <c r="WWL479" s="2204"/>
      <c r="WWM479" s="2204">
        <f t="shared" si="282"/>
        <v>0</v>
      </c>
      <c r="WWN479" s="2204">
        <f>[16]BV!WWY395</f>
        <v>0</v>
      </c>
      <c r="WWO479" s="2204"/>
      <c r="WWP479" s="2204"/>
      <c r="WWQ479" s="2204">
        <f t="shared" si="282"/>
        <v>0</v>
      </c>
      <c r="WWR479" s="2204">
        <f>[16]BV!WXC395</f>
        <v>0</v>
      </c>
      <c r="WWS479" s="2204"/>
      <c r="WWT479" s="2204"/>
      <c r="WWU479" s="2204">
        <f t="shared" si="282"/>
        <v>0</v>
      </c>
      <c r="WWV479" s="2204">
        <f>[16]BV!WXG395</f>
        <v>0</v>
      </c>
      <c r="WWW479" s="2204"/>
      <c r="WWX479" s="2204"/>
      <c r="WWY479" s="2204">
        <f t="shared" si="282"/>
        <v>0</v>
      </c>
      <c r="WWZ479" s="2204">
        <f>[16]BV!WXK395</f>
        <v>0</v>
      </c>
      <c r="WXA479" s="2204"/>
      <c r="WXB479" s="2204"/>
      <c r="WXC479" s="2204">
        <f t="shared" si="282"/>
        <v>0</v>
      </c>
      <c r="WXD479" s="2204">
        <f>[16]BV!WXO395</f>
        <v>0</v>
      </c>
      <c r="WXE479" s="2204"/>
      <c r="WXF479" s="2204"/>
      <c r="WXG479" s="2204">
        <f t="shared" si="282"/>
        <v>0</v>
      </c>
      <c r="WXH479" s="2204">
        <f>[16]BV!WXS395</f>
        <v>0</v>
      </c>
      <c r="WXI479" s="2204"/>
      <c r="WXJ479" s="2204"/>
      <c r="WXK479" s="2204">
        <f t="shared" si="282"/>
        <v>0</v>
      </c>
      <c r="WXL479" s="2204">
        <f>[16]BV!WXW395</f>
        <v>0</v>
      </c>
      <c r="WXM479" s="2204"/>
      <c r="WXN479" s="2204"/>
      <c r="WXO479" s="2204">
        <f t="shared" si="282"/>
        <v>0</v>
      </c>
      <c r="WXP479" s="2204">
        <f>[16]BV!WYA395</f>
        <v>0</v>
      </c>
      <c r="WXQ479" s="2204"/>
      <c r="WXR479" s="2204"/>
      <c r="WXS479" s="2204">
        <f t="shared" si="282"/>
        <v>0</v>
      </c>
      <c r="WXT479" s="2204">
        <f>[16]BV!WYE395</f>
        <v>0</v>
      </c>
      <c r="WXU479" s="2204"/>
      <c r="WXV479" s="2204"/>
      <c r="WXW479" s="2204">
        <f t="shared" ref="WXW479:XAE479" si="283">WXT479</f>
        <v>0</v>
      </c>
      <c r="WXX479" s="2204">
        <f>[16]BV!WYI395</f>
        <v>0</v>
      </c>
      <c r="WXY479" s="2204"/>
      <c r="WXZ479" s="2204"/>
      <c r="WYA479" s="2204">
        <f t="shared" si="283"/>
        <v>0</v>
      </c>
      <c r="WYB479" s="2204">
        <f>[16]BV!WYM395</f>
        <v>0</v>
      </c>
      <c r="WYC479" s="2204"/>
      <c r="WYD479" s="2204"/>
      <c r="WYE479" s="2204">
        <f t="shared" si="283"/>
        <v>0</v>
      </c>
      <c r="WYF479" s="2204">
        <f>[16]BV!WYQ395</f>
        <v>0</v>
      </c>
      <c r="WYG479" s="2204"/>
      <c r="WYH479" s="2204"/>
      <c r="WYI479" s="2204">
        <f t="shared" si="283"/>
        <v>0</v>
      </c>
      <c r="WYJ479" s="2204">
        <f>[16]BV!WYU395</f>
        <v>0</v>
      </c>
      <c r="WYK479" s="2204"/>
      <c r="WYL479" s="2204"/>
      <c r="WYM479" s="2204">
        <f t="shared" si="283"/>
        <v>0</v>
      </c>
      <c r="WYN479" s="2204">
        <f>[16]BV!WYY395</f>
        <v>0</v>
      </c>
      <c r="WYO479" s="2204"/>
      <c r="WYP479" s="2204"/>
      <c r="WYQ479" s="2204">
        <f t="shared" si="283"/>
        <v>0</v>
      </c>
      <c r="WYR479" s="2204">
        <f>[16]BV!WZC395</f>
        <v>0</v>
      </c>
      <c r="WYS479" s="2204"/>
      <c r="WYT479" s="2204"/>
      <c r="WYU479" s="2204">
        <f t="shared" si="283"/>
        <v>0</v>
      </c>
      <c r="WYV479" s="2204">
        <f>[16]BV!WZG395</f>
        <v>0</v>
      </c>
      <c r="WYW479" s="2204"/>
      <c r="WYX479" s="2204"/>
      <c r="WYY479" s="2204">
        <f t="shared" si="283"/>
        <v>0</v>
      </c>
      <c r="WYZ479" s="2204">
        <f>[16]BV!WZK395</f>
        <v>0</v>
      </c>
      <c r="WZA479" s="2204"/>
      <c r="WZB479" s="2204"/>
      <c r="WZC479" s="2204">
        <f t="shared" si="283"/>
        <v>0</v>
      </c>
      <c r="WZD479" s="2204">
        <f>[16]BV!WZO395</f>
        <v>0</v>
      </c>
      <c r="WZE479" s="2204"/>
      <c r="WZF479" s="2204"/>
      <c r="WZG479" s="2204">
        <f t="shared" si="283"/>
        <v>0</v>
      </c>
      <c r="WZH479" s="2204">
        <f>[16]BV!WZS395</f>
        <v>0</v>
      </c>
      <c r="WZI479" s="2204"/>
      <c r="WZJ479" s="2204"/>
      <c r="WZK479" s="2204">
        <f t="shared" si="283"/>
        <v>0</v>
      </c>
      <c r="WZL479" s="2204">
        <f>[16]BV!WZW395</f>
        <v>0</v>
      </c>
      <c r="WZM479" s="2204"/>
      <c r="WZN479" s="2204"/>
      <c r="WZO479" s="2204">
        <f t="shared" si="283"/>
        <v>0</v>
      </c>
      <c r="WZP479" s="2204">
        <f>[16]BV!XAA395</f>
        <v>0</v>
      </c>
      <c r="WZQ479" s="2204"/>
      <c r="WZR479" s="2204"/>
      <c r="WZS479" s="2204">
        <f t="shared" si="283"/>
        <v>0</v>
      </c>
      <c r="WZT479" s="2204">
        <f>[16]BV!XAE395</f>
        <v>0</v>
      </c>
      <c r="WZU479" s="2204"/>
      <c r="WZV479" s="2204"/>
      <c r="WZW479" s="2204">
        <f t="shared" si="283"/>
        <v>0</v>
      </c>
      <c r="WZX479" s="2204">
        <f>[16]BV!XAI395</f>
        <v>0</v>
      </c>
      <c r="WZY479" s="2204"/>
      <c r="WZZ479" s="2204"/>
      <c r="XAA479" s="2204">
        <f t="shared" si="283"/>
        <v>0</v>
      </c>
      <c r="XAB479" s="2204">
        <f>[16]BV!XAM395</f>
        <v>0</v>
      </c>
      <c r="XAC479" s="2204"/>
      <c r="XAD479" s="2204"/>
      <c r="XAE479" s="2204">
        <f t="shared" si="283"/>
        <v>0</v>
      </c>
      <c r="XAF479" s="2204">
        <f>[16]BV!XAQ395</f>
        <v>0</v>
      </c>
      <c r="XAG479" s="2204"/>
      <c r="XAH479" s="2204"/>
      <c r="XAI479" s="2204">
        <f t="shared" ref="XAI479:XCQ479" si="284">XAF479</f>
        <v>0</v>
      </c>
      <c r="XAJ479" s="2204">
        <f>[16]BV!XAU395</f>
        <v>0</v>
      </c>
      <c r="XAK479" s="2204"/>
      <c r="XAL479" s="2204"/>
      <c r="XAM479" s="2204">
        <f t="shared" si="284"/>
        <v>0</v>
      </c>
      <c r="XAN479" s="2204">
        <f>[16]BV!XAY395</f>
        <v>0</v>
      </c>
      <c r="XAO479" s="2204"/>
      <c r="XAP479" s="2204"/>
      <c r="XAQ479" s="2204">
        <f t="shared" si="284"/>
        <v>0</v>
      </c>
      <c r="XAR479" s="2204">
        <f>[16]BV!XBC395</f>
        <v>0</v>
      </c>
      <c r="XAS479" s="2204"/>
      <c r="XAT479" s="2204"/>
      <c r="XAU479" s="2204">
        <f t="shared" si="284"/>
        <v>0</v>
      </c>
      <c r="XAV479" s="2204">
        <f>[16]BV!XBG395</f>
        <v>0</v>
      </c>
      <c r="XAW479" s="2204"/>
      <c r="XAX479" s="2204"/>
      <c r="XAY479" s="2204">
        <f t="shared" si="284"/>
        <v>0</v>
      </c>
      <c r="XAZ479" s="2204">
        <f>[16]BV!XBK395</f>
        <v>0</v>
      </c>
      <c r="XBA479" s="2204"/>
      <c r="XBB479" s="2204"/>
      <c r="XBC479" s="2204">
        <f t="shared" si="284"/>
        <v>0</v>
      </c>
      <c r="XBD479" s="2204">
        <f>[16]BV!XBO395</f>
        <v>0</v>
      </c>
      <c r="XBE479" s="2204"/>
      <c r="XBF479" s="2204"/>
      <c r="XBG479" s="2204">
        <f t="shared" si="284"/>
        <v>0</v>
      </c>
      <c r="XBH479" s="2204">
        <f>[16]BV!XBS395</f>
        <v>0</v>
      </c>
      <c r="XBI479" s="2204"/>
      <c r="XBJ479" s="2204"/>
      <c r="XBK479" s="2204">
        <f t="shared" si="284"/>
        <v>0</v>
      </c>
      <c r="XBL479" s="2204">
        <f>[16]BV!XBW395</f>
        <v>0</v>
      </c>
      <c r="XBM479" s="2204"/>
      <c r="XBN479" s="2204"/>
      <c r="XBO479" s="2204">
        <f t="shared" si="284"/>
        <v>0</v>
      </c>
      <c r="XBP479" s="2204">
        <f>[16]BV!XCA395</f>
        <v>0</v>
      </c>
      <c r="XBQ479" s="2204"/>
      <c r="XBR479" s="2204"/>
      <c r="XBS479" s="2204">
        <f t="shared" si="284"/>
        <v>0</v>
      </c>
      <c r="XBT479" s="2204">
        <f>[16]BV!XCE395</f>
        <v>0</v>
      </c>
      <c r="XBU479" s="2204"/>
      <c r="XBV479" s="2204"/>
      <c r="XBW479" s="2204">
        <f t="shared" si="284"/>
        <v>0</v>
      </c>
      <c r="XBX479" s="2204">
        <f>[16]BV!XCI395</f>
        <v>0</v>
      </c>
      <c r="XBY479" s="2204"/>
      <c r="XBZ479" s="2204"/>
      <c r="XCA479" s="2204">
        <f t="shared" si="284"/>
        <v>0</v>
      </c>
      <c r="XCB479" s="2204">
        <f>[16]BV!XCM395</f>
        <v>0</v>
      </c>
      <c r="XCC479" s="2204"/>
      <c r="XCD479" s="2204"/>
      <c r="XCE479" s="2204">
        <f t="shared" si="284"/>
        <v>0</v>
      </c>
      <c r="XCF479" s="2204">
        <f>[16]BV!XCQ395</f>
        <v>0</v>
      </c>
      <c r="XCG479" s="2204"/>
      <c r="XCH479" s="2204"/>
      <c r="XCI479" s="2204">
        <f t="shared" si="284"/>
        <v>0</v>
      </c>
      <c r="XCJ479" s="2204">
        <f>[16]BV!XCU395</f>
        <v>0</v>
      </c>
      <c r="XCK479" s="2204"/>
      <c r="XCL479" s="2204"/>
      <c r="XCM479" s="2204">
        <f t="shared" si="284"/>
        <v>0</v>
      </c>
      <c r="XCN479" s="2204">
        <f>[16]BV!XCY395</f>
        <v>0</v>
      </c>
      <c r="XCO479" s="2204"/>
      <c r="XCP479" s="2204"/>
      <c r="XCQ479" s="2204">
        <f t="shared" si="284"/>
        <v>0</v>
      </c>
      <c r="XCR479" s="2204">
        <f>[16]BV!XDC395</f>
        <v>0</v>
      </c>
      <c r="XCS479" s="2204"/>
      <c r="XCT479" s="2204"/>
      <c r="XCU479" s="2204">
        <f t="shared" ref="XCU479:XFC479" si="285">XCR479</f>
        <v>0</v>
      </c>
      <c r="XCV479" s="2204">
        <f>[16]BV!XDG395</f>
        <v>0</v>
      </c>
      <c r="XCW479" s="2204"/>
      <c r="XCX479" s="2204"/>
      <c r="XCY479" s="2204">
        <f t="shared" si="285"/>
        <v>0</v>
      </c>
      <c r="XCZ479" s="2204">
        <f>[16]BV!XDK395</f>
        <v>0</v>
      </c>
      <c r="XDA479" s="2204"/>
      <c r="XDB479" s="2204"/>
      <c r="XDC479" s="2204">
        <f t="shared" si="285"/>
        <v>0</v>
      </c>
      <c r="XDD479" s="2204">
        <f>[16]BV!XDO395</f>
        <v>0</v>
      </c>
      <c r="XDE479" s="2204"/>
      <c r="XDF479" s="2204"/>
      <c r="XDG479" s="2204">
        <f t="shared" si="285"/>
        <v>0</v>
      </c>
      <c r="XDH479" s="2204">
        <f>[16]BV!XDS395</f>
        <v>0</v>
      </c>
      <c r="XDI479" s="2204"/>
      <c r="XDJ479" s="2204"/>
      <c r="XDK479" s="2204">
        <f t="shared" si="285"/>
        <v>0</v>
      </c>
      <c r="XDL479" s="2204">
        <f>[16]BV!XDW395</f>
        <v>0</v>
      </c>
      <c r="XDM479" s="2204"/>
      <c r="XDN479" s="2204"/>
      <c r="XDO479" s="2204">
        <f t="shared" si="285"/>
        <v>0</v>
      </c>
      <c r="XDP479" s="2204">
        <f>[16]BV!XEA395</f>
        <v>0</v>
      </c>
      <c r="XDQ479" s="2204"/>
      <c r="XDR479" s="2204"/>
      <c r="XDS479" s="2204">
        <f t="shared" si="285"/>
        <v>0</v>
      </c>
      <c r="XDT479" s="2204">
        <f>[16]BV!XEE395</f>
        <v>0</v>
      </c>
      <c r="XDU479" s="2204"/>
      <c r="XDV479" s="2204"/>
      <c r="XDW479" s="2204">
        <f t="shared" si="285"/>
        <v>0</v>
      </c>
      <c r="XDX479" s="2204">
        <f>[16]BV!XEI395</f>
        <v>0</v>
      </c>
      <c r="XDY479" s="2204"/>
      <c r="XDZ479" s="2204"/>
      <c r="XEA479" s="2204">
        <f t="shared" si="285"/>
        <v>0</v>
      </c>
      <c r="XEB479" s="2204">
        <f>[16]BV!XEM395</f>
        <v>0</v>
      </c>
      <c r="XEC479" s="2204"/>
      <c r="XED479" s="2204"/>
      <c r="XEE479" s="2204">
        <f t="shared" si="285"/>
        <v>0</v>
      </c>
      <c r="XEF479" s="2204">
        <f>[16]BV!XEQ395</f>
        <v>0</v>
      </c>
      <c r="XEG479" s="2204"/>
      <c r="XEH479" s="2204"/>
      <c r="XEI479" s="2204">
        <f t="shared" si="285"/>
        <v>0</v>
      </c>
      <c r="XEJ479" s="2204">
        <f>[16]BV!XEU395</f>
        <v>0</v>
      </c>
      <c r="XEK479" s="2204"/>
      <c r="XEL479" s="2204"/>
      <c r="XEM479" s="2204">
        <f t="shared" si="285"/>
        <v>0</v>
      </c>
      <c r="XEN479" s="2204">
        <f>[16]BV!XEY395</f>
        <v>0</v>
      </c>
      <c r="XEO479" s="2204"/>
      <c r="XEP479" s="2204"/>
      <c r="XEQ479" s="2204">
        <f t="shared" si="285"/>
        <v>0</v>
      </c>
      <c r="XER479" s="2204">
        <f>[16]BV!XFC395</f>
        <v>0</v>
      </c>
      <c r="XES479" s="2204"/>
      <c r="XET479" s="2204"/>
      <c r="XEU479" s="2204">
        <f t="shared" si="285"/>
        <v>0</v>
      </c>
      <c r="XEV479" s="2204" t="e">
        <f>[16]BV!#REF!</f>
        <v>#REF!</v>
      </c>
      <c r="XEW479" s="2204"/>
      <c r="XEX479" s="2204"/>
      <c r="XEY479" s="2204" t="e">
        <f t="shared" si="285"/>
        <v>#REF!</v>
      </c>
      <c r="XEZ479" s="2204" t="e">
        <f>[16]BV!#REF!</f>
        <v>#REF!</v>
      </c>
      <c r="XFA479" s="2204"/>
      <c r="XFB479" s="2204"/>
      <c r="XFC479" s="2204" t="e">
        <f t="shared" si="285"/>
        <v>#REF!</v>
      </c>
    </row>
    <row r="480" spans="1:16383" s="2292" customFormat="1" ht="17.25" customHeight="1">
      <c r="A480" s="2132">
        <v>466</v>
      </c>
      <c r="B480" s="2132">
        <v>105</v>
      </c>
      <c r="C480" s="3536"/>
      <c r="D480" s="3344" t="s">
        <v>1761</v>
      </c>
      <c r="E480" s="3344" t="s">
        <v>40</v>
      </c>
      <c r="F480" s="3345">
        <v>13333.333333333334</v>
      </c>
      <c r="G480" s="3345">
        <v>903821.28747964825</v>
      </c>
      <c r="H480" s="3345">
        <v>262875.34283333336</v>
      </c>
      <c r="I480" s="3345">
        <v>1180029.9636463148</v>
      </c>
      <c r="J480" s="3345">
        <v>0</v>
      </c>
      <c r="K480" s="3345">
        <f t="shared" si="29"/>
        <v>1180029.9636463148</v>
      </c>
      <c r="L480" s="3345">
        <v>0</v>
      </c>
      <c r="M480" s="3345">
        <f t="shared" si="28"/>
        <v>1180029.9636463148</v>
      </c>
      <c r="N480" s="3346"/>
      <c r="O480" s="3344"/>
      <c r="P480" s="2290"/>
      <c r="Q480" s="2291"/>
    </row>
    <row r="481" spans="1:18" s="2292" customFormat="1" ht="17.25" customHeight="1">
      <c r="A481" s="2132">
        <v>467</v>
      </c>
      <c r="B481" s="2132">
        <v>106</v>
      </c>
      <c r="C481" s="3536"/>
      <c r="D481" s="3344" t="s">
        <v>1762</v>
      </c>
      <c r="E481" s="3344" t="s">
        <v>40</v>
      </c>
      <c r="F481" s="3345">
        <v>13333.333333333334</v>
      </c>
      <c r="G481" s="3345">
        <v>903821.28747964825</v>
      </c>
      <c r="H481" s="3345">
        <v>262875.34283333336</v>
      </c>
      <c r="I481" s="3345">
        <v>1180029.9636463148</v>
      </c>
      <c r="J481" s="3345">
        <v>0</v>
      </c>
      <c r="K481" s="3345">
        <f t="shared" si="29"/>
        <v>1180029.9636463148</v>
      </c>
      <c r="L481" s="3345">
        <v>0</v>
      </c>
      <c r="M481" s="3345">
        <f t="shared" si="28"/>
        <v>1180029.9636463148</v>
      </c>
      <c r="N481" s="3346"/>
      <c r="O481" s="3344"/>
      <c r="P481" s="2290"/>
      <c r="Q481" s="2291"/>
    </row>
    <row r="482" spans="1:18" s="2292" customFormat="1" ht="17.25" customHeight="1">
      <c r="A482" s="2132">
        <v>468</v>
      </c>
      <c r="B482" s="2132">
        <v>107</v>
      </c>
      <c r="C482" s="3536"/>
      <c r="D482" s="3344" t="s">
        <v>1763</v>
      </c>
      <c r="E482" s="3344" t="s">
        <v>40</v>
      </c>
      <c r="F482" s="3345">
        <v>13333.333333333334</v>
      </c>
      <c r="G482" s="3345">
        <v>903821.28747964825</v>
      </c>
      <c r="H482" s="3345">
        <v>262875.34283333336</v>
      </c>
      <c r="I482" s="3345">
        <v>1180029.9636463148</v>
      </c>
      <c r="J482" s="3345">
        <v>0</v>
      </c>
      <c r="K482" s="3345">
        <f t="shared" si="29"/>
        <v>1180029.9636463148</v>
      </c>
      <c r="L482" s="3345">
        <v>0</v>
      </c>
      <c r="M482" s="3345">
        <f t="shared" si="28"/>
        <v>1180029.9636463148</v>
      </c>
      <c r="N482" s="3346"/>
      <c r="O482" s="3344"/>
      <c r="P482" s="2290"/>
      <c r="Q482" s="2291"/>
    </row>
    <row r="483" spans="1:18" s="2207" customFormat="1" ht="21" customHeight="1">
      <c r="A483" s="2132">
        <v>469</v>
      </c>
      <c r="B483" s="2132">
        <v>108</v>
      </c>
      <c r="C483" s="3536"/>
      <c r="D483" s="3344" t="s">
        <v>1764</v>
      </c>
      <c r="E483" s="3344" t="s">
        <v>40</v>
      </c>
      <c r="F483" s="3345">
        <v>13333.333333333334</v>
      </c>
      <c r="G483" s="3345">
        <v>903821.28747964825</v>
      </c>
      <c r="H483" s="3345">
        <v>262875.34283333336</v>
      </c>
      <c r="I483" s="3345">
        <v>1180029.9636463148</v>
      </c>
      <c r="J483" s="3345">
        <v>0</v>
      </c>
      <c r="K483" s="3345">
        <f t="shared" si="29"/>
        <v>1180029.9636463148</v>
      </c>
      <c r="L483" s="3345">
        <v>0</v>
      </c>
      <c r="M483" s="3345">
        <f t="shared" si="28"/>
        <v>1180029.9636463148</v>
      </c>
      <c r="N483" s="3346"/>
      <c r="O483" s="3354"/>
      <c r="P483" s="2219"/>
      <c r="Q483" s="2220"/>
    </row>
    <row r="484" spans="1:18" s="2207" customFormat="1" ht="20.25" customHeight="1">
      <c r="A484" s="2132">
        <v>470</v>
      </c>
      <c r="B484" s="2132">
        <v>109</v>
      </c>
      <c r="C484" s="3536"/>
      <c r="D484" s="3344" t="s">
        <v>1765</v>
      </c>
      <c r="E484" s="3344" t="s">
        <v>40</v>
      </c>
      <c r="F484" s="3345">
        <v>13333.333333333334</v>
      </c>
      <c r="G484" s="3345">
        <v>942066.55310635781</v>
      </c>
      <c r="H484" s="3345">
        <v>262875.34283333336</v>
      </c>
      <c r="I484" s="3345">
        <v>1218275.2292730245</v>
      </c>
      <c r="J484" s="3345">
        <v>0</v>
      </c>
      <c r="K484" s="3345">
        <f t="shared" si="29"/>
        <v>1218275.2292730245</v>
      </c>
      <c r="L484" s="3345">
        <v>0</v>
      </c>
      <c r="M484" s="3345">
        <f t="shared" si="28"/>
        <v>1218275.2292730245</v>
      </c>
      <c r="N484" s="3346"/>
      <c r="O484" s="3354"/>
      <c r="P484" s="2219"/>
      <c r="Q484" s="2220"/>
      <c r="R484" s="3312">
        <f>F497+H497+G497+J375+K496</f>
        <v>544197475.57137954</v>
      </c>
    </row>
    <row r="485" spans="1:18" s="2207" customFormat="1" ht="21" customHeight="1">
      <c r="A485" s="2132">
        <v>471</v>
      </c>
      <c r="B485" s="2132">
        <v>110</v>
      </c>
      <c r="C485" s="3536"/>
      <c r="D485" s="3344" t="s">
        <v>1766</v>
      </c>
      <c r="E485" s="3344" t="s">
        <v>40</v>
      </c>
      <c r="F485" s="3345">
        <v>13333.333333333334</v>
      </c>
      <c r="G485" s="3345">
        <v>942066.55310635781</v>
      </c>
      <c r="H485" s="3345">
        <v>262875.34283333336</v>
      </c>
      <c r="I485" s="3345">
        <v>1218275.2292730245</v>
      </c>
      <c r="J485" s="3345">
        <v>0</v>
      </c>
      <c r="K485" s="3345">
        <f t="shared" si="29"/>
        <v>1218275.2292730245</v>
      </c>
      <c r="L485" s="3345">
        <v>0</v>
      </c>
      <c r="M485" s="3345">
        <f t="shared" si="28"/>
        <v>1218275.2292730245</v>
      </c>
      <c r="N485" s="3346"/>
      <c r="O485" s="3355"/>
      <c r="P485" s="2206"/>
      <c r="Q485" s="2209"/>
      <c r="R485" s="2207">
        <v>1680000</v>
      </c>
    </row>
    <row r="486" spans="1:18" s="2207" customFormat="1" ht="21.75" customHeight="1">
      <c r="A486" s="4045" t="s">
        <v>1197</v>
      </c>
      <c r="B486" s="4046"/>
      <c r="C486" s="4046"/>
      <c r="D486" s="4046"/>
      <c r="E486" s="4047"/>
      <c r="F486" s="3342"/>
      <c r="G486" s="3342"/>
      <c r="H486" s="3342"/>
      <c r="I486" s="3342"/>
      <c r="J486" s="3342"/>
      <c r="K486" s="3342">
        <f>SUM(K487:K494)</f>
        <v>10400000</v>
      </c>
      <c r="L486" s="3342"/>
      <c r="M486" s="3342">
        <f>K486</f>
        <v>10400000</v>
      </c>
      <c r="N486" s="3342"/>
      <c r="O486" s="3532"/>
      <c r="P486" s="2206"/>
      <c r="Q486" s="2209"/>
      <c r="R486" s="3312">
        <f>M497+R485</f>
        <v>545877475.57137918</v>
      </c>
    </row>
    <row r="487" spans="1:18" ht="15.75">
      <c r="A487" s="2132">
        <v>1</v>
      </c>
      <c r="B487" s="2132">
        <v>1</v>
      </c>
      <c r="C487" s="3343"/>
      <c r="D487" s="3349" t="s">
        <v>275</v>
      </c>
      <c r="E487" s="3349" t="s">
        <v>851</v>
      </c>
      <c r="F487" s="3345"/>
      <c r="G487" s="3345"/>
      <c r="H487" s="3345"/>
      <c r="I487" s="3345"/>
      <c r="J487" s="3345"/>
      <c r="K487" s="3345">
        <v>1300000</v>
      </c>
      <c r="L487" s="3345">
        <v>0</v>
      </c>
      <c r="M487" s="3345">
        <v>1300000</v>
      </c>
      <c r="N487" s="3345"/>
      <c r="O487" s="3532"/>
      <c r="P487" s="2223"/>
      <c r="R487" s="2224"/>
    </row>
    <row r="488" spans="1:18" s="2227" customFormat="1" ht="15.75">
      <c r="A488" s="2132">
        <v>2</v>
      </c>
      <c r="B488" s="2132">
        <v>2</v>
      </c>
      <c r="C488" s="3343"/>
      <c r="D488" s="3349" t="s">
        <v>713</v>
      </c>
      <c r="E488" s="3349" t="s">
        <v>851</v>
      </c>
      <c r="F488" s="3345"/>
      <c r="G488" s="3345"/>
      <c r="H488" s="3345"/>
      <c r="I488" s="3345"/>
      <c r="J488" s="3345"/>
      <c r="K488" s="3345">
        <v>1300000</v>
      </c>
      <c r="L488" s="3345">
        <v>0</v>
      </c>
      <c r="M488" s="3345">
        <v>1300000</v>
      </c>
      <c r="N488" s="3345"/>
      <c r="O488" s="3532"/>
      <c r="P488" s="2224"/>
      <c r="Q488" s="2226"/>
    </row>
    <row r="489" spans="1:18" s="2227" customFormat="1" ht="15.75">
      <c r="A489" s="2132">
        <v>3</v>
      </c>
      <c r="B489" s="2132">
        <v>3</v>
      </c>
      <c r="C489" s="3343"/>
      <c r="D489" s="3349" t="s">
        <v>274</v>
      </c>
      <c r="E489" s="3349" t="s">
        <v>851</v>
      </c>
      <c r="F489" s="3345"/>
      <c r="G489" s="3345"/>
      <c r="H489" s="3345"/>
      <c r="I489" s="3345"/>
      <c r="J489" s="3345"/>
      <c r="K489" s="3345">
        <v>1300000</v>
      </c>
      <c r="L489" s="3345">
        <v>0</v>
      </c>
      <c r="M489" s="3345">
        <v>1300000</v>
      </c>
      <c r="N489" s="3345"/>
      <c r="O489" s="3532"/>
      <c r="P489" s="2232"/>
      <c r="Q489" s="2226"/>
    </row>
    <row r="490" spans="1:18" s="2227" customFormat="1" ht="15.75">
      <c r="A490" s="2132">
        <v>4</v>
      </c>
      <c r="B490" s="2132">
        <v>4</v>
      </c>
      <c r="C490" s="3343"/>
      <c r="D490" s="3349" t="s">
        <v>276</v>
      </c>
      <c r="E490" s="3349" t="s">
        <v>851</v>
      </c>
      <c r="F490" s="3345"/>
      <c r="G490" s="3345"/>
      <c r="H490" s="3345"/>
      <c r="I490" s="3345"/>
      <c r="J490" s="3345"/>
      <c r="K490" s="3345">
        <v>1300000</v>
      </c>
      <c r="L490" s="3345">
        <v>0</v>
      </c>
      <c r="M490" s="3345">
        <v>1300000</v>
      </c>
      <c r="N490" s="3345"/>
      <c r="O490" s="3532"/>
      <c r="P490" s="2185"/>
    </row>
    <row r="491" spans="1:18" ht="15.75">
      <c r="A491" s="2132">
        <v>5</v>
      </c>
      <c r="B491" s="2132">
        <v>5</v>
      </c>
      <c r="C491" s="3345"/>
      <c r="D491" s="3356" t="s">
        <v>1391</v>
      </c>
      <c r="E491" s="3349" t="s">
        <v>851</v>
      </c>
      <c r="F491" s="3345"/>
      <c r="G491" s="3345"/>
      <c r="H491" s="3345"/>
      <c r="I491" s="3345">
        <f>[16]BV!S395</f>
        <v>0</v>
      </c>
      <c r="J491" s="3345"/>
      <c r="K491" s="3345">
        <v>1300000</v>
      </c>
      <c r="L491" s="3345">
        <v>0</v>
      </c>
      <c r="M491" s="3345">
        <v>1300000</v>
      </c>
      <c r="N491" s="3345"/>
      <c r="O491" s="3532"/>
      <c r="P491" s="2224"/>
    </row>
    <row r="492" spans="1:18" ht="15.75">
      <c r="A492" s="2132">
        <v>6</v>
      </c>
      <c r="B492" s="2132">
        <v>6</v>
      </c>
      <c r="C492" s="3343"/>
      <c r="D492" s="3349" t="s">
        <v>1392</v>
      </c>
      <c r="E492" s="3349" t="s">
        <v>851</v>
      </c>
      <c r="F492" s="3345"/>
      <c r="G492" s="3345"/>
      <c r="H492" s="3345"/>
      <c r="I492" s="3345"/>
      <c r="J492" s="3345"/>
      <c r="K492" s="3345">
        <v>1300000</v>
      </c>
      <c r="L492" s="3345">
        <v>0</v>
      </c>
      <c r="M492" s="3345">
        <v>1300000</v>
      </c>
      <c r="N492" s="3345"/>
      <c r="O492" s="3532"/>
      <c r="P492" s="2224"/>
    </row>
    <row r="493" spans="1:18" ht="15.75">
      <c r="A493" s="2132">
        <v>7</v>
      </c>
      <c r="B493" s="2132">
        <v>7</v>
      </c>
      <c r="C493" s="3343"/>
      <c r="D493" s="3349" t="s">
        <v>1391</v>
      </c>
      <c r="E493" s="3349" t="s">
        <v>851</v>
      </c>
      <c r="F493" s="3345"/>
      <c r="G493" s="3345"/>
      <c r="H493" s="3345"/>
      <c r="I493" s="3345"/>
      <c r="J493" s="3345"/>
      <c r="K493" s="3345">
        <v>1300000</v>
      </c>
      <c r="L493" s="3345">
        <v>0</v>
      </c>
      <c r="M493" s="3345">
        <v>1300000</v>
      </c>
      <c r="N493" s="3345"/>
      <c r="O493" s="3532"/>
      <c r="P493" s="2224"/>
    </row>
    <row r="494" spans="1:18" ht="15.75">
      <c r="A494" s="2132">
        <v>8</v>
      </c>
      <c r="B494" s="2132">
        <v>8</v>
      </c>
      <c r="C494" s="3343"/>
      <c r="D494" s="3349" t="s">
        <v>948</v>
      </c>
      <c r="E494" s="3349" t="s">
        <v>851</v>
      </c>
      <c r="F494" s="3345"/>
      <c r="G494" s="3345"/>
      <c r="H494" s="3345"/>
      <c r="I494" s="3345"/>
      <c r="J494" s="3345"/>
      <c r="K494" s="3345">
        <v>1300000</v>
      </c>
      <c r="L494" s="3345"/>
      <c r="M494" s="3345">
        <f>K494</f>
        <v>1300000</v>
      </c>
      <c r="N494" s="3345"/>
      <c r="O494" s="3532"/>
    </row>
    <row r="495" spans="1:18" ht="20.25" customHeight="1">
      <c r="A495" s="4034" t="s">
        <v>1198</v>
      </c>
      <c r="B495" s="4035"/>
      <c r="C495" s="4035"/>
      <c r="D495" s="4035"/>
      <c r="E495" s="4036"/>
      <c r="F495" s="3342">
        <f>F12+F262+F375</f>
        <v>68141049.680952281</v>
      </c>
      <c r="G495" s="3342">
        <f>G12+G262+G375</f>
        <v>345102367.45642734</v>
      </c>
      <c r="H495" s="3342">
        <f>H12+H262+H375</f>
        <v>120554058.43399993</v>
      </c>
      <c r="I495" s="3342"/>
      <c r="J495" s="3342"/>
      <c r="K495" s="3342">
        <f>K12+K262+K375</f>
        <v>533797475.57137913</v>
      </c>
      <c r="L495" s="3342">
        <f>L12+L262+L375</f>
        <v>0</v>
      </c>
      <c r="M495" s="3342">
        <f>M12+M262+M375</f>
        <v>533797475.57137913</v>
      </c>
      <c r="N495" s="3342" t="e">
        <f>N12+N262+N375+#REF!</f>
        <v>#REF!</v>
      </c>
      <c r="O495" s="3532"/>
    </row>
    <row r="496" spans="1:18" ht="19.5" customHeight="1">
      <c r="A496" s="4034" t="s">
        <v>1199</v>
      </c>
      <c r="B496" s="4035"/>
      <c r="C496" s="4035"/>
      <c r="D496" s="4035"/>
      <c r="E496" s="4036"/>
      <c r="F496" s="3342"/>
      <c r="G496" s="3342"/>
      <c r="H496" s="3342"/>
      <c r="I496" s="3342"/>
      <c r="J496" s="3342"/>
      <c r="K496" s="3342">
        <f>K486</f>
        <v>10400000</v>
      </c>
      <c r="L496" s="3342">
        <f>L486</f>
        <v>0</v>
      </c>
      <c r="M496" s="3342">
        <f>M486</f>
        <v>10400000</v>
      </c>
      <c r="N496" s="3342"/>
      <c r="O496" s="3532"/>
      <c r="P496" s="2232"/>
    </row>
    <row r="497" spans="1:19" ht="24" customHeight="1">
      <c r="A497" s="4037" t="s">
        <v>1201</v>
      </c>
      <c r="B497" s="4038"/>
      <c r="C497" s="4038"/>
      <c r="D497" s="4038"/>
      <c r="E497" s="4039"/>
      <c r="F497" s="3342">
        <f>SUM(F495:F496)</f>
        <v>68141049.680952281</v>
      </c>
      <c r="G497" s="3342">
        <f t="shared" ref="G497:L497" si="286">SUM(G495:G496)</f>
        <v>345102367.45642734</v>
      </c>
      <c r="H497" s="3342">
        <f t="shared" si="286"/>
        <v>120554058.43399993</v>
      </c>
      <c r="I497" s="3342"/>
      <c r="J497" s="3342"/>
      <c r="K497" s="3342">
        <f t="shared" si="286"/>
        <v>544197475.57137918</v>
      </c>
      <c r="L497" s="3342">
        <f t="shared" si="286"/>
        <v>0</v>
      </c>
      <c r="M497" s="3342">
        <f>SUM(M495:M496)</f>
        <v>544197475.57137918</v>
      </c>
      <c r="N497" s="3342" t="e">
        <f>SUM(N495:N496)</f>
        <v>#REF!</v>
      </c>
      <c r="O497" s="3532"/>
    </row>
    <row r="498" spans="1:19" ht="24" customHeight="1">
      <c r="A498" s="4042" t="s">
        <v>1767</v>
      </c>
      <c r="B498" s="4043"/>
      <c r="C498" s="4043"/>
      <c r="D498" s="4043"/>
      <c r="E498" s="4043"/>
      <c r="F498" s="4043"/>
      <c r="G498" s="4043"/>
      <c r="H498" s="4043"/>
      <c r="I498" s="4043"/>
      <c r="J498" s="4043"/>
      <c r="K498" s="4043"/>
      <c r="L498" s="4043"/>
      <c r="M498" s="4043"/>
      <c r="N498" s="4043"/>
      <c r="O498" s="4044"/>
    </row>
    <row r="499" spans="1:19">
      <c r="B499" s="2183"/>
      <c r="C499" s="2222"/>
      <c r="D499" s="2191"/>
      <c r="E499" s="2191"/>
      <c r="F499" s="2192"/>
      <c r="G499" s="2191"/>
      <c r="H499" s="2191"/>
      <c r="I499" s="2191"/>
      <c r="J499" s="2191"/>
      <c r="K499" s="3985" t="s">
        <v>1726</v>
      </c>
      <c r="L499" s="3985"/>
      <c r="M499" s="3985"/>
      <c r="N499" s="3985"/>
      <c r="O499" s="3985"/>
      <c r="P499" s="2224"/>
      <c r="Q499" s="2224"/>
    </row>
    <row r="500" spans="1:19">
      <c r="A500" s="4040" t="s">
        <v>45</v>
      </c>
      <c r="B500" s="4040"/>
      <c r="C500" s="4040"/>
      <c r="D500" s="4040"/>
      <c r="E500" s="4040"/>
      <c r="F500" s="4041" t="s">
        <v>44</v>
      </c>
      <c r="G500" s="4041"/>
      <c r="H500" s="4041"/>
      <c r="I500" s="3335"/>
      <c r="J500" s="3335"/>
      <c r="K500" s="4041" t="s">
        <v>615</v>
      </c>
      <c r="L500" s="4041"/>
      <c r="M500" s="4041"/>
      <c r="N500" s="4041"/>
      <c r="O500" s="4041"/>
    </row>
    <row r="501" spans="1:19">
      <c r="B501" s="3335"/>
      <c r="C501" s="2228"/>
      <c r="D501" s="3335"/>
      <c r="E501" s="3335"/>
      <c r="F501" s="2229"/>
      <c r="G501" s="2230"/>
      <c r="H501" s="2230"/>
      <c r="I501" s="2230"/>
      <c r="J501" s="2230"/>
      <c r="K501" s="2231"/>
      <c r="L501" s="3335"/>
      <c r="M501" s="3335"/>
      <c r="N501" s="3335"/>
    </row>
    <row r="502" spans="1:19">
      <c r="B502" s="3335"/>
      <c r="C502" s="2228"/>
      <c r="D502" s="3335"/>
      <c r="E502" s="3335"/>
      <c r="F502" s="2229"/>
      <c r="G502" s="2230"/>
      <c r="H502" s="2230"/>
      <c r="I502" s="2230"/>
      <c r="J502" s="2230"/>
      <c r="K502" s="2231"/>
      <c r="L502" s="3335"/>
      <c r="M502" s="3335"/>
      <c r="N502" s="3335"/>
    </row>
    <row r="503" spans="1:19">
      <c r="B503" s="2183"/>
      <c r="C503" s="2222"/>
      <c r="D503" s="2191"/>
      <c r="E503" s="2191"/>
      <c r="F503" s="2233"/>
      <c r="G503" s="2233"/>
      <c r="H503" s="2233"/>
      <c r="I503" s="2233"/>
      <c r="J503" s="2233"/>
      <c r="K503" s="2233"/>
      <c r="L503" s="2233"/>
      <c r="M503" s="2233"/>
      <c r="N503" s="2233"/>
    </row>
    <row r="504" spans="1:19">
      <c r="B504" s="2183"/>
      <c r="C504" s="2222"/>
      <c r="D504" s="2191"/>
      <c r="E504" s="2191"/>
      <c r="F504" s="2233"/>
      <c r="G504" s="2233"/>
      <c r="H504" s="2233"/>
      <c r="I504" s="2233"/>
      <c r="J504" s="2233"/>
      <c r="K504" s="2233"/>
      <c r="L504" s="2233"/>
      <c r="M504" s="2233"/>
      <c r="N504" s="2233"/>
    </row>
    <row r="505" spans="1:19">
      <c r="B505" s="2183"/>
      <c r="C505" s="2222"/>
      <c r="D505" s="2191"/>
      <c r="E505" s="2191"/>
      <c r="F505" s="2233"/>
      <c r="G505" s="2233"/>
      <c r="H505" s="2233"/>
      <c r="I505" s="2233"/>
      <c r="J505" s="2233"/>
      <c r="K505" s="2233"/>
      <c r="L505" s="2233"/>
      <c r="M505" s="2233"/>
      <c r="N505" s="2233"/>
    </row>
    <row r="506" spans="1:19" s="2189" customFormat="1">
      <c r="A506" s="2183"/>
      <c r="B506" s="2183"/>
      <c r="C506" s="2222"/>
      <c r="D506" s="2191"/>
      <c r="E506" s="2191"/>
      <c r="F506" s="2235"/>
      <c r="G506" s="2235"/>
      <c r="H506" s="2236"/>
      <c r="I506" s="2236"/>
      <c r="J506" s="2236"/>
      <c r="K506" s="2236"/>
      <c r="L506" s="2235"/>
      <c r="M506" s="2235"/>
      <c r="N506" s="2235"/>
      <c r="P506" s="2185"/>
      <c r="Q506" s="2185"/>
      <c r="R506" s="2185"/>
      <c r="S506" s="2185"/>
    </row>
    <row r="507" spans="1:19" s="2189" customFormat="1">
      <c r="A507" s="2183"/>
      <c r="B507" s="2183"/>
      <c r="C507" s="2222"/>
      <c r="D507" s="2191"/>
      <c r="E507" s="2191"/>
      <c r="F507" s="2235"/>
      <c r="G507" s="2237"/>
      <c r="H507" s="2236"/>
      <c r="I507" s="2236"/>
      <c r="J507" s="2236"/>
      <c r="K507" s="2236"/>
      <c r="L507" s="2235"/>
      <c r="M507" s="2235"/>
      <c r="N507" s="2235"/>
      <c r="P507" s="2185"/>
      <c r="Q507" s="2185"/>
      <c r="R507" s="2185"/>
      <c r="S507" s="2185"/>
    </row>
    <row r="508" spans="1:19" s="2189" customFormat="1">
      <c r="A508" s="2183"/>
      <c r="B508" s="2183"/>
      <c r="C508" s="2222"/>
      <c r="D508" s="2191"/>
      <c r="E508" s="2191"/>
      <c r="F508" s="2192"/>
      <c r="G508" s="2238"/>
      <c r="H508" s="2239"/>
      <c r="I508" s="2239"/>
      <c r="J508" s="2239"/>
      <c r="K508" s="3678"/>
      <c r="L508" s="3678"/>
      <c r="M508" s="2191"/>
      <c r="N508" s="2225"/>
      <c r="P508" s="2185"/>
      <c r="Q508" s="2185"/>
      <c r="R508" s="2185"/>
      <c r="S508" s="2185"/>
    </row>
    <row r="509" spans="1:19">
      <c r="B509" s="2183"/>
      <c r="C509" s="2222"/>
      <c r="D509" s="2191"/>
      <c r="E509" s="2191"/>
      <c r="F509" s="2192"/>
      <c r="G509" s="2240"/>
      <c r="H509" s="2241"/>
      <c r="I509" s="2241"/>
      <c r="J509" s="2241"/>
      <c r="K509" s="2242"/>
      <c r="L509" s="2192"/>
      <c r="M509" s="2191"/>
      <c r="N509" s="2191"/>
    </row>
    <row r="510" spans="1:19">
      <c r="B510" s="2183"/>
      <c r="C510" s="2222"/>
      <c r="D510" s="2191"/>
      <c r="E510" s="2191"/>
      <c r="F510" s="2243"/>
      <c r="G510" s="2244"/>
      <c r="H510" s="2244"/>
      <c r="I510" s="2244"/>
      <c r="J510" s="2244"/>
      <c r="K510" s="2245"/>
      <c r="L510" s="4033"/>
      <c r="M510" s="4033"/>
      <c r="N510" s="2191"/>
    </row>
    <row r="511" spans="1:19">
      <c r="F511" s="2246"/>
      <c r="G511" s="3980"/>
      <c r="H511" s="3980"/>
      <c r="I511" s="3336"/>
      <c r="J511" s="3336"/>
      <c r="K511" s="2223"/>
      <c r="M511" s="2232"/>
    </row>
    <row r="512" spans="1:19">
      <c r="F512" s="2246"/>
      <c r="G512" s="3981"/>
      <c r="H512" s="3978"/>
      <c r="I512" s="3334"/>
      <c r="J512" s="3334"/>
      <c r="K512" s="2247"/>
      <c r="L512" s="2247"/>
    </row>
    <row r="513" spans="1:19" ht="18.75">
      <c r="F513" s="3337"/>
      <c r="G513" s="3982"/>
      <c r="H513" s="3983"/>
      <c r="I513" s="3337"/>
      <c r="J513" s="3337"/>
      <c r="K513" s="2249"/>
      <c r="L513" s="2223"/>
      <c r="M513" s="2250"/>
    </row>
    <row r="514" spans="1:19">
      <c r="G514" s="3977"/>
      <c r="H514" s="3978"/>
      <c r="I514" s="3334"/>
      <c r="J514" s="3334"/>
      <c r="K514" s="2224"/>
      <c r="M514" s="2223"/>
    </row>
    <row r="515" spans="1:19">
      <c r="H515" s="2232"/>
      <c r="I515" s="2232"/>
      <c r="J515" s="2232"/>
      <c r="K515" s="2249"/>
      <c r="M515" s="2251"/>
    </row>
    <row r="516" spans="1:19" s="2189" customFormat="1">
      <c r="A516" s="2183"/>
      <c r="B516" s="3334"/>
      <c r="C516" s="2187"/>
      <c r="D516" s="2185"/>
      <c r="E516" s="2185"/>
      <c r="F516" s="2188"/>
      <c r="G516" s="2185"/>
      <c r="H516" s="2224"/>
      <c r="I516" s="2224"/>
      <c r="J516" s="2224"/>
      <c r="K516" s="2224"/>
      <c r="L516" s="2223"/>
      <c r="M516" s="2223"/>
      <c r="N516" s="2185"/>
      <c r="P516" s="2185"/>
      <c r="Q516" s="2185"/>
      <c r="R516" s="2185"/>
      <c r="S516" s="2185"/>
    </row>
    <row r="517" spans="1:19">
      <c r="H517" s="2249"/>
      <c r="I517" s="2249"/>
      <c r="J517" s="2249"/>
      <c r="K517" s="2232"/>
    </row>
    <row r="518" spans="1:19">
      <c r="F518" s="2246"/>
      <c r="M518" s="2224"/>
    </row>
    <row r="519" spans="1:19">
      <c r="F519" s="2246"/>
      <c r="G519" s="2232"/>
      <c r="M519" s="2224"/>
    </row>
    <row r="520" spans="1:19">
      <c r="F520" s="2246"/>
      <c r="H520" s="2223"/>
      <c r="I520" s="2223"/>
      <c r="J520" s="2223"/>
      <c r="N520" s="2232"/>
    </row>
    <row r="528" spans="1:19">
      <c r="F528" s="2188" t="s">
        <v>1200</v>
      </c>
    </row>
  </sheetData>
  <mergeCells count="36">
    <mergeCell ref="B1:O1"/>
    <mergeCell ref="B2:O2"/>
    <mergeCell ref="B3:O3"/>
    <mergeCell ref="A5:G5"/>
    <mergeCell ref="A6:G6"/>
    <mergeCell ref="B8:O8"/>
    <mergeCell ref="M9:O9"/>
    <mergeCell ref="A10:B11"/>
    <mergeCell ref="C10:C11"/>
    <mergeCell ref="D10:D11"/>
    <mergeCell ref="E10:E11"/>
    <mergeCell ref="F10:I10"/>
    <mergeCell ref="J10:J11"/>
    <mergeCell ref="K10:K11"/>
    <mergeCell ref="L10:L11"/>
    <mergeCell ref="M10:M11"/>
    <mergeCell ref="N10:N11"/>
    <mergeCell ref="O10:O11"/>
    <mergeCell ref="A12:D12"/>
    <mergeCell ref="A262:D262"/>
    <mergeCell ref="A375:E375"/>
    <mergeCell ref="A486:E486"/>
    <mergeCell ref="A495:E495"/>
    <mergeCell ref="A496:E496"/>
    <mergeCell ref="A497:E497"/>
    <mergeCell ref="A500:E500"/>
    <mergeCell ref="F500:H500"/>
    <mergeCell ref="A498:O498"/>
    <mergeCell ref="K499:O499"/>
    <mergeCell ref="K500:O500"/>
    <mergeCell ref="G514:H514"/>
    <mergeCell ref="K508:L508"/>
    <mergeCell ref="L510:M510"/>
    <mergeCell ref="G511:H511"/>
    <mergeCell ref="G512:H512"/>
    <mergeCell ref="G513:H513"/>
  </mergeCells>
  <pageMargins left="0.39370078740157483" right="0.39370078740157483" top="0.39370078740157483" bottom="0.39370078740157483" header="0.39370078740157483" footer="0.39370078740157483"/>
  <pageSetup paperSize="9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107"/>
  <sheetViews>
    <sheetView workbookViewId="0">
      <selection activeCell="F11" sqref="F11"/>
    </sheetView>
  </sheetViews>
  <sheetFormatPr defaultColWidth="8" defaultRowHeight="15"/>
  <cols>
    <col min="1" max="1" width="4.375" style="547" customWidth="1"/>
    <col min="2" max="2" width="17.125" style="547" customWidth="1"/>
    <col min="3" max="3" width="10.375" style="547" customWidth="1"/>
    <col min="4" max="4" width="11.125" style="547" customWidth="1"/>
    <col min="5" max="6" width="12.75" style="547" customWidth="1"/>
    <col min="7" max="7" width="11.375" style="547" customWidth="1"/>
    <col min="8" max="8" width="14.875" style="547" customWidth="1"/>
    <col min="9" max="10" width="8" style="547"/>
    <col min="11" max="11" width="11.625" style="547" bestFit="1" customWidth="1"/>
    <col min="12" max="16384" width="8" style="547"/>
  </cols>
  <sheetData>
    <row r="1" spans="1:14" ht="15.75">
      <c r="A1" s="4057" t="s">
        <v>165</v>
      </c>
      <c r="B1" s="4057"/>
      <c r="C1" s="4057"/>
      <c r="D1" s="4057"/>
      <c r="E1" s="4057"/>
      <c r="F1" s="4057"/>
      <c r="G1" s="4057"/>
      <c r="H1" s="4057"/>
    </row>
    <row r="2" spans="1:14" ht="15.75">
      <c r="A2" s="4058" t="s">
        <v>171</v>
      </c>
      <c r="B2" s="4058"/>
      <c r="C2" s="4058"/>
      <c r="D2" s="4058"/>
      <c r="E2" s="4058"/>
      <c r="F2" s="4058"/>
      <c r="G2" s="4058"/>
      <c r="H2" s="4058"/>
    </row>
    <row r="3" spans="1:14" ht="15.75">
      <c r="A3" s="2941"/>
      <c r="B3" s="2941"/>
      <c r="C3" s="2941"/>
      <c r="D3" s="2941"/>
      <c r="E3" s="2941"/>
      <c r="F3" s="2941"/>
      <c r="G3" s="2941"/>
      <c r="H3" s="2941"/>
    </row>
    <row r="4" spans="1:14" ht="15.75">
      <c r="A4" s="4061" t="s">
        <v>0</v>
      </c>
      <c r="B4" s="4061"/>
      <c r="C4" s="4061"/>
      <c r="D4" s="4061"/>
      <c r="E4" s="2941"/>
      <c r="F4" s="2941"/>
      <c r="G4" s="2941"/>
      <c r="H4" s="1003"/>
    </row>
    <row r="5" spans="1:14" ht="15.75">
      <c r="A5" s="4058" t="s">
        <v>541</v>
      </c>
      <c r="B5" s="4058"/>
      <c r="C5" s="4058"/>
      <c r="D5" s="4058"/>
      <c r="E5" s="1003"/>
      <c r="F5" s="1003"/>
      <c r="G5" s="1003"/>
      <c r="H5" s="1003"/>
    </row>
    <row r="6" spans="1:14" ht="15.75">
      <c r="A6" s="2942"/>
      <c r="B6" s="2943"/>
      <c r="C6" s="2944"/>
      <c r="D6" s="2944"/>
      <c r="E6" s="1003"/>
      <c r="F6" s="1003"/>
      <c r="G6" s="1003"/>
      <c r="H6" s="1003"/>
    </row>
    <row r="7" spans="1:14" ht="48" customHeight="1">
      <c r="A7" s="4059" t="s">
        <v>1358</v>
      </c>
      <c r="B7" s="4059"/>
      <c r="C7" s="4059"/>
      <c r="D7" s="4059"/>
      <c r="E7" s="4059"/>
      <c r="F7" s="4059"/>
      <c r="G7" s="4059"/>
      <c r="H7" s="4059"/>
    </row>
    <row r="8" spans="1:14" ht="18.75">
      <c r="A8" s="2945"/>
      <c r="B8" s="2946"/>
      <c r="C8" s="2946"/>
      <c r="D8" s="2946"/>
      <c r="E8" s="2946"/>
      <c r="F8" s="2946"/>
      <c r="G8" s="2946"/>
      <c r="H8" s="2946"/>
    </row>
    <row r="9" spans="1:14" ht="31.5">
      <c r="A9" s="2947" t="s">
        <v>1007</v>
      </c>
      <c r="B9" s="2948" t="s">
        <v>318</v>
      </c>
      <c r="C9" s="2948" t="s">
        <v>5</v>
      </c>
      <c r="D9" s="2949" t="s">
        <v>1359</v>
      </c>
      <c r="E9" s="2950" t="s">
        <v>24</v>
      </c>
      <c r="F9" s="2950" t="s">
        <v>362</v>
      </c>
      <c r="G9" s="2948" t="s">
        <v>9</v>
      </c>
      <c r="H9" s="2948" t="s">
        <v>634</v>
      </c>
      <c r="N9" s="547">
        <f>150000/30</f>
        <v>5000</v>
      </c>
    </row>
    <row r="10" spans="1:14" ht="15.75">
      <c r="A10" s="4060" t="s">
        <v>321</v>
      </c>
      <c r="B10" s="4060"/>
      <c r="C10" s="4060"/>
      <c r="D10" s="2951">
        <f>SUM(D11:D46)</f>
        <v>959</v>
      </c>
      <c r="E10" s="2951">
        <f>SUM(E11:E46)</f>
        <v>16000000</v>
      </c>
      <c r="F10" s="2951">
        <f>SUM(F11:F46)</f>
        <v>640</v>
      </c>
      <c r="G10" s="2948"/>
      <c r="H10" s="2948"/>
    </row>
    <row r="11" spans="1:14" ht="16.5">
      <c r="A11" s="2947">
        <v>1</v>
      </c>
      <c r="B11" s="2952" t="str">
        <f>'Chấm công công nhân'!L13</f>
        <v>Vắt Đi</v>
      </c>
      <c r="C11" s="2947" t="s">
        <v>40</v>
      </c>
      <c r="D11" s="2961">
        <f>'Chấm công công nhân'!AV13</f>
        <v>30</v>
      </c>
      <c r="E11" s="2953">
        <f>IF(D11&gt;=25,500000,IF(D11&lt;=24,300000,0))</f>
        <v>500000</v>
      </c>
      <c r="F11" s="2953">
        <f>E11/25000</f>
        <v>20</v>
      </c>
      <c r="G11" s="2948"/>
      <c r="H11" s="2952" t="str">
        <f>B11</f>
        <v>Vắt Đi</v>
      </c>
    </row>
    <row r="12" spans="1:14" ht="16.5">
      <c r="A12" s="2947">
        <v>2</v>
      </c>
      <c r="B12" s="2952" t="str">
        <f>'Chấm công công nhân'!L14</f>
        <v>T Ô Vên</v>
      </c>
      <c r="C12" s="2947" t="s">
        <v>40</v>
      </c>
      <c r="D12" s="2961">
        <f>'Chấm công công nhân'!AV14</f>
        <v>31</v>
      </c>
      <c r="E12" s="2953">
        <f t="shared" ref="E12:E46" si="0">IF(D12&gt;=25,500000,IF(D12&lt;=24,300000,0))</f>
        <v>500000</v>
      </c>
      <c r="F12" s="2953">
        <f t="shared" ref="F12:F46" si="1">E12/25000</f>
        <v>20</v>
      </c>
      <c r="G12" s="2948"/>
      <c r="H12" s="2952" t="str">
        <f t="shared" ref="H12:H46" si="2">B12</f>
        <v>T Ô Vên</v>
      </c>
    </row>
    <row r="13" spans="1:14" ht="16.5">
      <c r="A13" s="2947">
        <v>3</v>
      </c>
      <c r="B13" s="2952" t="str">
        <f>'Chấm công công nhân'!L15</f>
        <v>Nàng Túc</v>
      </c>
      <c r="C13" s="2947" t="s">
        <v>40</v>
      </c>
      <c r="D13" s="2961">
        <f>'Chấm công công nhân'!AV15</f>
        <v>31</v>
      </c>
      <c r="E13" s="2953">
        <f t="shared" si="0"/>
        <v>500000</v>
      </c>
      <c r="F13" s="2953">
        <f t="shared" si="1"/>
        <v>20</v>
      </c>
      <c r="G13" s="2948"/>
      <c r="H13" s="2952" t="str">
        <f t="shared" si="2"/>
        <v>Nàng Túc</v>
      </c>
      <c r="K13" s="2965">
        <f>E10+E47+E63</f>
        <v>29200000</v>
      </c>
    </row>
    <row r="14" spans="1:14" ht="16.5">
      <c r="A14" s="2947">
        <v>4</v>
      </c>
      <c r="B14" s="2952" t="str">
        <f>'Chấm công công nhân'!L16</f>
        <v>Thảo Say</v>
      </c>
      <c r="C14" s="2947" t="s">
        <v>40</v>
      </c>
      <c r="D14" s="2961">
        <f>'Chấm công công nhân'!AV16</f>
        <v>18</v>
      </c>
      <c r="E14" s="2953">
        <f t="shared" si="0"/>
        <v>300000</v>
      </c>
      <c r="F14" s="2953">
        <f t="shared" si="1"/>
        <v>12</v>
      </c>
      <c r="G14" s="2948"/>
      <c r="H14" s="2952" t="str">
        <f t="shared" si="2"/>
        <v>Thảo Say</v>
      </c>
    </row>
    <row r="15" spans="1:14" ht="16.5">
      <c r="A15" s="2947">
        <v>5</v>
      </c>
      <c r="B15" s="2952" t="str">
        <f>'Chấm công công nhân'!L17</f>
        <v>Thảo Pheng</v>
      </c>
      <c r="C15" s="2947" t="s">
        <v>40</v>
      </c>
      <c r="D15" s="2991">
        <f>'Chấm công công nhân'!AV17</f>
        <v>28</v>
      </c>
      <c r="E15" s="2953">
        <f t="shared" si="0"/>
        <v>500000</v>
      </c>
      <c r="F15" s="2953">
        <f t="shared" si="1"/>
        <v>20</v>
      </c>
      <c r="G15" s="2948"/>
      <c r="H15" s="2952" t="str">
        <f t="shared" si="2"/>
        <v>Thảo Pheng</v>
      </c>
    </row>
    <row r="16" spans="1:14" ht="16.5">
      <c r="A16" s="2947">
        <v>6</v>
      </c>
      <c r="B16" s="2952" t="str">
        <f>'Chấm công công nhân'!L18</f>
        <v>Nàng Chay</v>
      </c>
      <c r="C16" s="2947" t="s">
        <v>40</v>
      </c>
      <c r="D16" s="2961">
        <f>'Chấm công công nhân'!AV18</f>
        <v>31</v>
      </c>
      <c r="E16" s="2953">
        <f t="shared" si="0"/>
        <v>500000</v>
      </c>
      <c r="F16" s="2953">
        <f t="shared" si="1"/>
        <v>20</v>
      </c>
      <c r="G16" s="2948"/>
      <c r="H16" s="2952" t="str">
        <f t="shared" si="2"/>
        <v>Nàng Chay</v>
      </c>
    </row>
    <row r="17" spans="1:8" ht="16.5">
      <c r="A17" s="2947">
        <v>7</v>
      </c>
      <c r="B17" s="2952" t="str">
        <f>'Chấm công công nhân'!L19</f>
        <v>Nàng Hđao</v>
      </c>
      <c r="C17" s="2947" t="s">
        <v>40</v>
      </c>
      <c r="D17" s="2961">
        <f>'Chấm công công nhân'!AV19</f>
        <v>25</v>
      </c>
      <c r="E17" s="2953">
        <f t="shared" si="0"/>
        <v>500000</v>
      </c>
      <c r="F17" s="2953">
        <f t="shared" si="1"/>
        <v>20</v>
      </c>
      <c r="G17" s="2948"/>
      <c r="H17" s="2952" t="str">
        <f t="shared" si="2"/>
        <v>Nàng Hđao</v>
      </c>
    </row>
    <row r="18" spans="1:8" ht="16.5">
      <c r="A18" s="2947">
        <v>8</v>
      </c>
      <c r="B18" s="2952" t="str">
        <f>'Chấm công công nhân'!L20</f>
        <v xml:space="preserve">Thảo Ken </v>
      </c>
      <c r="C18" s="2947" t="s">
        <v>40</v>
      </c>
      <c r="D18" s="2961">
        <f>'Chấm công công nhân'!AV20</f>
        <v>31</v>
      </c>
      <c r="E18" s="2953">
        <f t="shared" si="0"/>
        <v>500000</v>
      </c>
      <c r="F18" s="2953">
        <f t="shared" si="1"/>
        <v>20</v>
      </c>
      <c r="G18" s="2948"/>
      <c r="H18" s="2952" t="str">
        <f t="shared" si="2"/>
        <v xml:space="preserve">Thảo Ken </v>
      </c>
    </row>
    <row r="19" spans="1:8" ht="16.5">
      <c r="A19" s="2947">
        <v>9</v>
      </c>
      <c r="B19" s="2952" t="str">
        <f>'Chấm công công nhân'!L21</f>
        <v>Thảo Cợt</v>
      </c>
      <c r="C19" s="2947" t="s">
        <v>40</v>
      </c>
      <c r="D19" s="2961">
        <f>'Chấm công công nhân'!AV21</f>
        <v>23</v>
      </c>
      <c r="E19" s="2953">
        <f t="shared" si="0"/>
        <v>300000</v>
      </c>
      <c r="F19" s="2953">
        <f t="shared" si="1"/>
        <v>12</v>
      </c>
      <c r="G19" s="2948"/>
      <c r="H19" s="2952" t="str">
        <f t="shared" si="2"/>
        <v>Thảo Cợt</v>
      </c>
    </row>
    <row r="20" spans="1:8" ht="16.5">
      <c r="A20" s="2947">
        <v>10</v>
      </c>
      <c r="B20" s="2952" t="str">
        <f>'Chấm công công nhân'!L22</f>
        <v>Thảo Mi</v>
      </c>
      <c r="C20" s="2947" t="s">
        <v>40</v>
      </c>
      <c r="D20" s="2961">
        <f>'Chấm công công nhân'!AV22</f>
        <v>19</v>
      </c>
      <c r="E20" s="2953">
        <f t="shared" si="0"/>
        <v>300000</v>
      </c>
      <c r="F20" s="2953">
        <f t="shared" si="1"/>
        <v>12</v>
      </c>
      <c r="G20" s="2948"/>
      <c r="H20" s="2952" t="str">
        <f t="shared" si="2"/>
        <v>Thảo Mi</v>
      </c>
    </row>
    <row r="21" spans="1:8" ht="16.5">
      <c r="A21" s="2947">
        <v>11</v>
      </c>
      <c r="B21" s="2952" t="str">
        <f>'Chấm công công nhân'!L23</f>
        <v>Thảo Phét</v>
      </c>
      <c r="C21" s="2947" t="s">
        <v>40</v>
      </c>
      <c r="D21" s="2961">
        <f>'Chấm công công nhân'!AV23</f>
        <v>28</v>
      </c>
      <c r="E21" s="2953">
        <f t="shared" si="0"/>
        <v>500000</v>
      </c>
      <c r="F21" s="2953">
        <f t="shared" si="1"/>
        <v>20</v>
      </c>
      <c r="G21" s="2948"/>
      <c r="H21" s="2952" t="str">
        <f t="shared" si="2"/>
        <v>Thảo Phét</v>
      </c>
    </row>
    <row r="22" spans="1:8" ht="16.5">
      <c r="A22" s="2947">
        <v>12</v>
      </c>
      <c r="B22" s="2952" t="str">
        <f>'Chấm công công nhân'!L24</f>
        <v>Thảo Hăm</v>
      </c>
      <c r="C22" s="2947" t="s">
        <v>40</v>
      </c>
      <c r="D22" s="2961">
        <f>'Chấm công công nhân'!AV24</f>
        <v>28</v>
      </c>
      <c r="E22" s="2953">
        <f t="shared" si="0"/>
        <v>500000</v>
      </c>
      <c r="F22" s="2953">
        <f t="shared" si="1"/>
        <v>20</v>
      </c>
      <c r="G22" s="2948"/>
      <c r="H22" s="2952" t="str">
        <f t="shared" si="2"/>
        <v>Thảo Hăm</v>
      </c>
    </row>
    <row r="23" spans="1:8" ht="16.5">
      <c r="A23" s="2947">
        <v>13</v>
      </c>
      <c r="B23" s="2952" t="str">
        <f>'Chấm công công nhân'!L25</f>
        <v>Nang Lon</v>
      </c>
      <c r="C23" s="2947" t="s">
        <v>40</v>
      </c>
      <c r="D23" s="2961">
        <f>'Chấm công công nhân'!AV25</f>
        <v>29</v>
      </c>
      <c r="E23" s="2953">
        <f t="shared" si="0"/>
        <v>500000</v>
      </c>
      <c r="F23" s="2953">
        <f t="shared" si="1"/>
        <v>20</v>
      </c>
      <c r="G23" s="2948"/>
      <c r="H23" s="2952" t="str">
        <f t="shared" si="2"/>
        <v>Nang Lon</v>
      </c>
    </row>
    <row r="24" spans="1:8" ht="16.5">
      <c r="A24" s="2947">
        <v>14</v>
      </c>
      <c r="B24" s="2952" t="str">
        <f>'Chấm công công nhân'!L26</f>
        <v>Thảo Phết</v>
      </c>
      <c r="C24" s="2947" t="s">
        <v>40</v>
      </c>
      <c r="D24" s="2961">
        <f>'Chấm công công nhân'!AV26</f>
        <v>23</v>
      </c>
      <c r="E24" s="2953">
        <f t="shared" si="0"/>
        <v>300000</v>
      </c>
      <c r="F24" s="2953">
        <f t="shared" si="1"/>
        <v>12</v>
      </c>
      <c r="G24" s="2948"/>
      <c r="H24" s="2952" t="str">
        <f t="shared" si="2"/>
        <v>Thảo Phết</v>
      </c>
    </row>
    <row r="25" spans="1:8" ht="16.5">
      <c r="A25" s="2947">
        <v>15</v>
      </c>
      <c r="B25" s="2952" t="str">
        <f>'Chấm công công nhân'!L27</f>
        <v>Vĩ Lay</v>
      </c>
      <c r="C25" s="2947" t="s">
        <v>40</v>
      </c>
      <c r="D25" s="2961">
        <f>'Chấm công công nhân'!AV27</f>
        <v>31</v>
      </c>
      <c r="E25" s="2953">
        <f t="shared" si="0"/>
        <v>500000</v>
      </c>
      <c r="F25" s="2953">
        <f t="shared" si="1"/>
        <v>20</v>
      </c>
      <c r="G25" s="2948"/>
      <c r="H25" s="2952" t="str">
        <f t="shared" si="2"/>
        <v>Vĩ Lay</v>
      </c>
    </row>
    <row r="26" spans="1:8" ht="16.5">
      <c r="A26" s="2947">
        <v>16</v>
      </c>
      <c r="B26" s="2952" t="str">
        <f>'Chấm công công nhân'!L28</f>
        <v>Pha Xúc</v>
      </c>
      <c r="C26" s="2947" t="s">
        <v>40</v>
      </c>
      <c r="D26" s="2961">
        <f>'Chấm công công nhân'!AV28</f>
        <v>29</v>
      </c>
      <c r="E26" s="2953">
        <f t="shared" si="0"/>
        <v>500000</v>
      </c>
      <c r="F26" s="2953">
        <f t="shared" si="1"/>
        <v>20</v>
      </c>
      <c r="G26" s="2948"/>
      <c r="H26" s="2952" t="str">
        <f t="shared" si="2"/>
        <v>Pha Xúc</v>
      </c>
    </row>
    <row r="27" spans="1:8" ht="16.5">
      <c r="A27" s="2947">
        <v>17</v>
      </c>
      <c r="B27" s="2952" t="str">
        <f>'Chấm công công nhân'!L29</f>
        <v>Nàng Đao</v>
      </c>
      <c r="C27" s="2947" t="s">
        <v>40</v>
      </c>
      <c r="D27" s="2991">
        <f>'Chấm công công nhân'!AV29</f>
        <v>30</v>
      </c>
      <c r="E27" s="2953">
        <f t="shared" si="0"/>
        <v>500000</v>
      </c>
      <c r="F27" s="2953">
        <f t="shared" si="1"/>
        <v>20</v>
      </c>
      <c r="G27" s="2948"/>
      <c r="H27" s="2952" t="str">
        <f t="shared" si="2"/>
        <v>Nàng Đao</v>
      </c>
    </row>
    <row r="28" spans="1:8" ht="16.5">
      <c r="A28" s="2947">
        <v>18</v>
      </c>
      <c r="B28" s="2952" t="str">
        <f>'Chấm công công nhân'!L30</f>
        <v>Nàng Kiên</v>
      </c>
      <c r="C28" s="2947" t="s">
        <v>40</v>
      </c>
      <c r="D28" s="2991">
        <f>'Chấm công công nhân'!AV30</f>
        <v>29</v>
      </c>
      <c r="E28" s="2953">
        <f t="shared" si="0"/>
        <v>500000</v>
      </c>
      <c r="F28" s="2953">
        <f t="shared" si="1"/>
        <v>20</v>
      </c>
      <c r="G28" s="2948"/>
      <c r="H28" s="2952" t="str">
        <f t="shared" si="2"/>
        <v>Nàng Kiên</v>
      </c>
    </row>
    <row r="29" spans="1:8" ht="16.5">
      <c r="A29" s="2947">
        <v>19</v>
      </c>
      <c r="B29" s="2952" t="str">
        <f>'Chấm công công nhân'!L31</f>
        <v>Nàng Túc 2</v>
      </c>
      <c r="C29" s="2947" t="s">
        <v>40</v>
      </c>
      <c r="D29" s="2961">
        <f>'Chấm công công nhân'!AV31</f>
        <v>29</v>
      </c>
      <c r="E29" s="2953">
        <f t="shared" si="0"/>
        <v>500000</v>
      </c>
      <c r="F29" s="2953">
        <f t="shared" si="1"/>
        <v>20</v>
      </c>
      <c r="G29" s="2948"/>
      <c r="H29" s="2952" t="str">
        <f t="shared" si="2"/>
        <v>Nàng Túc 2</v>
      </c>
    </row>
    <row r="30" spans="1:8" ht="16.5">
      <c r="A30" s="2947">
        <v>20</v>
      </c>
      <c r="B30" s="2952" t="str">
        <f>'Chấm công công nhân'!L32</f>
        <v>Nàng Phon</v>
      </c>
      <c r="C30" s="2947" t="s">
        <v>40</v>
      </c>
      <c r="D30" s="2961">
        <f>'Chấm công công nhân'!AV32</f>
        <v>29</v>
      </c>
      <c r="E30" s="2953">
        <f t="shared" si="0"/>
        <v>500000</v>
      </c>
      <c r="F30" s="2953">
        <f t="shared" si="1"/>
        <v>20</v>
      </c>
      <c r="G30" s="2948"/>
      <c r="H30" s="2952" t="str">
        <f t="shared" si="2"/>
        <v>Nàng Phon</v>
      </c>
    </row>
    <row r="31" spans="1:8" ht="16.5">
      <c r="A31" s="2947">
        <v>21</v>
      </c>
      <c r="B31" s="2952" t="str">
        <f>'Chấm công công nhân'!L33</f>
        <v>Thảo Chòi</v>
      </c>
      <c r="C31" s="2947" t="s">
        <v>40</v>
      </c>
      <c r="D31" s="2961">
        <f>'Chấm công công nhân'!AV33</f>
        <v>30</v>
      </c>
      <c r="E31" s="2953">
        <f t="shared" si="0"/>
        <v>500000</v>
      </c>
      <c r="F31" s="2953">
        <f t="shared" si="1"/>
        <v>20</v>
      </c>
      <c r="G31" s="2948"/>
      <c r="H31" s="2952" t="str">
        <f t="shared" si="2"/>
        <v>Thảo Chòi</v>
      </c>
    </row>
    <row r="32" spans="1:8" ht="16.5">
      <c r="A32" s="2947">
        <v>22</v>
      </c>
      <c r="B32" s="2952" t="str">
        <f>'Chấm công công nhân'!L34</f>
        <v>Thong La</v>
      </c>
      <c r="C32" s="2947" t="s">
        <v>40</v>
      </c>
      <c r="D32" s="2961">
        <f>'Chấm công công nhân'!AV34</f>
        <v>31</v>
      </c>
      <c r="E32" s="2953">
        <f t="shared" si="0"/>
        <v>500000</v>
      </c>
      <c r="F32" s="2953">
        <f t="shared" si="1"/>
        <v>20</v>
      </c>
      <c r="G32" s="2948"/>
      <c r="H32" s="2952" t="str">
        <f t="shared" si="2"/>
        <v>Thong La</v>
      </c>
    </row>
    <row r="33" spans="1:8" ht="16.5">
      <c r="A33" s="2947">
        <v>23</v>
      </c>
      <c r="B33" s="2952" t="str">
        <f>'Chấm công công nhân'!L35</f>
        <v>Thảo kok</v>
      </c>
      <c r="C33" s="2947" t="s">
        <v>40</v>
      </c>
      <c r="D33" s="2961">
        <f>'Chấm công công nhân'!AV35</f>
        <v>29</v>
      </c>
      <c r="E33" s="2953">
        <f t="shared" si="0"/>
        <v>500000</v>
      </c>
      <c r="F33" s="2953">
        <f t="shared" si="1"/>
        <v>20</v>
      </c>
      <c r="G33" s="2948"/>
      <c r="H33" s="2952" t="str">
        <f t="shared" si="2"/>
        <v>Thảo kok</v>
      </c>
    </row>
    <row r="34" spans="1:8" ht="16.5">
      <c r="A34" s="2947">
        <v>24</v>
      </c>
      <c r="B34" s="2952" t="str">
        <f>'Chấm công công nhân'!L36</f>
        <v>Thảo Hôm</v>
      </c>
      <c r="C34" s="2947" t="s">
        <v>40</v>
      </c>
      <c r="D34" s="2991">
        <f>'Chấm công công nhân'!AV36</f>
        <v>19</v>
      </c>
      <c r="E34" s="2953">
        <f t="shared" si="0"/>
        <v>300000</v>
      </c>
      <c r="F34" s="2953">
        <f t="shared" si="1"/>
        <v>12</v>
      </c>
      <c r="G34" s="2948"/>
      <c r="H34" s="2952" t="str">
        <f t="shared" si="2"/>
        <v>Thảo Hôm</v>
      </c>
    </row>
    <row r="35" spans="1:8" ht="16.5">
      <c r="A35" s="2947">
        <v>25</v>
      </c>
      <c r="B35" s="2952" t="str">
        <f>'Chấm công công nhân'!L37</f>
        <v>Nàng Lam</v>
      </c>
      <c r="C35" s="2947" t="s">
        <v>40</v>
      </c>
      <c r="D35" s="2961">
        <f>'Chấm công công nhân'!AV37</f>
        <v>19</v>
      </c>
      <c r="E35" s="2953">
        <f t="shared" si="0"/>
        <v>300000</v>
      </c>
      <c r="F35" s="2953">
        <f t="shared" si="1"/>
        <v>12</v>
      </c>
      <c r="G35" s="2948"/>
      <c r="H35" s="2952" t="str">
        <f t="shared" si="2"/>
        <v>Nàng Lam</v>
      </c>
    </row>
    <row r="36" spans="1:8" ht="16.5">
      <c r="A36" s="2947">
        <v>26</v>
      </c>
      <c r="B36" s="2952" t="str">
        <f>'Chấm công công nhân'!L38</f>
        <v>Thảo Hơ Phơ</v>
      </c>
      <c r="C36" s="2947" t="s">
        <v>40</v>
      </c>
      <c r="D36" s="2961">
        <f>'Chấm công công nhân'!AV38</f>
        <v>21</v>
      </c>
      <c r="E36" s="2953">
        <f t="shared" si="0"/>
        <v>300000</v>
      </c>
      <c r="F36" s="2953">
        <f t="shared" si="1"/>
        <v>12</v>
      </c>
      <c r="G36" s="2948"/>
      <c r="H36" s="2952" t="str">
        <f t="shared" si="2"/>
        <v>Thảo Hơ Phơ</v>
      </c>
    </row>
    <row r="37" spans="1:8" ht="16.5">
      <c r="A37" s="2947">
        <v>27</v>
      </c>
      <c r="B37" s="2952" t="str">
        <f>'Chấm công công nhân'!L39</f>
        <v>Thảo Lay</v>
      </c>
      <c r="C37" s="2947" t="s">
        <v>40</v>
      </c>
      <c r="D37" s="2961">
        <f>'Chấm công công nhân'!AV39</f>
        <v>31</v>
      </c>
      <c r="E37" s="2953">
        <f t="shared" si="0"/>
        <v>500000</v>
      </c>
      <c r="F37" s="2953">
        <f t="shared" si="1"/>
        <v>20</v>
      </c>
      <c r="G37" s="2948"/>
      <c r="H37" s="2952" t="str">
        <f t="shared" si="2"/>
        <v>Thảo Lay</v>
      </c>
    </row>
    <row r="38" spans="1:8" ht="16.5">
      <c r="A38" s="2947">
        <v>28</v>
      </c>
      <c r="B38" s="2952" t="str">
        <f>'Chấm công công nhân'!L40</f>
        <v>Thảo Khốc</v>
      </c>
      <c r="C38" s="2947" t="s">
        <v>40</v>
      </c>
      <c r="D38" s="2961">
        <f>'Chấm công công nhân'!AV40</f>
        <v>23</v>
      </c>
      <c r="E38" s="2953">
        <f t="shared" si="0"/>
        <v>300000</v>
      </c>
      <c r="F38" s="2953">
        <f t="shared" si="1"/>
        <v>12</v>
      </c>
      <c r="G38" s="2948"/>
      <c r="H38" s="2952" t="str">
        <f t="shared" si="2"/>
        <v>Thảo Khốc</v>
      </c>
    </row>
    <row r="39" spans="1:8" ht="16.5">
      <c r="A39" s="2947">
        <v>29</v>
      </c>
      <c r="B39" s="2952" t="str">
        <f>'Chấm công công nhân'!L41</f>
        <v>Thảo Sợt</v>
      </c>
      <c r="C39" s="2947" t="s">
        <v>40</v>
      </c>
      <c r="D39" s="2961">
        <f>'Chấm công công nhân'!AV41</f>
        <v>23</v>
      </c>
      <c r="E39" s="2953">
        <f t="shared" si="0"/>
        <v>300000</v>
      </c>
      <c r="F39" s="2953">
        <f t="shared" si="1"/>
        <v>12</v>
      </c>
      <c r="G39" s="2948"/>
      <c r="H39" s="2952" t="str">
        <f t="shared" si="2"/>
        <v>Thảo Sợt</v>
      </c>
    </row>
    <row r="40" spans="1:8" ht="16.5">
      <c r="A40" s="2947">
        <v>30</v>
      </c>
      <c r="B40" s="2952" t="str">
        <f>'Chấm công công nhân'!L42</f>
        <v>Thảo Văn</v>
      </c>
      <c r="C40" s="2947" t="s">
        <v>40</v>
      </c>
      <c r="D40" s="2961">
        <f>'Chấm công công nhân'!AV42</f>
        <v>28</v>
      </c>
      <c r="E40" s="2953">
        <f t="shared" si="0"/>
        <v>500000</v>
      </c>
      <c r="F40" s="2953">
        <f t="shared" si="1"/>
        <v>20</v>
      </c>
      <c r="G40" s="2948"/>
      <c r="H40" s="2952" t="str">
        <f t="shared" si="2"/>
        <v>Thảo Văn</v>
      </c>
    </row>
    <row r="41" spans="1:8" ht="16.5">
      <c r="A41" s="2947">
        <v>31</v>
      </c>
      <c r="B41" s="2952" t="str">
        <f>'Chấm công công nhân'!L43</f>
        <v>Thảo Thong</v>
      </c>
      <c r="C41" s="2947" t="s">
        <v>40</v>
      </c>
      <c r="D41" s="2961">
        <f>'Chấm công công nhân'!AV43</f>
        <v>25</v>
      </c>
      <c r="E41" s="2953">
        <f t="shared" si="0"/>
        <v>500000</v>
      </c>
      <c r="F41" s="2953">
        <f t="shared" si="1"/>
        <v>20</v>
      </c>
      <c r="G41" s="2948"/>
      <c r="H41" s="2952" t="str">
        <f t="shared" si="2"/>
        <v>Thảo Thong</v>
      </c>
    </row>
    <row r="42" spans="1:8" ht="16.5">
      <c r="A42" s="2947">
        <v>32</v>
      </c>
      <c r="B42" s="2952" t="str">
        <f>'Chấm công công nhân'!L44</f>
        <v xml:space="preserve"> Nàng Ngột</v>
      </c>
      <c r="C42" s="2947" t="s">
        <v>40</v>
      </c>
      <c r="D42" s="2961">
        <f>'Chấm công công nhân'!AV44</f>
        <v>25</v>
      </c>
      <c r="E42" s="2953">
        <f t="shared" si="0"/>
        <v>500000</v>
      </c>
      <c r="F42" s="2953">
        <f t="shared" si="1"/>
        <v>20</v>
      </c>
      <c r="G42" s="2948"/>
      <c r="H42" s="2952" t="str">
        <f t="shared" si="2"/>
        <v xml:space="preserve"> Nàng Ngột</v>
      </c>
    </row>
    <row r="43" spans="1:8" ht="16.5">
      <c r="A43" s="2947">
        <v>33</v>
      </c>
      <c r="B43" s="2952" t="str">
        <f>'Chấm công công nhân'!L45</f>
        <v>Nàng Chon</v>
      </c>
      <c r="C43" s="2947" t="s">
        <v>40</v>
      </c>
      <c r="D43" s="2961">
        <f>'Chấm công công nhân'!AV45</f>
        <v>21</v>
      </c>
      <c r="E43" s="2953">
        <f t="shared" si="0"/>
        <v>300000</v>
      </c>
      <c r="F43" s="2953">
        <f t="shared" si="1"/>
        <v>12</v>
      </c>
      <c r="G43" s="2948"/>
      <c r="H43" s="2952" t="str">
        <f t="shared" si="2"/>
        <v>Nàng Chon</v>
      </c>
    </row>
    <row r="44" spans="1:8" ht="16.5">
      <c r="A44" s="2947">
        <v>34</v>
      </c>
      <c r="B44" s="2952" t="str">
        <f>'Chấm công công nhân'!L46</f>
        <v>Bun han</v>
      </c>
      <c r="C44" s="2947" t="s">
        <v>40</v>
      </c>
      <c r="D44" s="2961">
        <f>'Chấm công công nhân'!AV46</f>
        <v>26</v>
      </c>
      <c r="E44" s="2953">
        <f t="shared" si="0"/>
        <v>500000</v>
      </c>
      <c r="F44" s="2953">
        <f t="shared" si="1"/>
        <v>20</v>
      </c>
      <c r="G44" s="2948"/>
      <c r="H44" s="2952" t="str">
        <f t="shared" si="2"/>
        <v>Bun han</v>
      </c>
    </row>
    <row r="45" spans="1:8" ht="16.5">
      <c r="A45" s="2947">
        <v>35</v>
      </c>
      <c r="B45" s="2952" t="str">
        <f>'Chấm công công nhân'!L47</f>
        <v>Hăn</v>
      </c>
      <c r="C45" s="2947" t="s">
        <v>40</v>
      </c>
      <c r="D45" s="2961">
        <f>'Chấm công công nhân'!AV47</f>
        <v>25</v>
      </c>
      <c r="E45" s="2953">
        <f t="shared" si="0"/>
        <v>500000</v>
      </c>
      <c r="F45" s="2953">
        <f t="shared" si="1"/>
        <v>20</v>
      </c>
      <c r="G45" s="2948"/>
      <c r="H45" s="2952" t="str">
        <f t="shared" si="2"/>
        <v>Hăn</v>
      </c>
    </row>
    <row r="46" spans="1:8" ht="16.5">
      <c r="A46" s="2947">
        <v>36</v>
      </c>
      <c r="B46" s="2952" t="str">
        <f>'Chấm công công nhân'!L48</f>
        <v>Thảo Tuỳ</v>
      </c>
      <c r="C46" s="2947" t="s">
        <v>40</v>
      </c>
      <c r="D46" s="2961">
        <f>'Chấm công công nhân'!AV48</f>
        <v>31</v>
      </c>
      <c r="E46" s="2953">
        <f t="shared" si="0"/>
        <v>500000</v>
      </c>
      <c r="F46" s="2953">
        <f t="shared" si="1"/>
        <v>20</v>
      </c>
      <c r="G46" s="2948"/>
      <c r="H46" s="2952" t="str">
        <f t="shared" si="2"/>
        <v>Thảo Tuỳ</v>
      </c>
    </row>
    <row r="47" spans="1:8" ht="15.75">
      <c r="A47" s="4060" t="s">
        <v>322</v>
      </c>
      <c r="B47" s="4060"/>
      <c r="C47" s="4060"/>
      <c r="D47" s="2951">
        <f>SUM(D48:D62)</f>
        <v>449</v>
      </c>
      <c r="E47" s="2951">
        <f>SUM(E48:E62)</f>
        <v>7500000</v>
      </c>
      <c r="F47" s="2951">
        <f>SUM(F48:F62)</f>
        <v>300</v>
      </c>
      <c r="G47" s="2948"/>
      <c r="H47" s="2948"/>
    </row>
    <row r="48" spans="1:8" ht="16.5">
      <c r="A48" s="2947">
        <v>1</v>
      </c>
      <c r="B48" s="2952" t="str">
        <f>'Chấm công công nhân'!L50</f>
        <v>Thảo tít</v>
      </c>
      <c r="C48" s="2947" t="s">
        <v>40</v>
      </c>
      <c r="D48" s="2961">
        <f>'Chấm công công nhân'!AV50</f>
        <v>30</v>
      </c>
      <c r="E48" s="2953">
        <f t="shared" ref="E48:E62" si="3">IF(D48&gt;=25,500000,IF(D48&lt;=24,300000,0))</f>
        <v>500000</v>
      </c>
      <c r="F48" s="2953">
        <f>E48/25000</f>
        <v>20</v>
      </c>
      <c r="G48" s="2948"/>
      <c r="H48" s="2952" t="str">
        <f t="shared" ref="H48:H62" si="4">B48</f>
        <v>Thảo tít</v>
      </c>
    </row>
    <row r="49" spans="1:8" ht="16.5">
      <c r="A49" s="2947">
        <v>2</v>
      </c>
      <c r="B49" s="2952" t="str">
        <f>'Chấm công công nhân'!L51</f>
        <v>Thảo ớt</v>
      </c>
      <c r="C49" s="2947" t="s">
        <v>40</v>
      </c>
      <c r="D49" s="2961">
        <f>'Chấm công công nhân'!AV51</f>
        <v>31</v>
      </c>
      <c r="E49" s="2953">
        <f t="shared" si="3"/>
        <v>500000</v>
      </c>
      <c r="F49" s="2953">
        <f t="shared" ref="F49:F78" si="5">E49/25000</f>
        <v>20</v>
      </c>
      <c r="G49" s="2948"/>
      <c r="H49" s="2952" t="str">
        <f t="shared" si="4"/>
        <v>Thảo ớt</v>
      </c>
    </row>
    <row r="50" spans="1:8" ht="16.5">
      <c r="A50" s="2947">
        <v>3</v>
      </c>
      <c r="B50" s="2952" t="str">
        <f>'Chấm công công nhân'!L52</f>
        <v>Nàng Ọt</v>
      </c>
      <c r="C50" s="2947" t="s">
        <v>40</v>
      </c>
      <c r="D50" s="2961">
        <f>'Chấm công công nhân'!AV52</f>
        <v>31</v>
      </c>
      <c r="E50" s="2953">
        <f t="shared" si="3"/>
        <v>500000</v>
      </c>
      <c r="F50" s="2953">
        <f t="shared" si="5"/>
        <v>20</v>
      </c>
      <c r="G50" s="2948"/>
      <c r="H50" s="2952" t="str">
        <f t="shared" si="4"/>
        <v>Nàng Ọt</v>
      </c>
    </row>
    <row r="51" spans="1:8" ht="16.5">
      <c r="A51" s="2947">
        <v>4</v>
      </c>
      <c r="B51" s="2952" t="str">
        <f>'Chấm công công nhân'!L53</f>
        <v>Thào Tòng</v>
      </c>
      <c r="C51" s="2947" t="s">
        <v>40</v>
      </c>
      <c r="D51" s="2961">
        <f>'Chấm công công nhân'!AV53</f>
        <v>31</v>
      </c>
      <c r="E51" s="2953">
        <f t="shared" si="3"/>
        <v>500000</v>
      </c>
      <c r="F51" s="2953">
        <f t="shared" si="5"/>
        <v>20</v>
      </c>
      <c r="G51" s="2948"/>
      <c r="H51" s="2952" t="str">
        <f t="shared" si="4"/>
        <v>Thào Tòng</v>
      </c>
    </row>
    <row r="52" spans="1:8" ht="16.5">
      <c r="A52" s="2947">
        <v>5</v>
      </c>
      <c r="B52" s="2952" t="str">
        <f>'Chấm công công nhân'!L54</f>
        <v>Nàng Nơm</v>
      </c>
      <c r="C52" s="2947" t="s">
        <v>40</v>
      </c>
      <c r="D52" s="2961">
        <f>'Chấm công công nhân'!AV54</f>
        <v>31</v>
      </c>
      <c r="E52" s="2953">
        <f t="shared" si="3"/>
        <v>500000</v>
      </c>
      <c r="F52" s="2953">
        <f t="shared" si="5"/>
        <v>20</v>
      </c>
      <c r="G52" s="2948"/>
      <c r="H52" s="2952" t="str">
        <f t="shared" si="4"/>
        <v>Nàng Nơm</v>
      </c>
    </row>
    <row r="53" spans="1:8" ht="16.5">
      <c r="A53" s="2947">
        <v>6</v>
      </c>
      <c r="B53" s="2952" t="str">
        <f>'Chấm công công nhân'!L55</f>
        <v>Thảo Ây</v>
      </c>
      <c r="C53" s="2947" t="s">
        <v>40</v>
      </c>
      <c r="D53" s="2961">
        <f>'Chấm công công nhân'!AV55</f>
        <v>31</v>
      </c>
      <c r="E53" s="2953">
        <f t="shared" si="3"/>
        <v>500000</v>
      </c>
      <c r="F53" s="2953">
        <f t="shared" si="5"/>
        <v>20</v>
      </c>
      <c r="G53" s="2948"/>
      <c r="H53" s="2952" t="str">
        <f t="shared" si="4"/>
        <v>Thảo Ây</v>
      </c>
    </row>
    <row r="54" spans="1:8" ht="16.5">
      <c r="A54" s="2947">
        <v>7</v>
      </c>
      <c r="B54" s="2952" t="str">
        <f>'Chấm công công nhân'!L56</f>
        <v>Thảo Âm Thong</v>
      </c>
      <c r="C54" s="2947" t="s">
        <v>40</v>
      </c>
      <c r="D54" s="2961">
        <f>'Chấm công công nhân'!AV56</f>
        <v>27</v>
      </c>
      <c r="E54" s="2953">
        <f t="shared" si="3"/>
        <v>500000</v>
      </c>
      <c r="F54" s="2953">
        <f t="shared" si="5"/>
        <v>20</v>
      </c>
      <c r="G54" s="2948"/>
      <c r="H54" s="2952" t="str">
        <f t="shared" si="4"/>
        <v>Thảo Âm Thong</v>
      </c>
    </row>
    <row r="55" spans="1:8" ht="16.5">
      <c r="A55" s="2947">
        <v>8</v>
      </c>
      <c r="B55" s="2952" t="str">
        <f>'Chấm công công nhân'!L57</f>
        <v>Nàng phon</v>
      </c>
      <c r="C55" s="2947" t="s">
        <v>40</v>
      </c>
      <c r="D55" s="2961">
        <f>'Chấm công công nhân'!AV57</f>
        <v>28</v>
      </c>
      <c r="E55" s="2953">
        <f t="shared" si="3"/>
        <v>500000</v>
      </c>
      <c r="F55" s="2953">
        <f t="shared" si="5"/>
        <v>20</v>
      </c>
      <c r="G55" s="2948"/>
      <c r="H55" s="2952" t="str">
        <f t="shared" si="4"/>
        <v>Nàng phon</v>
      </c>
    </row>
    <row r="56" spans="1:8" ht="16.5">
      <c r="A56" s="2947">
        <v>9</v>
      </c>
      <c r="B56" s="2952" t="str">
        <f>'Chấm công công nhân'!L58</f>
        <v>Thảo phắt</v>
      </c>
      <c r="C56" s="2947" t="s">
        <v>40</v>
      </c>
      <c r="D56" s="2961">
        <f>'Chấm công công nhân'!AV58</f>
        <v>31</v>
      </c>
      <c r="E56" s="2953">
        <f t="shared" si="3"/>
        <v>500000</v>
      </c>
      <c r="F56" s="2953">
        <f t="shared" si="5"/>
        <v>20</v>
      </c>
      <c r="G56" s="2948"/>
      <c r="H56" s="2952" t="str">
        <f t="shared" si="4"/>
        <v>Thảo phắt</v>
      </c>
    </row>
    <row r="57" spans="1:8" ht="16.5">
      <c r="A57" s="2947">
        <v>10</v>
      </c>
      <c r="B57" s="2952" t="str">
        <f>'Chấm công công nhân'!L59</f>
        <v>Thảo Phon Say</v>
      </c>
      <c r="C57" s="2947" t="s">
        <v>40</v>
      </c>
      <c r="D57" s="2961">
        <f>'Chấm công công nhân'!AV59</f>
        <v>31</v>
      </c>
      <c r="E57" s="2953">
        <f t="shared" si="3"/>
        <v>500000</v>
      </c>
      <c r="F57" s="2953">
        <f t="shared" si="5"/>
        <v>20</v>
      </c>
      <c r="G57" s="2948"/>
      <c r="H57" s="2952" t="str">
        <f t="shared" si="4"/>
        <v>Thảo Phon Say</v>
      </c>
    </row>
    <row r="58" spans="1:8" ht="16.5">
      <c r="A58" s="2947">
        <v>11</v>
      </c>
      <c r="B58" s="2952" t="str">
        <f>'Chấm công công nhân'!L60</f>
        <v>Nàng Pít</v>
      </c>
      <c r="C58" s="2947" t="s">
        <v>40</v>
      </c>
      <c r="D58" s="2961">
        <f>'Chấm công công nhân'!AV60</f>
        <v>30</v>
      </c>
      <c r="E58" s="2953">
        <f t="shared" si="3"/>
        <v>500000</v>
      </c>
      <c r="F58" s="2953">
        <f t="shared" si="5"/>
        <v>20</v>
      </c>
      <c r="G58" s="2948"/>
      <c r="H58" s="2952" t="str">
        <f t="shared" si="4"/>
        <v>Nàng Pít</v>
      </c>
    </row>
    <row r="59" spans="1:8" ht="16.5">
      <c r="A59" s="2947">
        <v>12</v>
      </c>
      <c r="B59" s="2952" t="str">
        <f>'Chấm công công nhân'!L61</f>
        <v>Thảo út</v>
      </c>
      <c r="C59" s="2947" t="s">
        <v>40</v>
      </c>
      <c r="D59" s="2961">
        <f>'Chấm công công nhân'!AV61</f>
        <v>31</v>
      </c>
      <c r="E59" s="2953">
        <f t="shared" si="3"/>
        <v>500000</v>
      </c>
      <c r="F59" s="2953">
        <f t="shared" si="5"/>
        <v>20</v>
      </c>
      <c r="G59" s="2948"/>
      <c r="H59" s="2952" t="str">
        <f t="shared" si="4"/>
        <v>Thảo út</v>
      </c>
    </row>
    <row r="60" spans="1:8" ht="16.5">
      <c r="A60" s="2947">
        <v>13</v>
      </c>
      <c r="B60" s="2952" t="str">
        <f>'Chấm công công nhân'!L62</f>
        <v>Nàng ăm</v>
      </c>
      <c r="C60" s="2947" t="s">
        <v>40</v>
      </c>
      <c r="D60" s="2961">
        <f>'Chấm công công nhân'!AV62</f>
        <v>27</v>
      </c>
      <c r="E60" s="2953">
        <f t="shared" si="3"/>
        <v>500000</v>
      </c>
      <c r="F60" s="2953">
        <f t="shared" si="5"/>
        <v>20</v>
      </c>
      <c r="G60" s="2948"/>
      <c r="H60" s="2952" t="str">
        <f t="shared" si="4"/>
        <v>Nàng ăm</v>
      </c>
    </row>
    <row r="61" spans="1:8" ht="16.5">
      <c r="A61" s="2947">
        <v>14</v>
      </c>
      <c r="B61" s="2952" t="str">
        <f>'Chấm công công nhân'!L63</f>
        <v>Nàng Phìn</v>
      </c>
      <c r="C61" s="2947" t="s">
        <v>40</v>
      </c>
      <c r="D61" s="2961">
        <f>'Chấm công công nhân'!AV63</f>
        <v>31</v>
      </c>
      <c r="E61" s="2953">
        <f t="shared" si="3"/>
        <v>500000</v>
      </c>
      <c r="F61" s="2953">
        <f t="shared" si="5"/>
        <v>20</v>
      </c>
      <c r="G61" s="2948"/>
      <c r="H61" s="2952" t="str">
        <f t="shared" si="4"/>
        <v>Nàng Phìn</v>
      </c>
    </row>
    <row r="62" spans="1:8" ht="16.5">
      <c r="A62" s="2947">
        <v>15</v>
      </c>
      <c r="B62" s="2952" t="str">
        <f>'Chấm công công nhân'!L64</f>
        <v>May</v>
      </c>
      <c r="C62" s="2947" t="s">
        <v>40</v>
      </c>
      <c r="D62" s="2961">
        <f>'Chấm công công nhân'!AV64</f>
        <v>28</v>
      </c>
      <c r="E62" s="2953">
        <f t="shared" si="3"/>
        <v>500000</v>
      </c>
      <c r="F62" s="2953">
        <f t="shared" si="5"/>
        <v>20</v>
      </c>
      <c r="G62" s="2948"/>
      <c r="H62" s="2952" t="str">
        <f t="shared" si="4"/>
        <v>May</v>
      </c>
    </row>
    <row r="63" spans="1:8" ht="15.75">
      <c r="A63" s="4060" t="s">
        <v>371</v>
      </c>
      <c r="B63" s="4060"/>
      <c r="C63" s="4060"/>
      <c r="D63" s="2951">
        <f>SUM(D64:D78)</f>
        <v>325</v>
      </c>
      <c r="E63" s="2951">
        <f>SUM(E64:E78)</f>
        <v>5700000</v>
      </c>
      <c r="F63" s="2951">
        <f>SUM(F64:F78)</f>
        <v>228</v>
      </c>
      <c r="G63" s="2948"/>
      <c r="H63" s="2948"/>
    </row>
    <row r="64" spans="1:8" ht="16.5">
      <c r="A64" s="2947">
        <v>1</v>
      </c>
      <c r="B64" s="2952" t="str">
        <f>'Chấm công công nhân'!L66</f>
        <v>Phò Đăm</v>
      </c>
      <c r="C64" s="2947" t="s">
        <v>40</v>
      </c>
      <c r="D64" s="2962">
        <f>'Chấm công công nhân'!AV66</f>
        <v>20</v>
      </c>
      <c r="E64" s="2953">
        <f t="shared" ref="E64:E78" si="6">IF(D64&gt;=25,500000,IF(D64&lt;=24,300000,0))</f>
        <v>300000</v>
      </c>
      <c r="F64" s="2953">
        <f t="shared" si="5"/>
        <v>12</v>
      </c>
      <c r="G64" s="2948"/>
      <c r="H64" s="2952" t="str">
        <f t="shared" ref="H64:H78" si="7">B64</f>
        <v>Phò Đăm</v>
      </c>
    </row>
    <row r="65" spans="1:11" ht="16.5">
      <c r="A65" s="2947">
        <v>2</v>
      </c>
      <c r="B65" s="2952" t="str">
        <f>'Chấm công công nhân'!L67</f>
        <v>Thảo Mai</v>
      </c>
      <c r="C65" s="2947" t="s">
        <v>40</v>
      </c>
      <c r="D65" s="2962">
        <f>'Chấm công công nhân'!AV67</f>
        <v>7</v>
      </c>
      <c r="E65" s="2953">
        <f t="shared" si="6"/>
        <v>300000</v>
      </c>
      <c r="F65" s="2953">
        <f t="shared" si="5"/>
        <v>12</v>
      </c>
      <c r="G65" s="2948"/>
      <c r="H65" s="2952" t="str">
        <f t="shared" si="7"/>
        <v>Thảo Mai</v>
      </c>
    </row>
    <row r="66" spans="1:11" ht="16.5">
      <c r="A66" s="2947">
        <v>3</v>
      </c>
      <c r="B66" s="2952" t="str">
        <f>'Chấm công công nhân'!L68</f>
        <v>Thảo Tưng</v>
      </c>
      <c r="C66" s="2947" t="s">
        <v>40</v>
      </c>
      <c r="D66" s="2962">
        <f>'Chấm công công nhân'!AV68</f>
        <v>21</v>
      </c>
      <c r="E66" s="2953">
        <f t="shared" si="6"/>
        <v>300000</v>
      </c>
      <c r="F66" s="2953">
        <f t="shared" si="5"/>
        <v>12</v>
      </c>
      <c r="G66" s="2948"/>
      <c r="H66" s="2952" t="str">
        <f t="shared" si="7"/>
        <v>Thảo Tưng</v>
      </c>
    </row>
    <row r="67" spans="1:11" ht="16.5">
      <c r="A67" s="2947">
        <v>4</v>
      </c>
      <c r="B67" s="2952" t="str">
        <f>'Chấm công công nhân'!L69</f>
        <v>Thảo Xay</v>
      </c>
      <c r="C67" s="2947" t="s">
        <v>40</v>
      </c>
      <c r="D67" s="2962">
        <f>'Chấm công công nhân'!AV69</f>
        <v>25</v>
      </c>
      <c r="E67" s="2953">
        <f t="shared" si="6"/>
        <v>500000</v>
      </c>
      <c r="F67" s="2953">
        <f t="shared" si="5"/>
        <v>20</v>
      </c>
      <c r="G67" s="2948"/>
      <c r="H67" s="2952" t="str">
        <f t="shared" si="7"/>
        <v>Thảo Xay</v>
      </c>
    </row>
    <row r="68" spans="1:11" ht="16.5">
      <c r="A68" s="2947">
        <v>5</v>
      </c>
      <c r="B68" s="2952" t="str">
        <f>'Chấm công công nhân'!L70</f>
        <v>Nàng Nọi</v>
      </c>
      <c r="C68" s="2947" t="s">
        <v>40</v>
      </c>
      <c r="D68" s="2962">
        <f>'Chấm công công nhân'!AV70</f>
        <v>21</v>
      </c>
      <c r="E68" s="2953">
        <f t="shared" si="6"/>
        <v>300000</v>
      </c>
      <c r="F68" s="2953">
        <f t="shared" si="5"/>
        <v>12</v>
      </c>
      <c r="G68" s="2948"/>
      <c r="H68" s="2952" t="str">
        <f t="shared" si="7"/>
        <v>Nàng Nọi</v>
      </c>
    </row>
    <row r="69" spans="1:11" ht="16.5">
      <c r="A69" s="2947">
        <v>6</v>
      </c>
      <c r="B69" s="2952" t="str">
        <f>'Chấm công công nhân'!L71</f>
        <v>Thảo Đăm</v>
      </c>
      <c r="C69" s="2947" t="s">
        <v>40</v>
      </c>
      <c r="D69" s="2962">
        <f>'Chấm công công nhân'!AV71</f>
        <v>22</v>
      </c>
      <c r="E69" s="2953">
        <f t="shared" si="6"/>
        <v>300000</v>
      </c>
      <c r="F69" s="2953">
        <f t="shared" si="5"/>
        <v>12</v>
      </c>
      <c r="G69" s="2948"/>
      <c r="H69" s="2952" t="str">
        <f t="shared" si="7"/>
        <v>Thảo Đăm</v>
      </c>
    </row>
    <row r="70" spans="1:11" ht="16.5">
      <c r="A70" s="2947">
        <v>7</v>
      </c>
      <c r="B70" s="2952" t="str">
        <f>'Chấm công công nhân'!L72</f>
        <v>Thảo chăn</v>
      </c>
      <c r="C70" s="2947" t="s">
        <v>40</v>
      </c>
      <c r="D70" s="2962">
        <f>'Chấm công công nhân'!AV72</f>
        <v>26</v>
      </c>
      <c r="E70" s="2953">
        <f t="shared" si="6"/>
        <v>500000</v>
      </c>
      <c r="F70" s="2953">
        <f t="shared" si="5"/>
        <v>20</v>
      </c>
      <c r="G70" s="2948"/>
      <c r="H70" s="2952" t="str">
        <f t="shared" si="7"/>
        <v>Thảo chăn</v>
      </c>
    </row>
    <row r="71" spans="1:11" ht="16.5">
      <c r="A71" s="2947">
        <v>8</v>
      </c>
      <c r="B71" s="2952" t="str">
        <f>'Chấm công công nhân'!L73</f>
        <v>Hồ Văn Tăng</v>
      </c>
      <c r="C71" s="2947" t="s">
        <v>40</v>
      </c>
      <c r="D71" s="2962">
        <f>'Chấm công công nhân'!AV73</f>
        <v>21</v>
      </c>
      <c r="E71" s="2953">
        <f t="shared" si="6"/>
        <v>300000</v>
      </c>
      <c r="F71" s="2953">
        <f t="shared" si="5"/>
        <v>12</v>
      </c>
      <c r="G71" s="2948"/>
      <c r="H71" s="2952" t="str">
        <f t="shared" si="7"/>
        <v>Hồ Văn Tăng</v>
      </c>
    </row>
    <row r="72" spans="1:11" ht="16.5">
      <c r="A72" s="2947">
        <v>9</v>
      </c>
      <c r="B72" s="2952" t="str">
        <f>'Chấm công công nhân'!L74</f>
        <v>Hồ Văn Khoa</v>
      </c>
      <c r="C72" s="2947" t="s">
        <v>40</v>
      </c>
      <c r="D72" s="2962">
        <f>'Chấm công công nhân'!AV74</f>
        <v>20</v>
      </c>
      <c r="E72" s="2953">
        <f t="shared" si="6"/>
        <v>300000</v>
      </c>
      <c r="F72" s="2953">
        <f t="shared" si="5"/>
        <v>12</v>
      </c>
      <c r="G72" s="2948"/>
      <c r="H72" s="2952" t="str">
        <f t="shared" si="7"/>
        <v>Hồ Văn Khoa</v>
      </c>
      <c r="K72" s="547">
        <f>8*300</f>
        <v>2400</v>
      </c>
    </row>
    <row r="73" spans="1:11" ht="16.5">
      <c r="A73" s="2947">
        <v>10</v>
      </c>
      <c r="B73" s="2952" t="str">
        <f>'Chấm công công nhân'!L75</f>
        <v>Hồ Xa My</v>
      </c>
      <c r="C73" s="2947" t="s">
        <v>40</v>
      </c>
      <c r="D73" s="2962">
        <f>'Chấm công công nhân'!AV75</f>
        <v>21</v>
      </c>
      <c r="E73" s="2953">
        <f t="shared" si="6"/>
        <v>300000</v>
      </c>
      <c r="F73" s="2953">
        <f t="shared" si="5"/>
        <v>12</v>
      </c>
      <c r="G73" s="2948"/>
      <c r="H73" s="2952" t="str">
        <f t="shared" si="7"/>
        <v>Hồ Xa My</v>
      </c>
    </row>
    <row r="74" spans="1:11" ht="16.5">
      <c r="A74" s="2947">
        <v>11</v>
      </c>
      <c r="B74" s="2952" t="str">
        <f>'Chấm công công nhân'!L76</f>
        <v>Thảo lay</v>
      </c>
      <c r="C74" s="2947" t="s">
        <v>40</v>
      </c>
      <c r="D74" s="2992">
        <f>'Chấm công công nhân'!AV76</f>
        <v>16</v>
      </c>
      <c r="E74" s="2953">
        <f t="shared" si="6"/>
        <v>300000</v>
      </c>
      <c r="F74" s="2953">
        <f t="shared" si="5"/>
        <v>12</v>
      </c>
      <c r="G74" s="2948"/>
      <c r="H74" s="2952" t="str">
        <f t="shared" si="7"/>
        <v>Thảo lay</v>
      </c>
      <c r="K74" s="547">
        <f>57*500</f>
        <v>28500</v>
      </c>
    </row>
    <row r="75" spans="1:11" ht="16.5">
      <c r="A75" s="2947">
        <v>12</v>
      </c>
      <c r="B75" s="2952" t="str">
        <f>'Chấm công công nhân'!L77</f>
        <v>Thảo khên</v>
      </c>
      <c r="C75" s="2947" t="s">
        <v>40</v>
      </c>
      <c r="D75" s="2992">
        <f>'Chấm công công nhân'!AV77</f>
        <v>27</v>
      </c>
      <c r="E75" s="2953">
        <f t="shared" si="6"/>
        <v>500000</v>
      </c>
      <c r="F75" s="2953">
        <f t="shared" si="5"/>
        <v>20</v>
      </c>
      <c r="G75" s="2948"/>
      <c r="H75" s="2952" t="str">
        <f t="shared" si="7"/>
        <v>Thảo khên</v>
      </c>
    </row>
    <row r="76" spans="1:11" ht="16.5">
      <c r="A76" s="2947">
        <v>13</v>
      </c>
      <c r="B76" s="2952" t="str">
        <f>'Chấm công công nhân'!L78</f>
        <v>Thảo khon</v>
      </c>
      <c r="C76" s="2947" t="s">
        <v>40</v>
      </c>
      <c r="D76" s="2962">
        <f>'Chấm công công nhân'!AV78</f>
        <v>25</v>
      </c>
      <c r="E76" s="2953">
        <f t="shared" si="6"/>
        <v>500000</v>
      </c>
      <c r="F76" s="2953">
        <f t="shared" si="5"/>
        <v>20</v>
      </c>
      <c r="G76" s="2948"/>
      <c r="H76" s="2952" t="str">
        <f t="shared" si="7"/>
        <v>Thảo khon</v>
      </c>
    </row>
    <row r="77" spans="1:11" ht="16.5">
      <c r="A77" s="2947">
        <v>14</v>
      </c>
      <c r="B77" s="2952" t="str">
        <f>'Chấm công công nhân'!L79</f>
        <v>Thảo nga</v>
      </c>
      <c r="C77" s="2947" t="s">
        <v>40</v>
      </c>
      <c r="D77" s="2992">
        <f>'Chấm công công nhân'!AV79</f>
        <v>25</v>
      </c>
      <c r="E77" s="2953">
        <f t="shared" si="6"/>
        <v>500000</v>
      </c>
      <c r="F77" s="2953">
        <f t="shared" si="5"/>
        <v>20</v>
      </c>
      <c r="G77" s="2948"/>
      <c r="H77" s="2952" t="str">
        <f t="shared" si="7"/>
        <v>Thảo nga</v>
      </c>
    </row>
    <row r="78" spans="1:11" ht="16.5">
      <c r="A78" s="2947">
        <v>15</v>
      </c>
      <c r="B78" s="2952" t="str">
        <f>'Chấm công công nhân'!L80</f>
        <v>Thảo lăm ma</v>
      </c>
      <c r="C78" s="2947" t="s">
        <v>40</v>
      </c>
      <c r="D78" s="2992">
        <f>'Chấm công công nhân'!AV80</f>
        <v>28</v>
      </c>
      <c r="E78" s="2953">
        <f t="shared" si="6"/>
        <v>500000</v>
      </c>
      <c r="F78" s="2953">
        <f t="shared" si="5"/>
        <v>20</v>
      </c>
      <c r="G78" s="2948"/>
      <c r="H78" s="2952" t="str">
        <f t="shared" si="7"/>
        <v>Thảo lăm ma</v>
      </c>
    </row>
    <row r="79" spans="1:11" ht="15.75">
      <c r="A79" s="4053" t="s">
        <v>21</v>
      </c>
      <c r="B79" s="4053"/>
      <c r="C79" s="2954"/>
      <c r="D79" s="2955">
        <f>D10+D47+D63</f>
        <v>1733</v>
      </c>
      <c r="E79" s="2955">
        <f>E10+E47+E63</f>
        <v>29200000</v>
      </c>
      <c r="F79" s="2955">
        <f>F10+F47+F63</f>
        <v>1168</v>
      </c>
      <c r="G79" s="2956"/>
      <c r="H79" s="2957"/>
      <c r="J79" s="2958" t="e">
        <f>E79+#REF!</f>
        <v>#REF!</v>
      </c>
    </row>
    <row r="80" spans="1:11" ht="27.75" customHeight="1">
      <c r="A80" s="4062" t="s">
        <v>1363</v>
      </c>
      <c r="B80" s="4062"/>
      <c r="C80" s="4062"/>
      <c r="D80" s="4062"/>
      <c r="E80" s="4062"/>
      <c r="F80" s="4062"/>
      <c r="G80" s="4062"/>
      <c r="H80" s="4062"/>
    </row>
    <row r="81" spans="1:8" ht="11.25" customHeight="1">
      <c r="A81" s="2959"/>
      <c r="B81" s="2959"/>
      <c r="C81" s="2959"/>
      <c r="D81" s="2959"/>
      <c r="E81" s="2959"/>
      <c r="F81" s="2959"/>
      <c r="G81" s="2959"/>
      <c r="H81" s="2959"/>
    </row>
    <row r="82" spans="1:8" ht="15.75">
      <c r="A82" s="1003"/>
      <c r="B82" s="1003"/>
      <c r="D82" s="1003"/>
      <c r="E82" s="1003" t="s">
        <v>1362</v>
      </c>
      <c r="F82" s="1003"/>
      <c r="G82" s="1003"/>
      <c r="H82" s="1003"/>
    </row>
    <row r="83" spans="1:8" ht="15.75">
      <c r="A83" s="1003"/>
      <c r="B83" s="1003"/>
      <c r="D83" s="1003"/>
      <c r="E83" s="1003"/>
      <c r="F83" s="1003"/>
      <c r="G83" s="1003"/>
      <c r="H83" s="1003"/>
    </row>
    <row r="84" spans="1:8" ht="15.75">
      <c r="B84" s="4063"/>
      <c r="C84" s="4063"/>
      <c r="D84" s="2960"/>
      <c r="E84" s="4056" t="s">
        <v>1107</v>
      </c>
      <c r="F84" s="4056"/>
      <c r="G84" s="4056"/>
      <c r="H84" s="4056"/>
    </row>
    <row r="85" spans="1:8" ht="15.75">
      <c r="A85" s="1003"/>
      <c r="B85" s="1003"/>
      <c r="C85" s="1003"/>
      <c r="D85" s="1003"/>
      <c r="E85" s="1003"/>
      <c r="F85" s="1003"/>
      <c r="G85" s="1003"/>
      <c r="H85" s="1003"/>
    </row>
    <row r="86" spans="1:8" ht="15.75">
      <c r="A86" s="1003"/>
      <c r="B86" s="1003"/>
      <c r="C86" s="1003"/>
      <c r="D86" s="1003"/>
      <c r="E86" s="1003"/>
      <c r="F86" s="1003"/>
      <c r="G86" s="1003"/>
      <c r="H86" s="1003"/>
    </row>
    <row r="87" spans="1:8" ht="15.75">
      <c r="A87" s="1003"/>
      <c r="B87" s="1003"/>
      <c r="C87" s="1003"/>
      <c r="D87" s="1003"/>
      <c r="E87" s="1003"/>
      <c r="F87" s="1003"/>
      <c r="G87" s="1003"/>
      <c r="H87" s="1003"/>
    </row>
    <row r="88" spans="1:8" ht="15.75">
      <c r="A88" s="1003"/>
      <c r="B88" s="1003"/>
      <c r="C88" s="1003"/>
      <c r="D88" s="1003"/>
      <c r="E88" s="1003"/>
      <c r="F88" s="1003"/>
      <c r="G88" s="1003"/>
      <c r="H88" s="1003"/>
    </row>
    <row r="89" spans="1:8" ht="15.75">
      <c r="A89" s="1003"/>
      <c r="B89" s="1003"/>
      <c r="C89" s="1003"/>
      <c r="D89" s="1003"/>
      <c r="E89" s="1003"/>
      <c r="F89" s="1003"/>
      <c r="G89" s="1003"/>
      <c r="H89" s="1003"/>
    </row>
    <row r="90" spans="1:8" ht="15.75">
      <c r="A90" s="1003"/>
      <c r="B90" s="1003"/>
      <c r="C90" s="1003"/>
      <c r="D90" s="1003"/>
      <c r="E90" s="1003"/>
      <c r="F90" s="1003"/>
      <c r="G90" s="1003"/>
      <c r="H90" s="1003"/>
    </row>
    <row r="91" spans="1:8" ht="15.75">
      <c r="B91" s="4056"/>
      <c r="C91" s="4056"/>
      <c r="D91" s="2836"/>
      <c r="E91" s="4056"/>
      <c r="F91" s="4056"/>
      <c r="G91" s="4056"/>
      <c r="H91" s="4056"/>
    </row>
    <row r="92" spans="1:8" ht="15.75">
      <c r="B92" s="2836"/>
      <c r="C92" s="2836"/>
      <c r="D92" s="2836"/>
      <c r="E92" s="2836"/>
      <c r="F92" s="2987"/>
      <c r="G92" s="2836"/>
      <c r="H92" s="2836"/>
    </row>
    <row r="93" spans="1:8" ht="15.75">
      <c r="A93" s="4056" t="s">
        <v>1360</v>
      </c>
      <c r="B93" s="4056"/>
      <c r="C93" s="4056"/>
      <c r="D93" s="2836"/>
      <c r="E93" s="4056" t="s">
        <v>1361</v>
      </c>
      <c r="F93" s="4056"/>
      <c r="G93" s="4056"/>
      <c r="H93" s="4056"/>
    </row>
    <row r="94" spans="1:8" ht="15.75">
      <c r="A94" s="4056"/>
      <c r="B94" s="4056"/>
      <c r="C94" s="4056"/>
      <c r="D94" s="4056"/>
      <c r="E94" s="4056"/>
      <c r="F94" s="2987"/>
      <c r="G94" s="4056"/>
      <c r="H94" s="4056"/>
    </row>
    <row r="95" spans="1:8" ht="15.75">
      <c r="A95" s="1003"/>
      <c r="B95" s="1003"/>
      <c r="C95" s="1003"/>
      <c r="D95" s="1003"/>
      <c r="E95" s="1003"/>
      <c r="F95" s="1003"/>
      <c r="G95" s="1003"/>
      <c r="H95" s="1003"/>
    </row>
    <row r="96" spans="1:8" ht="15.75">
      <c r="A96" s="1003"/>
      <c r="B96" s="1003"/>
      <c r="C96" s="1003"/>
      <c r="D96" s="1003"/>
      <c r="E96" s="1003"/>
      <c r="F96" s="1003"/>
      <c r="G96" s="1003"/>
      <c r="H96" s="1003"/>
    </row>
    <row r="97" spans="1:8" ht="15.75">
      <c r="A97" s="1003"/>
      <c r="B97" s="1003"/>
      <c r="C97" s="1003"/>
      <c r="D97" s="1003"/>
      <c r="E97" s="1003"/>
      <c r="F97" s="1003"/>
      <c r="G97" s="1003"/>
      <c r="H97" s="1003"/>
    </row>
    <row r="98" spans="1:8" ht="15.75">
      <c r="A98" s="1003"/>
      <c r="B98" s="1003"/>
      <c r="C98" s="1003"/>
      <c r="D98" s="1003"/>
      <c r="E98" s="1003"/>
      <c r="F98" s="1003"/>
      <c r="G98" s="1003"/>
      <c r="H98" s="1003"/>
    </row>
    <row r="99" spans="1:8" ht="15.75">
      <c r="A99" s="1003"/>
      <c r="B99" s="1003"/>
      <c r="C99" s="1003"/>
      <c r="D99" s="1003"/>
      <c r="E99" s="1003"/>
      <c r="F99" s="1003"/>
      <c r="G99" s="1003"/>
      <c r="H99" s="1003"/>
    </row>
    <row r="100" spans="1:8" ht="15.75">
      <c r="A100" s="1003"/>
      <c r="B100" s="1003"/>
      <c r="C100" s="1003"/>
      <c r="D100" s="1003"/>
      <c r="E100" s="1003"/>
      <c r="F100" s="1003"/>
      <c r="G100" s="1003"/>
      <c r="H100" s="1003"/>
    </row>
    <row r="101" spans="1:8" ht="15.75">
      <c r="A101" s="1003"/>
      <c r="B101" s="1003"/>
      <c r="C101" s="1003"/>
      <c r="D101" s="1003"/>
      <c r="E101" s="1003"/>
      <c r="F101" s="1003"/>
      <c r="G101" s="1003"/>
      <c r="H101" s="1003"/>
    </row>
    <row r="102" spans="1:8" ht="15.75">
      <c r="A102" s="1003"/>
      <c r="B102" s="1003"/>
      <c r="C102" s="1003"/>
      <c r="D102" s="1003"/>
      <c r="E102" s="1003"/>
      <c r="F102" s="1003"/>
      <c r="G102" s="1003"/>
      <c r="H102" s="1003"/>
    </row>
    <row r="103" spans="1:8" ht="15.75">
      <c r="A103" s="1003"/>
      <c r="B103" s="1003"/>
      <c r="C103" s="1003"/>
      <c r="D103" s="1003"/>
      <c r="E103" s="1003"/>
      <c r="F103" s="1003"/>
      <c r="G103" s="1003"/>
      <c r="H103" s="1003"/>
    </row>
    <row r="104" spans="1:8" ht="15.75">
      <c r="A104" s="1003"/>
      <c r="B104" s="1003"/>
      <c r="C104" s="1003"/>
      <c r="D104" s="1003"/>
      <c r="E104" s="1003"/>
      <c r="F104" s="1003"/>
      <c r="G104" s="1003"/>
      <c r="H104" s="1003"/>
    </row>
    <row r="105" spans="1:8" ht="15.75">
      <c r="A105" s="1003"/>
      <c r="B105" s="1003"/>
      <c r="C105" s="1003"/>
      <c r="D105" s="1003"/>
      <c r="E105" s="1003"/>
      <c r="F105" s="1003"/>
      <c r="G105" s="1003"/>
      <c r="H105" s="1003"/>
    </row>
    <row r="106" spans="1:8" ht="15.75">
      <c r="A106" s="1003"/>
      <c r="B106" s="1003"/>
      <c r="C106" s="1003"/>
      <c r="D106" s="1003"/>
      <c r="E106" s="1003"/>
      <c r="F106" s="1003"/>
      <c r="G106" s="1003"/>
      <c r="H106" s="1003"/>
    </row>
    <row r="107" spans="1:8" ht="15.75">
      <c r="A107" s="1003"/>
      <c r="B107" s="1003"/>
      <c r="C107" s="1003"/>
      <c r="D107" s="1003"/>
      <c r="E107" s="1003"/>
      <c r="F107" s="1003"/>
      <c r="G107" s="1003"/>
      <c r="H107" s="1003"/>
    </row>
  </sheetData>
  <mergeCells count="19">
    <mergeCell ref="A93:C93"/>
    <mergeCell ref="E93:H93"/>
    <mergeCell ref="A94:B94"/>
    <mergeCell ref="C94:E94"/>
    <mergeCell ref="G94:H94"/>
    <mergeCell ref="B91:C91"/>
    <mergeCell ref="E91:H91"/>
    <mergeCell ref="A1:H1"/>
    <mergeCell ref="A2:H2"/>
    <mergeCell ref="A7:H7"/>
    <mergeCell ref="A10:C10"/>
    <mergeCell ref="A47:C47"/>
    <mergeCell ref="A63:C63"/>
    <mergeCell ref="A4:D4"/>
    <mergeCell ref="A5:D5"/>
    <mergeCell ref="A79:B79"/>
    <mergeCell ref="A80:H80"/>
    <mergeCell ref="B84:C84"/>
    <mergeCell ref="E84:H8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24"/>
  <sheetViews>
    <sheetView workbookViewId="0">
      <selection activeCell="G17" sqref="G17:H17"/>
    </sheetView>
  </sheetViews>
  <sheetFormatPr defaultColWidth="9.25" defaultRowHeight="15"/>
  <cols>
    <col min="1" max="1" width="9.375" style="36" customWidth="1"/>
    <col min="2" max="2" width="12.25" style="36" customWidth="1"/>
    <col min="3" max="4" width="16.125" style="36" customWidth="1"/>
    <col min="5" max="6" width="19.375" style="36" customWidth="1"/>
    <col min="7" max="7" width="19.375" style="950" customWidth="1"/>
    <col min="8" max="8" width="11.125" style="36" customWidth="1"/>
    <col min="9" max="9" width="27.375" style="36" customWidth="1"/>
    <col min="10" max="249" width="9.25" style="36"/>
    <col min="250" max="250" width="3.625" style="36" bestFit="1" customWidth="1"/>
    <col min="251" max="251" width="12.25" style="36" customWidth="1"/>
    <col min="252" max="252" width="15.875" style="36" customWidth="1"/>
    <col min="253" max="253" width="16.125" style="36" customWidth="1"/>
    <col min="254" max="254" width="8.75" style="36" customWidth="1"/>
    <col min="255" max="255" width="8.375" style="36" bestFit="1" customWidth="1"/>
    <col min="256" max="256" width="7.125" style="36" customWidth="1"/>
    <col min="257" max="257" width="10.375" style="36" customWidth="1"/>
    <col min="258" max="258" width="14.125" style="36" customWidth="1"/>
    <col min="259" max="259" width="10.875" style="36" customWidth="1"/>
    <col min="260" max="260" width="11.125" style="36" customWidth="1"/>
    <col min="261" max="261" width="10.625" style="36" bestFit="1" customWidth="1"/>
    <col min="262" max="262" width="10.25" style="36" customWidth="1"/>
    <col min="263" max="263" width="11" style="36" customWidth="1"/>
    <col min="264" max="264" width="13.25" style="36" customWidth="1"/>
    <col min="265" max="265" width="27.375" style="36" customWidth="1"/>
    <col min="266" max="505" width="9.25" style="36"/>
    <col min="506" max="506" width="3.625" style="36" bestFit="1" customWidth="1"/>
    <col min="507" max="507" width="12.25" style="36" customWidth="1"/>
    <col min="508" max="508" width="15.875" style="36" customWidth="1"/>
    <col min="509" max="509" width="16.125" style="36" customWidth="1"/>
    <col min="510" max="510" width="8.75" style="36" customWidth="1"/>
    <col min="511" max="511" width="8.375" style="36" bestFit="1" customWidth="1"/>
    <col min="512" max="512" width="7.125" style="36" customWidth="1"/>
    <col min="513" max="513" width="10.375" style="36" customWidth="1"/>
    <col min="514" max="514" width="14.125" style="36" customWidth="1"/>
    <col min="515" max="515" width="10.875" style="36" customWidth="1"/>
    <col min="516" max="516" width="11.125" style="36" customWidth="1"/>
    <col min="517" max="517" width="10.625" style="36" bestFit="1" customWidth="1"/>
    <col min="518" max="518" width="10.25" style="36" customWidth="1"/>
    <col min="519" max="519" width="11" style="36" customWidth="1"/>
    <col min="520" max="520" width="13.25" style="36" customWidth="1"/>
    <col min="521" max="521" width="27.375" style="36" customWidth="1"/>
    <col min="522" max="761" width="9.25" style="36"/>
    <col min="762" max="762" width="3.625" style="36" bestFit="1" customWidth="1"/>
    <col min="763" max="763" width="12.25" style="36" customWidth="1"/>
    <col min="764" max="764" width="15.875" style="36" customWidth="1"/>
    <col min="765" max="765" width="16.125" style="36" customWidth="1"/>
    <col min="766" max="766" width="8.75" style="36" customWidth="1"/>
    <col min="767" max="767" width="8.375" style="36" bestFit="1" customWidth="1"/>
    <col min="768" max="768" width="7.125" style="36" customWidth="1"/>
    <col min="769" max="769" width="10.375" style="36" customWidth="1"/>
    <col min="770" max="770" width="14.125" style="36" customWidth="1"/>
    <col min="771" max="771" width="10.875" style="36" customWidth="1"/>
    <col min="772" max="772" width="11.125" style="36" customWidth="1"/>
    <col min="773" max="773" width="10.625" style="36" bestFit="1" customWidth="1"/>
    <col min="774" max="774" width="10.25" style="36" customWidth="1"/>
    <col min="775" max="775" width="11" style="36" customWidth="1"/>
    <col min="776" max="776" width="13.25" style="36" customWidth="1"/>
    <col min="777" max="777" width="27.375" style="36" customWidth="1"/>
    <col min="778" max="1017" width="9.25" style="36"/>
    <col min="1018" max="1018" width="3.625" style="36" bestFit="1" customWidth="1"/>
    <col min="1019" max="1019" width="12.25" style="36" customWidth="1"/>
    <col min="1020" max="1020" width="15.875" style="36" customWidth="1"/>
    <col min="1021" max="1021" width="16.125" style="36" customWidth="1"/>
    <col min="1022" max="1022" width="8.75" style="36" customWidth="1"/>
    <col min="1023" max="1023" width="8.375" style="36" bestFit="1" customWidth="1"/>
    <col min="1024" max="1024" width="7.125" style="36" customWidth="1"/>
    <col min="1025" max="1025" width="10.375" style="36" customWidth="1"/>
    <col min="1026" max="1026" width="14.125" style="36" customWidth="1"/>
    <col min="1027" max="1027" width="10.875" style="36" customWidth="1"/>
    <col min="1028" max="1028" width="11.125" style="36" customWidth="1"/>
    <col min="1029" max="1029" width="10.625" style="36" bestFit="1" customWidth="1"/>
    <col min="1030" max="1030" width="10.25" style="36" customWidth="1"/>
    <col min="1031" max="1031" width="11" style="36" customWidth="1"/>
    <col min="1032" max="1032" width="13.25" style="36" customWidth="1"/>
    <col min="1033" max="1033" width="27.375" style="36" customWidth="1"/>
    <col min="1034" max="1273" width="9.25" style="36"/>
    <col min="1274" max="1274" width="3.625" style="36" bestFit="1" customWidth="1"/>
    <col min="1275" max="1275" width="12.25" style="36" customWidth="1"/>
    <col min="1276" max="1276" width="15.875" style="36" customWidth="1"/>
    <col min="1277" max="1277" width="16.125" style="36" customWidth="1"/>
    <col min="1278" max="1278" width="8.75" style="36" customWidth="1"/>
    <col min="1279" max="1279" width="8.375" style="36" bestFit="1" customWidth="1"/>
    <col min="1280" max="1280" width="7.125" style="36" customWidth="1"/>
    <col min="1281" max="1281" width="10.375" style="36" customWidth="1"/>
    <col min="1282" max="1282" width="14.125" style="36" customWidth="1"/>
    <col min="1283" max="1283" width="10.875" style="36" customWidth="1"/>
    <col min="1284" max="1284" width="11.125" style="36" customWidth="1"/>
    <col min="1285" max="1285" width="10.625" style="36" bestFit="1" customWidth="1"/>
    <col min="1286" max="1286" width="10.25" style="36" customWidth="1"/>
    <col min="1287" max="1287" width="11" style="36" customWidth="1"/>
    <col min="1288" max="1288" width="13.25" style="36" customWidth="1"/>
    <col min="1289" max="1289" width="27.375" style="36" customWidth="1"/>
    <col min="1290" max="1529" width="9.25" style="36"/>
    <col min="1530" max="1530" width="3.625" style="36" bestFit="1" customWidth="1"/>
    <col min="1531" max="1531" width="12.25" style="36" customWidth="1"/>
    <col min="1532" max="1532" width="15.875" style="36" customWidth="1"/>
    <col min="1533" max="1533" width="16.125" style="36" customWidth="1"/>
    <col min="1534" max="1534" width="8.75" style="36" customWidth="1"/>
    <col min="1535" max="1535" width="8.375" style="36" bestFit="1" customWidth="1"/>
    <col min="1536" max="1536" width="7.125" style="36" customWidth="1"/>
    <col min="1537" max="1537" width="10.375" style="36" customWidth="1"/>
    <col min="1538" max="1538" width="14.125" style="36" customWidth="1"/>
    <col min="1539" max="1539" width="10.875" style="36" customWidth="1"/>
    <col min="1540" max="1540" width="11.125" style="36" customWidth="1"/>
    <col min="1541" max="1541" width="10.625" style="36" bestFit="1" customWidth="1"/>
    <col min="1542" max="1542" width="10.25" style="36" customWidth="1"/>
    <col min="1543" max="1543" width="11" style="36" customWidth="1"/>
    <col min="1544" max="1544" width="13.25" style="36" customWidth="1"/>
    <col min="1545" max="1545" width="27.375" style="36" customWidth="1"/>
    <col min="1546" max="1785" width="9.25" style="36"/>
    <col min="1786" max="1786" width="3.625" style="36" bestFit="1" customWidth="1"/>
    <col min="1787" max="1787" width="12.25" style="36" customWidth="1"/>
    <col min="1788" max="1788" width="15.875" style="36" customWidth="1"/>
    <col min="1789" max="1789" width="16.125" style="36" customWidth="1"/>
    <col min="1790" max="1790" width="8.75" style="36" customWidth="1"/>
    <col min="1791" max="1791" width="8.375" style="36" bestFit="1" customWidth="1"/>
    <col min="1792" max="1792" width="7.125" style="36" customWidth="1"/>
    <col min="1793" max="1793" width="10.375" style="36" customWidth="1"/>
    <col min="1794" max="1794" width="14.125" style="36" customWidth="1"/>
    <col min="1795" max="1795" width="10.875" style="36" customWidth="1"/>
    <col min="1796" max="1796" width="11.125" style="36" customWidth="1"/>
    <col min="1797" max="1797" width="10.625" style="36" bestFit="1" customWidth="1"/>
    <col min="1798" max="1798" width="10.25" style="36" customWidth="1"/>
    <col min="1799" max="1799" width="11" style="36" customWidth="1"/>
    <col min="1800" max="1800" width="13.25" style="36" customWidth="1"/>
    <col min="1801" max="1801" width="27.375" style="36" customWidth="1"/>
    <col min="1802" max="2041" width="9.25" style="36"/>
    <col min="2042" max="2042" width="3.625" style="36" bestFit="1" customWidth="1"/>
    <col min="2043" max="2043" width="12.25" style="36" customWidth="1"/>
    <col min="2044" max="2044" width="15.875" style="36" customWidth="1"/>
    <col min="2045" max="2045" width="16.125" style="36" customWidth="1"/>
    <col min="2046" max="2046" width="8.75" style="36" customWidth="1"/>
    <col min="2047" max="2047" width="8.375" style="36" bestFit="1" customWidth="1"/>
    <col min="2048" max="2048" width="7.125" style="36" customWidth="1"/>
    <col min="2049" max="2049" width="10.375" style="36" customWidth="1"/>
    <col min="2050" max="2050" width="14.125" style="36" customWidth="1"/>
    <col min="2051" max="2051" width="10.875" style="36" customWidth="1"/>
    <col min="2052" max="2052" width="11.125" style="36" customWidth="1"/>
    <col min="2053" max="2053" width="10.625" style="36" bestFit="1" customWidth="1"/>
    <col min="2054" max="2054" width="10.25" style="36" customWidth="1"/>
    <col min="2055" max="2055" width="11" style="36" customWidth="1"/>
    <col min="2056" max="2056" width="13.25" style="36" customWidth="1"/>
    <col min="2057" max="2057" width="27.375" style="36" customWidth="1"/>
    <col min="2058" max="2297" width="9.25" style="36"/>
    <col min="2298" max="2298" width="3.625" style="36" bestFit="1" customWidth="1"/>
    <col min="2299" max="2299" width="12.25" style="36" customWidth="1"/>
    <col min="2300" max="2300" width="15.875" style="36" customWidth="1"/>
    <col min="2301" max="2301" width="16.125" style="36" customWidth="1"/>
    <col min="2302" max="2302" width="8.75" style="36" customWidth="1"/>
    <col min="2303" max="2303" width="8.375" style="36" bestFit="1" customWidth="1"/>
    <col min="2304" max="2304" width="7.125" style="36" customWidth="1"/>
    <col min="2305" max="2305" width="10.375" style="36" customWidth="1"/>
    <col min="2306" max="2306" width="14.125" style="36" customWidth="1"/>
    <col min="2307" max="2307" width="10.875" style="36" customWidth="1"/>
    <col min="2308" max="2308" width="11.125" style="36" customWidth="1"/>
    <col min="2309" max="2309" width="10.625" style="36" bestFit="1" customWidth="1"/>
    <col min="2310" max="2310" width="10.25" style="36" customWidth="1"/>
    <col min="2311" max="2311" width="11" style="36" customWidth="1"/>
    <col min="2312" max="2312" width="13.25" style="36" customWidth="1"/>
    <col min="2313" max="2313" width="27.375" style="36" customWidth="1"/>
    <col min="2314" max="2553" width="9.25" style="36"/>
    <col min="2554" max="2554" width="3.625" style="36" bestFit="1" customWidth="1"/>
    <col min="2555" max="2555" width="12.25" style="36" customWidth="1"/>
    <col min="2556" max="2556" width="15.875" style="36" customWidth="1"/>
    <col min="2557" max="2557" width="16.125" style="36" customWidth="1"/>
    <col min="2558" max="2558" width="8.75" style="36" customWidth="1"/>
    <col min="2559" max="2559" width="8.375" style="36" bestFit="1" customWidth="1"/>
    <col min="2560" max="2560" width="7.125" style="36" customWidth="1"/>
    <col min="2561" max="2561" width="10.375" style="36" customWidth="1"/>
    <col min="2562" max="2562" width="14.125" style="36" customWidth="1"/>
    <col min="2563" max="2563" width="10.875" style="36" customWidth="1"/>
    <col min="2564" max="2564" width="11.125" style="36" customWidth="1"/>
    <col min="2565" max="2565" width="10.625" style="36" bestFit="1" customWidth="1"/>
    <col min="2566" max="2566" width="10.25" style="36" customWidth="1"/>
    <col min="2567" max="2567" width="11" style="36" customWidth="1"/>
    <col min="2568" max="2568" width="13.25" style="36" customWidth="1"/>
    <col min="2569" max="2569" width="27.375" style="36" customWidth="1"/>
    <col min="2570" max="2809" width="9.25" style="36"/>
    <col min="2810" max="2810" width="3.625" style="36" bestFit="1" customWidth="1"/>
    <col min="2811" max="2811" width="12.25" style="36" customWidth="1"/>
    <col min="2812" max="2812" width="15.875" style="36" customWidth="1"/>
    <col min="2813" max="2813" width="16.125" style="36" customWidth="1"/>
    <col min="2814" max="2814" width="8.75" style="36" customWidth="1"/>
    <col min="2815" max="2815" width="8.375" style="36" bestFit="1" customWidth="1"/>
    <col min="2816" max="2816" width="7.125" style="36" customWidth="1"/>
    <col min="2817" max="2817" width="10.375" style="36" customWidth="1"/>
    <col min="2818" max="2818" width="14.125" style="36" customWidth="1"/>
    <col min="2819" max="2819" width="10.875" style="36" customWidth="1"/>
    <col min="2820" max="2820" width="11.125" style="36" customWidth="1"/>
    <col min="2821" max="2821" width="10.625" style="36" bestFit="1" customWidth="1"/>
    <col min="2822" max="2822" width="10.25" style="36" customWidth="1"/>
    <col min="2823" max="2823" width="11" style="36" customWidth="1"/>
    <col min="2824" max="2824" width="13.25" style="36" customWidth="1"/>
    <col min="2825" max="2825" width="27.375" style="36" customWidth="1"/>
    <col min="2826" max="3065" width="9.25" style="36"/>
    <col min="3066" max="3066" width="3.625" style="36" bestFit="1" customWidth="1"/>
    <col min="3067" max="3067" width="12.25" style="36" customWidth="1"/>
    <col min="3068" max="3068" width="15.875" style="36" customWidth="1"/>
    <col min="3069" max="3069" width="16.125" style="36" customWidth="1"/>
    <col min="3070" max="3070" width="8.75" style="36" customWidth="1"/>
    <col min="3071" max="3071" width="8.375" style="36" bestFit="1" customWidth="1"/>
    <col min="3072" max="3072" width="7.125" style="36" customWidth="1"/>
    <col min="3073" max="3073" width="10.375" style="36" customWidth="1"/>
    <col min="3074" max="3074" width="14.125" style="36" customWidth="1"/>
    <col min="3075" max="3075" width="10.875" style="36" customWidth="1"/>
    <col min="3076" max="3076" width="11.125" style="36" customWidth="1"/>
    <col min="3077" max="3077" width="10.625" style="36" bestFit="1" customWidth="1"/>
    <col min="3078" max="3078" width="10.25" style="36" customWidth="1"/>
    <col min="3079" max="3079" width="11" style="36" customWidth="1"/>
    <col min="3080" max="3080" width="13.25" style="36" customWidth="1"/>
    <col min="3081" max="3081" width="27.375" style="36" customWidth="1"/>
    <col min="3082" max="3321" width="9.25" style="36"/>
    <col min="3322" max="3322" width="3.625" style="36" bestFit="1" customWidth="1"/>
    <col min="3323" max="3323" width="12.25" style="36" customWidth="1"/>
    <col min="3324" max="3324" width="15.875" style="36" customWidth="1"/>
    <col min="3325" max="3325" width="16.125" style="36" customWidth="1"/>
    <col min="3326" max="3326" width="8.75" style="36" customWidth="1"/>
    <col min="3327" max="3327" width="8.375" style="36" bestFit="1" customWidth="1"/>
    <col min="3328" max="3328" width="7.125" style="36" customWidth="1"/>
    <col min="3329" max="3329" width="10.375" style="36" customWidth="1"/>
    <col min="3330" max="3330" width="14.125" style="36" customWidth="1"/>
    <col min="3331" max="3331" width="10.875" style="36" customWidth="1"/>
    <col min="3332" max="3332" width="11.125" style="36" customWidth="1"/>
    <col min="3333" max="3333" width="10.625" style="36" bestFit="1" customWidth="1"/>
    <col min="3334" max="3334" width="10.25" style="36" customWidth="1"/>
    <col min="3335" max="3335" width="11" style="36" customWidth="1"/>
    <col min="3336" max="3336" width="13.25" style="36" customWidth="1"/>
    <col min="3337" max="3337" width="27.375" style="36" customWidth="1"/>
    <col min="3338" max="3577" width="9.25" style="36"/>
    <col min="3578" max="3578" width="3.625" style="36" bestFit="1" customWidth="1"/>
    <col min="3579" max="3579" width="12.25" style="36" customWidth="1"/>
    <col min="3580" max="3580" width="15.875" style="36" customWidth="1"/>
    <col min="3581" max="3581" width="16.125" style="36" customWidth="1"/>
    <col min="3582" max="3582" width="8.75" style="36" customWidth="1"/>
    <col min="3583" max="3583" width="8.375" style="36" bestFit="1" customWidth="1"/>
    <col min="3584" max="3584" width="7.125" style="36" customWidth="1"/>
    <col min="3585" max="3585" width="10.375" style="36" customWidth="1"/>
    <col min="3586" max="3586" width="14.125" style="36" customWidth="1"/>
    <col min="3587" max="3587" width="10.875" style="36" customWidth="1"/>
    <col min="3588" max="3588" width="11.125" style="36" customWidth="1"/>
    <col min="3589" max="3589" width="10.625" style="36" bestFit="1" customWidth="1"/>
    <col min="3590" max="3590" width="10.25" style="36" customWidth="1"/>
    <col min="3591" max="3591" width="11" style="36" customWidth="1"/>
    <col min="3592" max="3592" width="13.25" style="36" customWidth="1"/>
    <col min="3593" max="3593" width="27.375" style="36" customWidth="1"/>
    <col min="3594" max="3833" width="9.25" style="36"/>
    <col min="3834" max="3834" width="3.625" style="36" bestFit="1" customWidth="1"/>
    <col min="3835" max="3835" width="12.25" style="36" customWidth="1"/>
    <col min="3836" max="3836" width="15.875" style="36" customWidth="1"/>
    <col min="3837" max="3837" width="16.125" style="36" customWidth="1"/>
    <col min="3838" max="3838" width="8.75" style="36" customWidth="1"/>
    <col min="3839" max="3839" width="8.375" style="36" bestFit="1" customWidth="1"/>
    <col min="3840" max="3840" width="7.125" style="36" customWidth="1"/>
    <col min="3841" max="3841" width="10.375" style="36" customWidth="1"/>
    <col min="3842" max="3842" width="14.125" style="36" customWidth="1"/>
    <col min="3843" max="3843" width="10.875" style="36" customWidth="1"/>
    <col min="3844" max="3844" width="11.125" style="36" customWidth="1"/>
    <col min="3845" max="3845" width="10.625" style="36" bestFit="1" customWidth="1"/>
    <col min="3846" max="3846" width="10.25" style="36" customWidth="1"/>
    <col min="3847" max="3847" width="11" style="36" customWidth="1"/>
    <col min="3848" max="3848" width="13.25" style="36" customWidth="1"/>
    <col min="3849" max="3849" width="27.375" style="36" customWidth="1"/>
    <col min="3850" max="4089" width="9.25" style="36"/>
    <col min="4090" max="4090" width="3.625" style="36" bestFit="1" customWidth="1"/>
    <col min="4091" max="4091" width="12.25" style="36" customWidth="1"/>
    <col min="4092" max="4092" width="15.875" style="36" customWidth="1"/>
    <col min="4093" max="4093" width="16.125" style="36" customWidth="1"/>
    <col min="4094" max="4094" width="8.75" style="36" customWidth="1"/>
    <col min="4095" max="4095" width="8.375" style="36" bestFit="1" customWidth="1"/>
    <col min="4096" max="4096" width="7.125" style="36" customWidth="1"/>
    <col min="4097" max="4097" width="10.375" style="36" customWidth="1"/>
    <col min="4098" max="4098" width="14.125" style="36" customWidth="1"/>
    <col min="4099" max="4099" width="10.875" style="36" customWidth="1"/>
    <col min="4100" max="4100" width="11.125" style="36" customWidth="1"/>
    <col min="4101" max="4101" width="10.625" style="36" bestFit="1" customWidth="1"/>
    <col min="4102" max="4102" width="10.25" style="36" customWidth="1"/>
    <col min="4103" max="4103" width="11" style="36" customWidth="1"/>
    <col min="4104" max="4104" width="13.25" style="36" customWidth="1"/>
    <col min="4105" max="4105" width="27.375" style="36" customWidth="1"/>
    <col min="4106" max="4345" width="9.25" style="36"/>
    <col min="4346" max="4346" width="3.625" style="36" bestFit="1" customWidth="1"/>
    <col min="4347" max="4347" width="12.25" style="36" customWidth="1"/>
    <col min="4348" max="4348" width="15.875" style="36" customWidth="1"/>
    <col min="4349" max="4349" width="16.125" style="36" customWidth="1"/>
    <col min="4350" max="4350" width="8.75" style="36" customWidth="1"/>
    <col min="4351" max="4351" width="8.375" style="36" bestFit="1" customWidth="1"/>
    <col min="4352" max="4352" width="7.125" style="36" customWidth="1"/>
    <col min="4353" max="4353" width="10.375" style="36" customWidth="1"/>
    <col min="4354" max="4354" width="14.125" style="36" customWidth="1"/>
    <col min="4355" max="4355" width="10.875" style="36" customWidth="1"/>
    <col min="4356" max="4356" width="11.125" style="36" customWidth="1"/>
    <col min="4357" max="4357" width="10.625" style="36" bestFit="1" customWidth="1"/>
    <col min="4358" max="4358" width="10.25" style="36" customWidth="1"/>
    <col min="4359" max="4359" width="11" style="36" customWidth="1"/>
    <col min="4360" max="4360" width="13.25" style="36" customWidth="1"/>
    <col min="4361" max="4361" width="27.375" style="36" customWidth="1"/>
    <col min="4362" max="4601" width="9.25" style="36"/>
    <col min="4602" max="4602" width="3.625" style="36" bestFit="1" customWidth="1"/>
    <col min="4603" max="4603" width="12.25" style="36" customWidth="1"/>
    <col min="4604" max="4604" width="15.875" style="36" customWidth="1"/>
    <col min="4605" max="4605" width="16.125" style="36" customWidth="1"/>
    <col min="4606" max="4606" width="8.75" style="36" customWidth="1"/>
    <col min="4607" max="4607" width="8.375" style="36" bestFit="1" customWidth="1"/>
    <col min="4608" max="4608" width="7.125" style="36" customWidth="1"/>
    <col min="4609" max="4609" width="10.375" style="36" customWidth="1"/>
    <col min="4610" max="4610" width="14.125" style="36" customWidth="1"/>
    <col min="4611" max="4611" width="10.875" style="36" customWidth="1"/>
    <col min="4612" max="4612" width="11.125" style="36" customWidth="1"/>
    <col min="4613" max="4613" width="10.625" style="36" bestFit="1" customWidth="1"/>
    <col min="4614" max="4614" width="10.25" style="36" customWidth="1"/>
    <col min="4615" max="4615" width="11" style="36" customWidth="1"/>
    <col min="4616" max="4616" width="13.25" style="36" customWidth="1"/>
    <col min="4617" max="4617" width="27.375" style="36" customWidth="1"/>
    <col min="4618" max="4857" width="9.25" style="36"/>
    <col min="4858" max="4858" width="3.625" style="36" bestFit="1" customWidth="1"/>
    <col min="4859" max="4859" width="12.25" style="36" customWidth="1"/>
    <col min="4860" max="4860" width="15.875" style="36" customWidth="1"/>
    <col min="4861" max="4861" width="16.125" style="36" customWidth="1"/>
    <col min="4862" max="4862" width="8.75" style="36" customWidth="1"/>
    <col min="4863" max="4863" width="8.375" style="36" bestFit="1" customWidth="1"/>
    <col min="4864" max="4864" width="7.125" style="36" customWidth="1"/>
    <col min="4865" max="4865" width="10.375" style="36" customWidth="1"/>
    <col min="4866" max="4866" width="14.125" style="36" customWidth="1"/>
    <col min="4867" max="4867" width="10.875" style="36" customWidth="1"/>
    <col min="4868" max="4868" width="11.125" style="36" customWidth="1"/>
    <col min="4869" max="4869" width="10.625" style="36" bestFit="1" customWidth="1"/>
    <col min="4870" max="4870" width="10.25" style="36" customWidth="1"/>
    <col min="4871" max="4871" width="11" style="36" customWidth="1"/>
    <col min="4872" max="4872" width="13.25" style="36" customWidth="1"/>
    <col min="4873" max="4873" width="27.375" style="36" customWidth="1"/>
    <col min="4874" max="5113" width="9.25" style="36"/>
    <col min="5114" max="5114" width="3.625" style="36" bestFit="1" customWidth="1"/>
    <col min="5115" max="5115" width="12.25" style="36" customWidth="1"/>
    <col min="5116" max="5116" width="15.875" style="36" customWidth="1"/>
    <col min="5117" max="5117" width="16.125" style="36" customWidth="1"/>
    <col min="5118" max="5118" width="8.75" style="36" customWidth="1"/>
    <col min="5119" max="5119" width="8.375" style="36" bestFit="1" customWidth="1"/>
    <col min="5120" max="5120" width="7.125" style="36" customWidth="1"/>
    <col min="5121" max="5121" width="10.375" style="36" customWidth="1"/>
    <col min="5122" max="5122" width="14.125" style="36" customWidth="1"/>
    <col min="5123" max="5123" width="10.875" style="36" customWidth="1"/>
    <col min="5124" max="5124" width="11.125" style="36" customWidth="1"/>
    <col min="5125" max="5125" width="10.625" style="36" bestFit="1" customWidth="1"/>
    <col min="5126" max="5126" width="10.25" style="36" customWidth="1"/>
    <col min="5127" max="5127" width="11" style="36" customWidth="1"/>
    <col min="5128" max="5128" width="13.25" style="36" customWidth="1"/>
    <col min="5129" max="5129" width="27.375" style="36" customWidth="1"/>
    <col min="5130" max="5369" width="9.25" style="36"/>
    <col min="5370" max="5370" width="3.625" style="36" bestFit="1" customWidth="1"/>
    <col min="5371" max="5371" width="12.25" style="36" customWidth="1"/>
    <col min="5372" max="5372" width="15.875" style="36" customWidth="1"/>
    <col min="5373" max="5373" width="16.125" style="36" customWidth="1"/>
    <col min="5374" max="5374" width="8.75" style="36" customWidth="1"/>
    <col min="5375" max="5375" width="8.375" style="36" bestFit="1" customWidth="1"/>
    <col min="5376" max="5376" width="7.125" style="36" customWidth="1"/>
    <col min="5377" max="5377" width="10.375" style="36" customWidth="1"/>
    <col min="5378" max="5378" width="14.125" style="36" customWidth="1"/>
    <col min="5379" max="5379" width="10.875" style="36" customWidth="1"/>
    <col min="5380" max="5380" width="11.125" style="36" customWidth="1"/>
    <col min="5381" max="5381" width="10.625" style="36" bestFit="1" customWidth="1"/>
    <col min="5382" max="5382" width="10.25" style="36" customWidth="1"/>
    <col min="5383" max="5383" width="11" style="36" customWidth="1"/>
    <col min="5384" max="5384" width="13.25" style="36" customWidth="1"/>
    <col min="5385" max="5385" width="27.375" style="36" customWidth="1"/>
    <col min="5386" max="5625" width="9.25" style="36"/>
    <col min="5626" max="5626" width="3.625" style="36" bestFit="1" customWidth="1"/>
    <col min="5627" max="5627" width="12.25" style="36" customWidth="1"/>
    <col min="5628" max="5628" width="15.875" style="36" customWidth="1"/>
    <col min="5629" max="5629" width="16.125" style="36" customWidth="1"/>
    <col min="5630" max="5630" width="8.75" style="36" customWidth="1"/>
    <col min="5631" max="5631" width="8.375" style="36" bestFit="1" customWidth="1"/>
    <col min="5632" max="5632" width="7.125" style="36" customWidth="1"/>
    <col min="5633" max="5633" width="10.375" style="36" customWidth="1"/>
    <col min="5634" max="5634" width="14.125" style="36" customWidth="1"/>
    <col min="5635" max="5635" width="10.875" style="36" customWidth="1"/>
    <col min="5636" max="5636" width="11.125" style="36" customWidth="1"/>
    <col min="5637" max="5637" width="10.625" style="36" bestFit="1" customWidth="1"/>
    <col min="5638" max="5638" width="10.25" style="36" customWidth="1"/>
    <col min="5639" max="5639" width="11" style="36" customWidth="1"/>
    <col min="5640" max="5640" width="13.25" style="36" customWidth="1"/>
    <col min="5641" max="5641" width="27.375" style="36" customWidth="1"/>
    <col min="5642" max="5881" width="9.25" style="36"/>
    <col min="5882" max="5882" width="3.625" style="36" bestFit="1" customWidth="1"/>
    <col min="5883" max="5883" width="12.25" style="36" customWidth="1"/>
    <col min="5884" max="5884" width="15.875" style="36" customWidth="1"/>
    <col min="5885" max="5885" width="16.125" style="36" customWidth="1"/>
    <col min="5886" max="5886" width="8.75" style="36" customWidth="1"/>
    <col min="5887" max="5887" width="8.375" style="36" bestFit="1" customWidth="1"/>
    <col min="5888" max="5888" width="7.125" style="36" customWidth="1"/>
    <col min="5889" max="5889" width="10.375" style="36" customWidth="1"/>
    <col min="5890" max="5890" width="14.125" style="36" customWidth="1"/>
    <col min="5891" max="5891" width="10.875" style="36" customWidth="1"/>
    <col min="5892" max="5892" width="11.125" style="36" customWidth="1"/>
    <col min="5893" max="5893" width="10.625" style="36" bestFit="1" customWidth="1"/>
    <col min="5894" max="5894" width="10.25" style="36" customWidth="1"/>
    <col min="5895" max="5895" width="11" style="36" customWidth="1"/>
    <col min="5896" max="5896" width="13.25" style="36" customWidth="1"/>
    <col min="5897" max="5897" width="27.375" style="36" customWidth="1"/>
    <col min="5898" max="6137" width="9.25" style="36"/>
    <col min="6138" max="6138" width="3.625" style="36" bestFit="1" customWidth="1"/>
    <col min="6139" max="6139" width="12.25" style="36" customWidth="1"/>
    <col min="6140" max="6140" width="15.875" style="36" customWidth="1"/>
    <col min="6141" max="6141" width="16.125" style="36" customWidth="1"/>
    <col min="6142" max="6142" width="8.75" style="36" customWidth="1"/>
    <col min="6143" max="6143" width="8.375" style="36" bestFit="1" customWidth="1"/>
    <col min="6144" max="6144" width="7.125" style="36" customWidth="1"/>
    <col min="6145" max="6145" width="10.375" style="36" customWidth="1"/>
    <col min="6146" max="6146" width="14.125" style="36" customWidth="1"/>
    <col min="6147" max="6147" width="10.875" style="36" customWidth="1"/>
    <col min="6148" max="6148" width="11.125" style="36" customWidth="1"/>
    <col min="6149" max="6149" width="10.625" style="36" bestFit="1" customWidth="1"/>
    <col min="6150" max="6150" width="10.25" style="36" customWidth="1"/>
    <col min="6151" max="6151" width="11" style="36" customWidth="1"/>
    <col min="6152" max="6152" width="13.25" style="36" customWidth="1"/>
    <col min="6153" max="6153" width="27.375" style="36" customWidth="1"/>
    <col min="6154" max="6393" width="9.25" style="36"/>
    <col min="6394" max="6394" width="3.625" style="36" bestFit="1" customWidth="1"/>
    <col min="6395" max="6395" width="12.25" style="36" customWidth="1"/>
    <col min="6396" max="6396" width="15.875" style="36" customWidth="1"/>
    <col min="6397" max="6397" width="16.125" style="36" customWidth="1"/>
    <col min="6398" max="6398" width="8.75" style="36" customWidth="1"/>
    <col min="6399" max="6399" width="8.375" style="36" bestFit="1" customWidth="1"/>
    <col min="6400" max="6400" width="7.125" style="36" customWidth="1"/>
    <col min="6401" max="6401" width="10.375" style="36" customWidth="1"/>
    <col min="6402" max="6402" width="14.125" style="36" customWidth="1"/>
    <col min="6403" max="6403" width="10.875" style="36" customWidth="1"/>
    <col min="6404" max="6404" width="11.125" style="36" customWidth="1"/>
    <col min="6405" max="6405" width="10.625" style="36" bestFit="1" customWidth="1"/>
    <col min="6406" max="6406" width="10.25" style="36" customWidth="1"/>
    <col min="6407" max="6407" width="11" style="36" customWidth="1"/>
    <col min="6408" max="6408" width="13.25" style="36" customWidth="1"/>
    <col min="6409" max="6409" width="27.375" style="36" customWidth="1"/>
    <col min="6410" max="6649" width="9.25" style="36"/>
    <col min="6650" max="6650" width="3.625" style="36" bestFit="1" customWidth="1"/>
    <col min="6651" max="6651" width="12.25" style="36" customWidth="1"/>
    <col min="6652" max="6652" width="15.875" style="36" customWidth="1"/>
    <col min="6653" max="6653" width="16.125" style="36" customWidth="1"/>
    <col min="6654" max="6654" width="8.75" style="36" customWidth="1"/>
    <col min="6655" max="6655" width="8.375" style="36" bestFit="1" customWidth="1"/>
    <col min="6656" max="6656" width="7.125" style="36" customWidth="1"/>
    <col min="6657" max="6657" width="10.375" style="36" customWidth="1"/>
    <col min="6658" max="6658" width="14.125" style="36" customWidth="1"/>
    <col min="6659" max="6659" width="10.875" style="36" customWidth="1"/>
    <col min="6660" max="6660" width="11.125" style="36" customWidth="1"/>
    <col min="6661" max="6661" width="10.625" style="36" bestFit="1" customWidth="1"/>
    <col min="6662" max="6662" width="10.25" style="36" customWidth="1"/>
    <col min="6663" max="6663" width="11" style="36" customWidth="1"/>
    <col min="6664" max="6664" width="13.25" style="36" customWidth="1"/>
    <col min="6665" max="6665" width="27.375" style="36" customWidth="1"/>
    <col min="6666" max="6905" width="9.25" style="36"/>
    <col min="6906" max="6906" width="3.625" style="36" bestFit="1" customWidth="1"/>
    <col min="6907" max="6907" width="12.25" style="36" customWidth="1"/>
    <col min="6908" max="6908" width="15.875" style="36" customWidth="1"/>
    <col min="6909" max="6909" width="16.125" style="36" customWidth="1"/>
    <col min="6910" max="6910" width="8.75" style="36" customWidth="1"/>
    <col min="6911" max="6911" width="8.375" style="36" bestFit="1" customWidth="1"/>
    <col min="6912" max="6912" width="7.125" style="36" customWidth="1"/>
    <col min="6913" max="6913" width="10.375" style="36" customWidth="1"/>
    <col min="6914" max="6914" width="14.125" style="36" customWidth="1"/>
    <col min="6915" max="6915" width="10.875" style="36" customWidth="1"/>
    <col min="6916" max="6916" width="11.125" style="36" customWidth="1"/>
    <col min="6917" max="6917" width="10.625" style="36" bestFit="1" customWidth="1"/>
    <col min="6918" max="6918" width="10.25" style="36" customWidth="1"/>
    <col min="6919" max="6919" width="11" style="36" customWidth="1"/>
    <col min="6920" max="6920" width="13.25" style="36" customWidth="1"/>
    <col min="6921" max="6921" width="27.375" style="36" customWidth="1"/>
    <col min="6922" max="7161" width="9.25" style="36"/>
    <col min="7162" max="7162" width="3.625" style="36" bestFit="1" customWidth="1"/>
    <col min="7163" max="7163" width="12.25" style="36" customWidth="1"/>
    <col min="7164" max="7164" width="15.875" style="36" customWidth="1"/>
    <col min="7165" max="7165" width="16.125" style="36" customWidth="1"/>
    <col min="7166" max="7166" width="8.75" style="36" customWidth="1"/>
    <col min="7167" max="7167" width="8.375" style="36" bestFit="1" customWidth="1"/>
    <col min="7168" max="7168" width="7.125" style="36" customWidth="1"/>
    <col min="7169" max="7169" width="10.375" style="36" customWidth="1"/>
    <col min="7170" max="7170" width="14.125" style="36" customWidth="1"/>
    <col min="7171" max="7171" width="10.875" style="36" customWidth="1"/>
    <col min="7172" max="7172" width="11.125" style="36" customWidth="1"/>
    <col min="7173" max="7173" width="10.625" style="36" bestFit="1" customWidth="1"/>
    <col min="7174" max="7174" width="10.25" style="36" customWidth="1"/>
    <col min="7175" max="7175" width="11" style="36" customWidth="1"/>
    <col min="7176" max="7176" width="13.25" style="36" customWidth="1"/>
    <col min="7177" max="7177" width="27.375" style="36" customWidth="1"/>
    <col min="7178" max="7417" width="9.25" style="36"/>
    <col min="7418" max="7418" width="3.625" style="36" bestFit="1" customWidth="1"/>
    <col min="7419" max="7419" width="12.25" style="36" customWidth="1"/>
    <col min="7420" max="7420" width="15.875" style="36" customWidth="1"/>
    <col min="7421" max="7421" width="16.125" style="36" customWidth="1"/>
    <col min="7422" max="7422" width="8.75" style="36" customWidth="1"/>
    <col min="7423" max="7423" width="8.375" style="36" bestFit="1" customWidth="1"/>
    <col min="7424" max="7424" width="7.125" style="36" customWidth="1"/>
    <col min="7425" max="7425" width="10.375" style="36" customWidth="1"/>
    <col min="7426" max="7426" width="14.125" style="36" customWidth="1"/>
    <col min="7427" max="7427" width="10.875" style="36" customWidth="1"/>
    <col min="7428" max="7428" width="11.125" style="36" customWidth="1"/>
    <col min="7429" max="7429" width="10.625" style="36" bestFit="1" customWidth="1"/>
    <col min="7430" max="7430" width="10.25" style="36" customWidth="1"/>
    <col min="7431" max="7431" width="11" style="36" customWidth="1"/>
    <col min="7432" max="7432" width="13.25" style="36" customWidth="1"/>
    <col min="7433" max="7433" width="27.375" style="36" customWidth="1"/>
    <col min="7434" max="7673" width="9.25" style="36"/>
    <col min="7674" max="7674" width="3.625" style="36" bestFit="1" customWidth="1"/>
    <col min="7675" max="7675" width="12.25" style="36" customWidth="1"/>
    <col min="7676" max="7676" width="15.875" style="36" customWidth="1"/>
    <col min="7677" max="7677" width="16.125" style="36" customWidth="1"/>
    <col min="7678" max="7678" width="8.75" style="36" customWidth="1"/>
    <col min="7679" max="7679" width="8.375" style="36" bestFit="1" customWidth="1"/>
    <col min="7680" max="7680" width="7.125" style="36" customWidth="1"/>
    <col min="7681" max="7681" width="10.375" style="36" customWidth="1"/>
    <col min="7682" max="7682" width="14.125" style="36" customWidth="1"/>
    <col min="7683" max="7683" width="10.875" style="36" customWidth="1"/>
    <col min="7684" max="7684" width="11.125" style="36" customWidth="1"/>
    <col min="7685" max="7685" width="10.625" style="36" bestFit="1" customWidth="1"/>
    <col min="7686" max="7686" width="10.25" style="36" customWidth="1"/>
    <col min="7687" max="7687" width="11" style="36" customWidth="1"/>
    <col min="7688" max="7688" width="13.25" style="36" customWidth="1"/>
    <col min="7689" max="7689" width="27.375" style="36" customWidth="1"/>
    <col min="7690" max="7929" width="9.25" style="36"/>
    <col min="7930" max="7930" width="3.625" style="36" bestFit="1" customWidth="1"/>
    <col min="7931" max="7931" width="12.25" style="36" customWidth="1"/>
    <col min="7932" max="7932" width="15.875" style="36" customWidth="1"/>
    <col min="7933" max="7933" width="16.125" style="36" customWidth="1"/>
    <col min="7934" max="7934" width="8.75" style="36" customWidth="1"/>
    <col min="7935" max="7935" width="8.375" style="36" bestFit="1" customWidth="1"/>
    <col min="7936" max="7936" width="7.125" style="36" customWidth="1"/>
    <col min="7937" max="7937" width="10.375" style="36" customWidth="1"/>
    <col min="7938" max="7938" width="14.125" style="36" customWidth="1"/>
    <col min="7939" max="7939" width="10.875" style="36" customWidth="1"/>
    <col min="7940" max="7940" width="11.125" style="36" customWidth="1"/>
    <col min="7941" max="7941" width="10.625" style="36" bestFit="1" customWidth="1"/>
    <col min="7942" max="7942" width="10.25" style="36" customWidth="1"/>
    <col min="7943" max="7943" width="11" style="36" customWidth="1"/>
    <col min="7944" max="7944" width="13.25" style="36" customWidth="1"/>
    <col min="7945" max="7945" width="27.375" style="36" customWidth="1"/>
    <col min="7946" max="8185" width="9.25" style="36"/>
    <col min="8186" max="8186" width="3.625" style="36" bestFit="1" customWidth="1"/>
    <col min="8187" max="8187" width="12.25" style="36" customWidth="1"/>
    <col min="8188" max="8188" width="15.875" style="36" customWidth="1"/>
    <col min="8189" max="8189" width="16.125" style="36" customWidth="1"/>
    <col min="8190" max="8190" width="8.75" style="36" customWidth="1"/>
    <col min="8191" max="8191" width="8.375" style="36" bestFit="1" customWidth="1"/>
    <col min="8192" max="8192" width="7.125" style="36" customWidth="1"/>
    <col min="8193" max="8193" width="10.375" style="36" customWidth="1"/>
    <col min="8194" max="8194" width="14.125" style="36" customWidth="1"/>
    <col min="8195" max="8195" width="10.875" style="36" customWidth="1"/>
    <col min="8196" max="8196" width="11.125" style="36" customWidth="1"/>
    <col min="8197" max="8197" width="10.625" style="36" bestFit="1" customWidth="1"/>
    <col min="8198" max="8198" width="10.25" style="36" customWidth="1"/>
    <col min="8199" max="8199" width="11" style="36" customWidth="1"/>
    <col min="8200" max="8200" width="13.25" style="36" customWidth="1"/>
    <col min="8201" max="8201" width="27.375" style="36" customWidth="1"/>
    <col min="8202" max="8441" width="9.25" style="36"/>
    <col min="8442" max="8442" width="3.625" style="36" bestFit="1" customWidth="1"/>
    <col min="8443" max="8443" width="12.25" style="36" customWidth="1"/>
    <col min="8444" max="8444" width="15.875" style="36" customWidth="1"/>
    <col min="8445" max="8445" width="16.125" style="36" customWidth="1"/>
    <col min="8446" max="8446" width="8.75" style="36" customWidth="1"/>
    <col min="8447" max="8447" width="8.375" style="36" bestFit="1" customWidth="1"/>
    <col min="8448" max="8448" width="7.125" style="36" customWidth="1"/>
    <col min="8449" max="8449" width="10.375" style="36" customWidth="1"/>
    <col min="8450" max="8450" width="14.125" style="36" customWidth="1"/>
    <col min="8451" max="8451" width="10.875" style="36" customWidth="1"/>
    <col min="8452" max="8452" width="11.125" style="36" customWidth="1"/>
    <col min="8453" max="8453" width="10.625" style="36" bestFit="1" customWidth="1"/>
    <col min="8454" max="8454" width="10.25" style="36" customWidth="1"/>
    <col min="8455" max="8455" width="11" style="36" customWidth="1"/>
    <col min="8456" max="8456" width="13.25" style="36" customWidth="1"/>
    <col min="8457" max="8457" width="27.375" style="36" customWidth="1"/>
    <col min="8458" max="8697" width="9.25" style="36"/>
    <col min="8698" max="8698" width="3.625" style="36" bestFit="1" customWidth="1"/>
    <col min="8699" max="8699" width="12.25" style="36" customWidth="1"/>
    <col min="8700" max="8700" width="15.875" style="36" customWidth="1"/>
    <col min="8701" max="8701" width="16.125" style="36" customWidth="1"/>
    <col min="8702" max="8702" width="8.75" style="36" customWidth="1"/>
    <col min="8703" max="8703" width="8.375" style="36" bestFit="1" customWidth="1"/>
    <col min="8704" max="8704" width="7.125" style="36" customWidth="1"/>
    <col min="8705" max="8705" width="10.375" style="36" customWidth="1"/>
    <col min="8706" max="8706" width="14.125" style="36" customWidth="1"/>
    <col min="8707" max="8707" width="10.875" style="36" customWidth="1"/>
    <col min="8708" max="8708" width="11.125" style="36" customWidth="1"/>
    <col min="8709" max="8709" width="10.625" style="36" bestFit="1" customWidth="1"/>
    <col min="8710" max="8710" width="10.25" style="36" customWidth="1"/>
    <col min="8711" max="8711" width="11" style="36" customWidth="1"/>
    <col min="8712" max="8712" width="13.25" style="36" customWidth="1"/>
    <col min="8713" max="8713" width="27.375" style="36" customWidth="1"/>
    <col min="8714" max="8953" width="9.25" style="36"/>
    <col min="8954" max="8954" width="3.625" style="36" bestFit="1" customWidth="1"/>
    <col min="8955" max="8955" width="12.25" style="36" customWidth="1"/>
    <col min="8956" max="8956" width="15.875" style="36" customWidth="1"/>
    <col min="8957" max="8957" width="16.125" style="36" customWidth="1"/>
    <col min="8958" max="8958" width="8.75" style="36" customWidth="1"/>
    <col min="8959" max="8959" width="8.375" style="36" bestFit="1" customWidth="1"/>
    <col min="8960" max="8960" width="7.125" style="36" customWidth="1"/>
    <col min="8961" max="8961" width="10.375" style="36" customWidth="1"/>
    <col min="8962" max="8962" width="14.125" style="36" customWidth="1"/>
    <col min="8963" max="8963" width="10.875" style="36" customWidth="1"/>
    <col min="8964" max="8964" width="11.125" style="36" customWidth="1"/>
    <col min="8965" max="8965" width="10.625" style="36" bestFit="1" customWidth="1"/>
    <col min="8966" max="8966" width="10.25" style="36" customWidth="1"/>
    <col min="8967" max="8967" width="11" style="36" customWidth="1"/>
    <col min="8968" max="8968" width="13.25" style="36" customWidth="1"/>
    <col min="8969" max="8969" width="27.375" style="36" customWidth="1"/>
    <col min="8970" max="9209" width="9.25" style="36"/>
    <col min="9210" max="9210" width="3.625" style="36" bestFit="1" customWidth="1"/>
    <col min="9211" max="9211" width="12.25" style="36" customWidth="1"/>
    <col min="9212" max="9212" width="15.875" style="36" customWidth="1"/>
    <col min="9213" max="9213" width="16.125" style="36" customWidth="1"/>
    <col min="9214" max="9214" width="8.75" style="36" customWidth="1"/>
    <col min="9215" max="9215" width="8.375" style="36" bestFit="1" customWidth="1"/>
    <col min="9216" max="9216" width="7.125" style="36" customWidth="1"/>
    <col min="9217" max="9217" width="10.375" style="36" customWidth="1"/>
    <col min="9218" max="9218" width="14.125" style="36" customWidth="1"/>
    <col min="9219" max="9219" width="10.875" style="36" customWidth="1"/>
    <col min="9220" max="9220" width="11.125" style="36" customWidth="1"/>
    <col min="9221" max="9221" width="10.625" style="36" bestFit="1" customWidth="1"/>
    <col min="9222" max="9222" width="10.25" style="36" customWidth="1"/>
    <col min="9223" max="9223" width="11" style="36" customWidth="1"/>
    <col min="9224" max="9224" width="13.25" style="36" customWidth="1"/>
    <col min="9225" max="9225" width="27.375" style="36" customWidth="1"/>
    <col min="9226" max="9465" width="9.25" style="36"/>
    <col min="9466" max="9466" width="3.625" style="36" bestFit="1" customWidth="1"/>
    <col min="9467" max="9467" width="12.25" style="36" customWidth="1"/>
    <col min="9468" max="9468" width="15.875" style="36" customWidth="1"/>
    <col min="9469" max="9469" width="16.125" style="36" customWidth="1"/>
    <col min="9470" max="9470" width="8.75" style="36" customWidth="1"/>
    <col min="9471" max="9471" width="8.375" style="36" bestFit="1" customWidth="1"/>
    <col min="9472" max="9472" width="7.125" style="36" customWidth="1"/>
    <col min="9473" max="9473" width="10.375" style="36" customWidth="1"/>
    <col min="9474" max="9474" width="14.125" style="36" customWidth="1"/>
    <col min="9475" max="9475" width="10.875" style="36" customWidth="1"/>
    <col min="9476" max="9476" width="11.125" style="36" customWidth="1"/>
    <col min="9477" max="9477" width="10.625" style="36" bestFit="1" customWidth="1"/>
    <col min="9478" max="9478" width="10.25" style="36" customWidth="1"/>
    <col min="9479" max="9479" width="11" style="36" customWidth="1"/>
    <col min="9480" max="9480" width="13.25" style="36" customWidth="1"/>
    <col min="9481" max="9481" width="27.375" style="36" customWidth="1"/>
    <col min="9482" max="9721" width="9.25" style="36"/>
    <col min="9722" max="9722" width="3.625" style="36" bestFit="1" customWidth="1"/>
    <col min="9723" max="9723" width="12.25" style="36" customWidth="1"/>
    <col min="9724" max="9724" width="15.875" style="36" customWidth="1"/>
    <col min="9725" max="9725" width="16.125" style="36" customWidth="1"/>
    <col min="9726" max="9726" width="8.75" style="36" customWidth="1"/>
    <col min="9727" max="9727" width="8.375" style="36" bestFit="1" customWidth="1"/>
    <col min="9728" max="9728" width="7.125" style="36" customWidth="1"/>
    <col min="9729" max="9729" width="10.375" style="36" customWidth="1"/>
    <col min="9730" max="9730" width="14.125" style="36" customWidth="1"/>
    <col min="9731" max="9731" width="10.875" style="36" customWidth="1"/>
    <col min="9732" max="9732" width="11.125" style="36" customWidth="1"/>
    <col min="9733" max="9733" width="10.625" style="36" bestFit="1" customWidth="1"/>
    <col min="9734" max="9734" width="10.25" style="36" customWidth="1"/>
    <col min="9735" max="9735" width="11" style="36" customWidth="1"/>
    <col min="9736" max="9736" width="13.25" style="36" customWidth="1"/>
    <col min="9737" max="9737" width="27.375" style="36" customWidth="1"/>
    <col min="9738" max="9977" width="9.25" style="36"/>
    <col min="9978" max="9978" width="3.625" style="36" bestFit="1" customWidth="1"/>
    <col min="9979" max="9979" width="12.25" style="36" customWidth="1"/>
    <col min="9980" max="9980" width="15.875" style="36" customWidth="1"/>
    <col min="9981" max="9981" width="16.125" style="36" customWidth="1"/>
    <col min="9982" max="9982" width="8.75" style="36" customWidth="1"/>
    <col min="9983" max="9983" width="8.375" style="36" bestFit="1" customWidth="1"/>
    <col min="9984" max="9984" width="7.125" style="36" customWidth="1"/>
    <col min="9985" max="9985" width="10.375" style="36" customWidth="1"/>
    <col min="9986" max="9986" width="14.125" style="36" customWidth="1"/>
    <col min="9987" max="9987" width="10.875" style="36" customWidth="1"/>
    <col min="9988" max="9988" width="11.125" style="36" customWidth="1"/>
    <col min="9989" max="9989" width="10.625" style="36" bestFit="1" customWidth="1"/>
    <col min="9990" max="9990" width="10.25" style="36" customWidth="1"/>
    <col min="9991" max="9991" width="11" style="36" customWidth="1"/>
    <col min="9992" max="9992" width="13.25" style="36" customWidth="1"/>
    <col min="9993" max="9993" width="27.375" style="36" customWidth="1"/>
    <col min="9994" max="10233" width="9.25" style="36"/>
    <col min="10234" max="10234" width="3.625" style="36" bestFit="1" customWidth="1"/>
    <col min="10235" max="10235" width="12.25" style="36" customWidth="1"/>
    <col min="10236" max="10236" width="15.875" style="36" customWidth="1"/>
    <col min="10237" max="10237" width="16.125" style="36" customWidth="1"/>
    <col min="10238" max="10238" width="8.75" style="36" customWidth="1"/>
    <col min="10239" max="10239" width="8.375" style="36" bestFit="1" customWidth="1"/>
    <col min="10240" max="10240" width="7.125" style="36" customWidth="1"/>
    <col min="10241" max="10241" width="10.375" style="36" customWidth="1"/>
    <col min="10242" max="10242" width="14.125" style="36" customWidth="1"/>
    <col min="10243" max="10243" width="10.875" style="36" customWidth="1"/>
    <col min="10244" max="10244" width="11.125" style="36" customWidth="1"/>
    <col min="10245" max="10245" width="10.625" style="36" bestFit="1" customWidth="1"/>
    <col min="10246" max="10246" width="10.25" style="36" customWidth="1"/>
    <col min="10247" max="10247" width="11" style="36" customWidth="1"/>
    <col min="10248" max="10248" width="13.25" style="36" customWidth="1"/>
    <col min="10249" max="10249" width="27.375" style="36" customWidth="1"/>
    <col min="10250" max="10489" width="9.25" style="36"/>
    <col min="10490" max="10490" width="3.625" style="36" bestFit="1" customWidth="1"/>
    <col min="10491" max="10491" width="12.25" style="36" customWidth="1"/>
    <col min="10492" max="10492" width="15.875" style="36" customWidth="1"/>
    <col min="10493" max="10493" width="16.125" style="36" customWidth="1"/>
    <col min="10494" max="10494" width="8.75" style="36" customWidth="1"/>
    <col min="10495" max="10495" width="8.375" style="36" bestFit="1" customWidth="1"/>
    <col min="10496" max="10496" width="7.125" style="36" customWidth="1"/>
    <col min="10497" max="10497" width="10.375" style="36" customWidth="1"/>
    <col min="10498" max="10498" width="14.125" style="36" customWidth="1"/>
    <col min="10499" max="10499" width="10.875" style="36" customWidth="1"/>
    <col min="10500" max="10500" width="11.125" style="36" customWidth="1"/>
    <col min="10501" max="10501" width="10.625" style="36" bestFit="1" customWidth="1"/>
    <col min="10502" max="10502" width="10.25" style="36" customWidth="1"/>
    <col min="10503" max="10503" width="11" style="36" customWidth="1"/>
    <col min="10504" max="10504" width="13.25" style="36" customWidth="1"/>
    <col min="10505" max="10505" width="27.375" style="36" customWidth="1"/>
    <col min="10506" max="10745" width="9.25" style="36"/>
    <col min="10746" max="10746" width="3.625" style="36" bestFit="1" customWidth="1"/>
    <col min="10747" max="10747" width="12.25" style="36" customWidth="1"/>
    <col min="10748" max="10748" width="15.875" style="36" customWidth="1"/>
    <col min="10749" max="10749" width="16.125" style="36" customWidth="1"/>
    <col min="10750" max="10750" width="8.75" style="36" customWidth="1"/>
    <col min="10751" max="10751" width="8.375" style="36" bestFit="1" customWidth="1"/>
    <col min="10752" max="10752" width="7.125" style="36" customWidth="1"/>
    <col min="10753" max="10753" width="10.375" style="36" customWidth="1"/>
    <col min="10754" max="10754" width="14.125" style="36" customWidth="1"/>
    <col min="10755" max="10755" width="10.875" style="36" customWidth="1"/>
    <col min="10756" max="10756" width="11.125" style="36" customWidth="1"/>
    <col min="10757" max="10757" width="10.625" style="36" bestFit="1" customWidth="1"/>
    <col min="10758" max="10758" width="10.25" style="36" customWidth="1"/>
    <col min="10759" max="10759" width="11" style="36" customWidth="1"/>
    <col min="10760" max="10760" width="13.25" style="36" customWidth="1"/>
    <col min="10761" max="10761" width="27.375" style="36" customWidth="1"/>
    <col min="10762" max="11001" width="9.25" style="36"/>
    <col min="11002" max="11002" width="3.625" style="36" bestFit="1" customWidth="1"/>
    <col min="11003" max="11003" width="12.25" style="36" customWidth="1"/>
    <col min="11004" max="11004" width="15.875" style="36" customWidth="1"/>
    <col min="11005" max="11005" width="16.125" style="36" customWidth="1"/>
    <col min="11006" max="11006" width="8.75" style="36" customWidth="1"/>
    <col min="11007" max="11007" width="8.375" style="36" bestFit="1" customWidth="1"/>
    <col min="11008" max="11008" width="7.125" style="36" customWidth="1"/>
    <col min="11009" max="11009" width="10.375" style="36" customWidth="1"/>
    <col min="11010" max="11010" width="14.125" style="36" customWidth="1"/>
    <col min="11011" max="11011" width="10.875" style="36" customWidth="1"/>
    <col min="11012" max="11012" width="11.125" style="36" customWidth="1"/>
    <col min="11013" max="11013" width="10.625" style="36" bestFit="1" customWidth="1"/>
    <col min="11014" max="11014" width="10.25" style="36" customWidth="1"/>
    <col min="11015" max="11015" width="11" style="36" customWidth="1"/>
    <col min="11016" max="11016" width="13.25" style="36" customWidth="1"/>
    <col min="11017" max="11017" width="27.375" style="36" customWidth="1"/>
    <col min="11018" max="11257" width="9.25" style="36"/>
    <col min="11258" max="11258" width="3.625" style="36" bestFit="1" customWidth="1"/>
    <col min="11259" max="11259" width="12.25" style="36" customWidth="1"/>
    <col min="11260" max="11260" width="15.875" style="36" customWidth="1"/>
    <col min="11261" max="11261" width="16.125" style="36" customWidth="1"/>
    <col min="11262" max="11262" width="8.75" style="36" customWidth="1"/>
    <col min="11263" max="11263" width="8.375" style="36" bestFit="1" customWidth="1"/>
    <col min="11264" max="11264" width="7.125" style="36" customWidth="1"/>
    <col min="11265" max="11265" width="10.375" style="36" customWidth="1"/>
    <col min="11266" max="11266" width="14.125" style="36" customWidth="1"/>
    <col min="11267" max="11267" width="10.875" style="36" customWidth="1"/>
    <col min="11268" max="11268" width="11.125" style="36" customWidth="1"/>
    <col min="11269" max="11269" width="10.625" style="36" bestFit="1" customWidth="1"/>
    <col min="11270" max="11270" width="10.25" style="36" customWidth="1"/>
    <col min="11271" max="11271" width="11" style="36" customWidth="1"/>
    <col min="11272" max="11272" width="13.25" style="36" customWidth="1"/>
    <col min="11273" max="11273" width="27.375" style="36" customWidth="1"/>
    <col min="11274" max="11513" width="9.25" style="36"/>
    <col min="11514" max="11514" width="3.625" style="36" bestFit="1" customWidth="1"/>
    <col min="11515" max="11515" width="12.25" style="36" customWidth="1"/>
    <col min="11516" max="11516" width="15.875" style="36" customWidth="1"/>
    <col min="11517" max="11517" width="16.125" style="36" customWidth="1"/>
    <col min="11518" max="11518" width="8.75" style="36" customWidth="1"/>
    <col min="11519" max="11519" width="8.375" style="36" bestFit="1" customWidth="1"/>
    <col min="11520" max="11520" width="7.125" style="36" customWidth="1"/>
    <col min="11521" max="11521" width="10.375" style="36" customWidth="1"/>
    <col min="11522" max="11522" width="14.125" style="36" customWidth="1"/>
    <col min="11523" max="11523" width="10.875" style="36" customWidth="1"/>
    <col min="11524" max="11524" width="11.125" style="36" customWidth="1"/>
    <col min="11525" max="11525" width="10.625" style="36" bestFit="1" customWidth="1"/>
    <col min="11526" max="11526" width="10.25" style="36" customWidth="1"/>
    <col min="11527" max="11527" width="11" style="36" customWidth="1"/>
    <col min="11528" max="11528" width="13.25" style="36" customWidth="1"/>
    <col min="11529" max="11529" width="27.375" style="36" customWidth="1"/>
    <col min="11530" max="11769" width="9.25" style="36"/>
    <col min="11770" max="11770" width="3.625" style="36" bestFit="1" customWidth="1"/>
    <col min="11771" max="11771" width="12.25" style="36" customWidth="1"/>
    <col min="11772" max="11772" width="15.875" style="36" customWidth="1"/>
    <col min="11773" max="11773" width="16.125" style="36" customWidth="1"/>
    <col min="11774" max="11774" width="8.75" style="36" customWidth="1"/>
    <col min="11775" max="11775" width="8.375" style="36" bestFit="1" customWidth="1"/>
    <col min="11776" max="11776" width="7.125" style="36" customWidth="1"/>
    <col min="11777" max="11777" width="10.375" style="36" customWidth="1"/>
    <col min="11778" max="11778" width="14.125" style="36" customWidth="1"/>
    <col min="11779" max="11779" width="10.875" style="36" customWidth="1"/>
    <col min="11780" max="11780" width="11.125" style="36" customWidth="1"/>
    <col min="11781" max="11781" width="10.625" style="36" bestFit="1" customWidth="1"/>
    <col min="11782" max="11782" width="10.25" style="36" customWidth="1"/>
    <col min="11783" max="11783" width="11" style="36" customWidth="1"/>
    <col min="11784" max="11784" width="13.25" style="36" customWidth="1"/>
    <col min="11785" max="11785" width="27.375" style="36" customWidth="1"/>
    <col min="11786" max="12025" width="9.25" style="36"/>
    <col min="12026" max="12026" width="3.625" style="36" bestFit="1" customWidth="1"/>
    <col min="12027" max="12027" width="12.25" style="36" customWidth="1"/>
    <col min="12028" max="12028" width="15.875" style="36" customWidth="1"/>
    <col min="12029" max="12029" width="16.125" style="36" customWidth="1"/>
    <col min="12030" max="12030" width="8.75" style="36" customWidth="1"/>
    <col min="12031" max="12031" width="8.375" style="36" bestFit="1" customWidth="1"/>
    <col min="12032" max="12032" width="7.125" style="36" customWidth="1"/>
    <col min="12033" max="12033" width="10.375" style="36" customWidth="1"/>
    <col min="12034" max="12034" width="14.125" style="36" customWidth="1"/>
    <col min="12035" max="12035" width="10.875" style="36" customWidth="1"/>
    <col min="12036" max="12036" width="11.125" style="36" customWidth="1"/>
    <col min="12037" max="12037" width="10.625" style="36" bestFit="1" customWidth="1"/>
    <col min="12038" max="12038" width="10.25" style="36" customWidth="1"/>
    <col min="12039" max="12039" width="11" style="36" customWidth="1"/>
    <col min="12040" max="12040" width="13.25" style="36" customWidth="1"/>
    <col min="12041" max="12041" width="27.375" style="36" customWidth="1"/>
    <col min="12042" max="12281" width="9.25" style="36"/>
    <col min="12282" max="12282" width="3.625" style="36" bestFit="1" customWidth="1"/>
    <col min="12283" max="12283" width="12.25" style="36" customWidth="1"/>
    <col min="12284" max="12284" width="15.875" style="36" customWidth="1"/>
    <col min="12285" max="12285" width="16.125" style="36" customWidth="1"/>
    <col min="12286" max="12286" width="8.75" style="36" customWidth="1"/>
    <col min="12287" max="12287" width="8.375" style="36" bestFit="1" customWidth="1"/>
    <col min="12288" max="12288" width="7.125" style="36" customWidth="1"/>
    <col min="12289" max="12289" width="10.375" style="36" customWidth="1"/>
    <col min="12290" max="12290" width="14.125" style="36" customWidth="1"/>
    <col min="12291" max="12291" width="10.875" style="36" customWidth="1"/>
    <col min="12292" max="12292" width="11.125" style="36" customWidth="1"/>
    <col min="12293" max="12293" width="10.625" style="36" bestFit="1" customWidth="1"/>
    <col min="12294" max="12294" width="10.25" style="36" customWidth="1"/>
    <col min="12295" max="12295" width="11" style="36" customWidth="1"/>
    <col min="12296" max="12296" width="13.25" style="36" customWidth="1"/>
    <col min="12297" max="12297" width="27.375" style="36" customWidth="1"/>
    <col min="12298" max="12537" width="9.25" style="36"/>
    <col min="12538" max="12538" width="3.625" style="36" bestFit="1" customWidth="1"/>
    <col min="12539" max="12539" width="12.25" style="36" customWidth="1"/>
    <col min="12540" max="12540" width="15.875" style="36" customWidth="1"/>
    <col min="12541" max="12541" width="16.125" style="36" customWidth="1"/>
    <col min="12542" max="12542" width="8.75" style="36" customWidth="1"/>
    <col min="12543" max="12543" width="8.375" style="36" bestFit="1" customWidth="1"/>
    <col min="12544" max="12544" width="7.125" style="36" customWidth="1"/>
    <col min="12545" max="12545" width="10.375" style="36" customWidth="1"/>
    <col min="12546" max="12546" width="14.125" style="36" customWidth="1"/>
    <col min="12547" max="12547" width="10.875" style="36" customWidth="1"/>
    <col min="12548" max="12548" width="11.125" style="36" customWidth="1"/>
    <col min="12549" max="12549" width="10.625" style="36" bestFit="1" customWidth="1"/>
    <col min="12550" max="12550" width="10.25" style="36" customWidth="1"/>
    <col min="12551" max="12551" width="11" style="36" customWidth="1"/>
    <col min="12552" max="12552" width="13.25" style="36" customWidth="1"/>
    <col min="12553" max="12553" width="27.375" style="36" customWidth="1"/>
    <col min="12554" max="12793" width="9.25" style="36"/>
    <col min="12794" max="12794" width="3.625" style="36" bestFit="1" customWidth="1"/>
    <col min="12795" max="12795" width="12.25" style="36" customWidth="1"/>
    <col min="12796" max="12796" width="15.875" style="36" customWidth="1"/>
    <col min="12797" max="12797" width="16.125" style="36" customWidth="1"/>
    <col min="12798" max="12798" width="8.75" style="36" customWidth="1"/>
    <col min="12799" max="12799" width="8.375" style="36" bestFit="1" customWidth="1"/>
    <col min="12800" max="12800" width="7.125" style="36" customWidth="1"/>
    <col min="12801" max="12801" width="10.375" style="36" customWidth="1"/>
    <col min="12802" max="12802" width="14.125" style="36" customWidth="1"/>
    <col min="12803" max="12803" width="10.875" style="36" customWidth="1"/>
    <col min="12804" max="12804" width="11.125" style="36" customWidth="1"/>
    <col min="12805" max="12805" width="10.625" style="36" bestFit="1" customWidth="1"/>
    <col min="12806" max="12806" width="10.25" style="36" customWidth="1"/>
    <col min="12807" max="12807" width="11" style="36" customWidth="1"/>
    <col min="12808" max="12808" width="13.25" style="36" customWidth="1"/>
    <col min="12809" max="12809" width="27.375" style="36" customWidth="1"/>
    <col min="12810" max="13049" width="9.25" style="36"/>
    <col min="13050" max="13050" width="3.625" style="36" bestFit="1" customWidth="1"/>
    <col min="13051" max="13051" width="12.25" style="36" customWidth="1"/>
    <col min="13052" max="13052" width="15.875" style="36" customWidth="1"/>
    <col min="13053" max="13053" width="16.125" style="36" customWidth="1"/>
    <col min="13054" max="13054" width="8.75" style="36" customWidth="1"/>
    <col min="13055" max="13055" width="8.375" style="36" bestFit="1" customWidth="1"/>
    <col min="13056" max="13056" width="7.125" style="36" customWidth="1"/>
    <col min="13057" max="13057" width="10.375" style="36" customWidth="1"/>
    <col min="13058" max="13058" width="14.125" style="36" customWidth="1"/>
    <col min="13059" max="13059" width="10.875" style="36" customWidth="1"/>
    <col min="13060" max="13060" width="11.125" style="36" customWidth="1"/>
    <col min="13061" max="13061" width="10.625" style="36" bestFit="1" customWidth="1"/>
    <col min="13062" max="13062" width="10.25" style="36" customWidth="1"/>
    <col min="13063" max="13063" width="11" style="36" customWidth="1"/>
    <col min="13064" max="13064" width="13.25" style="36" customWidth="1"/>
    <col min="13065" max="13065" width="27.375" style="36" customWidth="1"/>
    <col min="13066" max="13305" width="9.25" style="36"/>
    <col min="13306" max="13306" width="3.625" style="36" bestFit="1" customWidth="1"/>
    <col min="13307" max="13307" width="12.25" style="36" customWidth="1"/>
    <col min="13308" max="13308" width="15.875" style="36" customWidth="1"/>
    <col min="13309" max="13309" width="16.125" style="36" customWidth="1"/>
    <col min="13310" max="13310" width="8.75" style="36" customWidth="1"/>
    <col min="13311" max="13311" width="8.375" style="36" bestFit="1" customWidth="1"/>
    <col min="13312" max="13312" width="7.125" style="36" customWidth="1"/>
    <col min="13313" max="13313" width="10.375" style="36" customWidth="1"/>
    <col min="13314" max="13314" width="14.125" style="36" customWidth="1"/>
    <col min="13315" max="13315" width="10.875" style="36" customWidth="1"/>
    <col min="13316" max="13316" width="11.125" style="36" customWidth="1"/>
    <col min="13317" max="13317" width="10.625" style="36" bestFit="1" customWidth="1"/>
    <col min="13318" max="13318" width="10.25" style="36" customWidth="1"/>
    <col min="13319" max="13319" width="11" style="36" customWidth="1"/>
    <col min="13320" max="13320" width="13.25" style="36" customWidth="1"/>
    <col min="13321" max="13321" width="27.375" style="36" customWidth="1"/>
    <col min="13322" max="13561" width="9.25" style="36"/>
    <col min="13562" max="13562" width="3.625" style="36" bestFit="1" customWidth="1"/>
    <col min="13563" max="13563" width="12.25" style="36" customWidth="1"/>
    <col min="13564" max="13564" width="15.875" style="36" customWidth="1"/>
    <col min="13565" max="13565" width="16.125" style="36" customWidth="1"/>
    <col min="13566" max="13566" width="8.75" style="36" customWidth="1"/>
    <col min="13567" max="13567" width="8.375" style="36" bestFit="1" customWidth="1"/>
    <col min="13568" max="13568" width="7.125" style="36" customWidth="1"/>
    <col min="13569" max="13569" width="10.375" style="36" customWidth="1"/>
    <col min="13570" max="13570" width="14.125" style="36" customWidth="1"/>
    <col min="13571" max="13571" width="10.875" style="36" customWidth="1"/>
    <col min="13572" max="13572" width="11.125" style="36" customWidth="1"/>
    <col min="13573" max="13573" width="10.625" style="36" bestFit="1" customWidth="1"/>
    <col min="13574" max="13574" width="10.25" style="36" customWidth="1"/>
    <col min="13575" max="13575" width="11" style="36" customWidth="1"/>
    <col min="13576" max="13576" width="13.25" style="36" customWidth="1"/>
    <col min="13577" max="13577" width="27.375" style="36" customWidth="1"/>
    <col min="13578" max="13817" width="9.25" style="36"/>
    <col min="13818" max="13818" width="3.625" style="36" bestFit="1" customWidth="1"/>
    <col min="13819" max="13819" width="12.25" style="36" customWidth="1"/>
    <col min="13820" max="13820" width="15.875" style="36" customWidth="1"/>
    <col min="13821" max="13821" width="16.125" style="36" customWidth="1"/>
    <col min="13822" max="13822" width="8.75" style="36" customWidth="1"/>
    <col min="13823" max="13823" width="8.375" style="36" bestFit="1" customWidth="1"/>
    <col min="13824" max="13824" width="7.125" style="36" customWidth="1"/>
    <col min="13825" max="13825" width="10.375" style="36" customWidth="1"/>
    <col min="13826" max="13826" width="14.125" style="36" customWidth="1"/>
    <col min="13827" max="13827" width="10.875" style="36" customWidth="1"/>
    <col min="13828" max="13828" width="11.125" style="36" customWidth="1"/>
    <col min="13829" max="13829" width="10.625" style="36" bestFit="1" customWidth="1"/>
    <col min="13830" max="13830" width="10.25" style="36" customWidth="1"/>
    <col min="13831" max="13831" width="11" style="36" customWidth="1"/>
    <col min="13832" max="13832" width="13.25" style="36" customWidth="1"/>
    <col min="13833" max="13833" width="27.375" style="36" customWidth="1"/>
    <col min="13834" max="14073" width="9.25" style="36"/>
    <col min="14074" max="14074" width="3.625" style="36" bestFit="1" customWidth="1"/>
    <col min="14075" max="14075" width="12.25" style="36" customWidth="1"/>
    <col min="14076" max="14076" width="15.875" style="36" customWidth="1"/>
    <col min="14077" max="14077" width="16.125" style="36" customWidth="1"/>
    <col min="14078" max="14078" width="8.75" style="36" customWidth="1"/>
    <col min="14079" max="14079" width="8.375" style="36" bestFit="1" customWidth="1"/>
    <col min="14080" max="14080" width="7.125" style="36" customWidth="1"/>
    <col min="14081" max="14081" width="10.375" style="36" customWidth="1"/>
    <col min="14082" max="14082" width="14.125" style="36" customWidth="1"/>
    <col min="14083" max="14083" width="10.875" style="36" customWidth="1"/>
    <col min="14084" max="14084" width="11.125" style="36" customWidth="1"/>
    <col min="14085" max="14085" width="10.625" style="36" bestFit="1" customWidth="1"/>
    <col min="14086" max="14086" width="10.25" style="36" customWidth="1"/>
    <col min="14087" max="14087" width="11" style="36" customWidth="1"/>
    <col min="14088" max="14088" width="13.25" style="36" customWidth="1"/>
    <col min="14089" max="14089" width="27.375" style="36" customWidth="1"/>
    <col min="14090" max="14329" width="9.25" style="36"/>
    <col min="14330" max="14330" width="3.625" style="36" bestFit="1" customWidth="1"/>
    <col min="14331" max="14331" width="12.25" style="36" customWidth="1"/>
    <col min="14332" max="14332" width="15.875" style="36" customWidth="1"/>
    <col min="14333" max="14333" width="16.125" style="36" customWidth="1"/>
    <col min="14334" max="14334" width="8.75" style="36" customWidth="1"/>
    <col min="14335" max="14335" width="8.375" style="36" bestFit="1" customWidth="1"/>
    <col min="14336" max="14336" width="7.125" style="36" customWidth="1"/>
    <col min="14337" max="14337" width="10.375" style="36" customWidth="1"/>
    <col min="14338" max="14338" width="14.125" style="36" customWidth="1"/>
    <col min="14339" max="14339" width="10.875" style="36" customWidth="1"/>
    <col min="14340" max="14340" width="11.125" style="36" customWidth="1"/>
    <col min="14341" max="14341" width="10.625" style="36" bestFit="1" customWidth="1"/>
    <col min="14342" max="14342" width="10.25" style="36" customWidth="1"/>
    <col min="14343" max="14343" width="11" style="36" customWidth="1"/>
    <col min="14344" max="14344" width="13.25" style="36" customWidth="1"/>
    <col min="14345" max="14345" width="27.375" style="36" customWidth="1"/>
    <col min="14346" max="14585" width="9.25" style="36"/>
    <col min="14586" max="14586" width="3.625" style="36" bestFit="1" customWidth="1"/>
    <col min="14587" max="14587" width="12.25" style="36" customWidth="1"/>
    <col min="14588" max="14588" width="15.875" style="36" customWidth="1"/>
    <col min="14589" max="14589" width="16.125" style="36" customWidth="1"/>
    <col min="14590" max="14590" width="8.75" style="36" customWidth="1"/>
    <col min="14591" max="14591" width="8.375" style="36" bestFit="1" customWidth="1"/>
    <col min="14592" max="14592" width="7.125" style="36" customWidth="1"/>
    <col min="14593" max="14593" width="10.375" style="36" customWidth="1"/>
    <col min="14594" max="14594" width="14.125" style="36" customWidth="1"/>
    <col min="14595" max="14595" width="10.875" style="36" customWidth="1"/>
    <col min="14596" max="14596" width="11.125" style="36" customWidth="1"/>
    <col min="14597" max="14597" width="10.625" style="36" bestFit="1" customWidth="1"/>
    <col min="14598" max="14598" width="10.25" style="36" customWidth="1"/>
    <col min="14599" max="14599" width="11" style="36" customWidth="1"/>
    <col min="14600" max="14600" width="13.25" style="36" customWidth="1"/>
    <col min="14601" max="14601" width="27.375" style="36" customWidth="1"/>
    <col min="14602" max="14841" width="9.25" style="36"/>
    <col min="14842" max="14842" width="3.625" style="36" bestFit="1" customWidth="1"/>
    <col min="14843" max="14843" width="12.25" style="36" customWidth="1"/>
    <col min="14844" max="14844" width="15.875" style="36" customWidth="1"/>
    <col min="14845" max="14845" width="16.125" style="36" customWidth="1"/>
    <col min="14846" max="14846" width="8.75" style="36" customWidth="1"/>
    <col min="14847" max="14847" width="8.375" style="36" bestFit="1" customWidth="1"/>
    <col min="14848" max="14848" width="7.125" style="36" customWidth="1"/>
    <col min="14849" max="14849" width="10.375" style="36" customWidth="1"/>
    <col min="14850" max="14850" width="14.125" style="36" customWidth="1"/>
    <col min="14851" max="14851" width="10.875" style="36" customWidth="1"/>
    <col min="14852" max="14852" width="11.125" style="36" customWidth="1"/>
    <col min="14853" max="14853" width="10.625" style="36" bestFit="1" customWidth="1"/>
    <col min="14854" max="14854" width="10.25" style="36" customWidth="1"/>
    <col min="14855" max="14855" width="11" style="36" customWidth="1"/>
    <col min="14856" max="14856" width="13.25" style="36" customWidth="1"/>
    <col min="14857" max="14857" width="27.375" style="36" customWidth="1"/>
    <col min="14858" max="15097" width="9.25" style="36"/>
    <col min="15098" max="15098" width="3.625" style="36" bestFit="1" customWidth="1"/>
    <col min="15099" max="15099" width="12.25" style="36" customWidth="1"/>
    <col min="15100" max="15100" width="15.875" style="36" customWidth="1"/>
    <col min="15101" max="15101" width="16.125" style="36" customWidth="1"/>
    <col min="15102" max="15102" width="8.75" style="36" customWidth="1"/>
    <col min="15103" max="15103" width="8.375" style="36" bestFit="1" customWidth="1"/>
    <col min="15104" max="15104" width="7.125" style="36" customWidth="1"/>
    <col min="15105" max="15105" width="10.375" style="36" customWidth="1"/>
    <col min="15106" max="15106" width="14.125" style="36" customWidth="1"/>
    <col min="15107" max="15107" width="10.875" style="36" customWidth="1"/>
    <col min="15108" max="15108" width="11.125" style="36" customWidth="1"/>
    <col min="15109" max="15109" width="10.625" style="36" bestFit="1" customWidth="1"/>
    <col min="15110" max="15110" width="10.25" style="36" customWidth="1"/>
    <col min="15111" max="15111" width="11" style="36" customWidth="1"/>
    <col min="15112" max="15112" width="13.25" style="36" customWidth="1"/>
    <col min="15113" max="15113" width="27.375" style="36" customWidth="1"/>
    <col min="15114" max="15353" width="9.25" style="36"/>
    <col min="15354" max="15354" width="3.625" style="36" bestFit="1" customWidth="1"/>
    <col min="15355" max="15355" width="12.25" style="36" customWidth="1"/>
    <col min="15356" max="15356" width="15.875" style="36" customWidth="1"/>
    <col min="15357" max="15357" width="16.125" style="36" customWidth="1"/>
    <col min="15358" max="15358" width="8.75" style="36" customWidth="1"/>
    <col min="15359" max="15359" width="8.375" style="36" bestFit="1" customWidth="1"/>
    <col min="15360" max="15360" width="7.125" style="36" customWidth="1"/>
    <col min="15361" max="15361" width="10.375" style="36" customWidth="1"/>
    <col min="15362" max="15362" width="14.125" style="36" customWidth="1"/>
    <col min="15363" max="15363" width="10.875" style="36" customWidth="1"/>
    <col min="15364" max="15364" width="11.125" style="36" customWidth="1"/>
    <col min="15365" max="15365" width="10.625" style="36" bestFit="1" customWidth="1"/>
    <col min="15366" max="15366" width="10.25" style="36" customWidth="1"/>
    <col min="15367" max="15367" width="11" style="36" customWidth="1"/>
    <col min="15368" max="15368" width="13.25" style="36" customWidth="1"/>
    <col min="15369" max="15369" width="27.375" style="36" customWidth="1"/>
    <col min="15370" max="15609" width="9.25" style="36"/>
    <col min="15610" max="15610" width="3.625" style="36" bestFit="1" customWidth="1"/>
    <col min="15611" max="15611" width="12.25" style="36" customWidth="1"/>
    <col min="15612" max="15612" width="15.875" style="36" customWidth="1"/>
    <col min="15613" max="15613" width="16.125" style="36" customWidth="1"/>
    <col min="15614" max="15614" width="8.75" style="36" customWidth="1"/>
    <col min="15615" max="15615" width="8.375" style="36" bestFit="1" customWidth="1"/>
    <col min="15616" max="15616" width="7.125" style="36" customWidth="1"/>
    <col min="15617" max="15617" width="10.375" style="36" customWidth="1"/>
    <col min="15618" max="15618" width="14.125" style="36" customWidth="1"/>
    <col min="15619" max="15619" width="10.875" style="36" customWidth="1"/>
    <col min="15620" max="15620" width="11.125" style="36" customWidth="1"/>
    <col min="15621" max="15621" width="10.625" style="36" bestFit="1" customWidth="1"/>
    <col min="15622" max="15622" width="10.25" style="36" customWidth="1"/>
    <col min="15623" max="15623" width="11" style="36" customWidth="1"/>
    <col min="15624" max="15624" width="13.25" style="36" customWidth="1"/>
    <col min="15625" max="15625" width="27.375" style="36" customWidth="1"/>
    <col min="15626" max="15865" width="9.25" style="36"/>
    <col min="15866" max="15866" width="3.625" style="36" bestFit="1" customWidth="1"/>
    <col min="15867" max="15867" width="12.25" style="36" customWidth="1"/>
    <col min="15868" max="15868" width="15.875" style="36" customWidth="1"/>
    <col min="15869" max="15869" width="16.125" style="36" customWidth="1"/>
    <col min="15870" max="15870" width="8.75" style="36" customWidth="1"/>
    <col min="15871" max="15871" width="8.375" style="36" bestFit="1" customWidth="1"/>
    <col min="15872" max="15872" width="7.125" style="36" customWidth="1"/>
    <col min="15873" max="15873" width="10.375" style="36" customWidth="1"/>
    <col min="15874" max="15874" width="14.125" style="36" customWidth="1"/>
    <col min="15875" max="15875" width="10.875" style="36" customWidth="1"/>
    <col min="15876" max="15876" width="11.125" style="36" customWidth="1"/>
    <col min="15877" max="15877" width="10.625" style="36" bestFit="1" customWidth="1"/>
    <col min="15878" max="15878" width="10.25" style="36" customWidth="1"/>
    <col min="15879" max="15879" width="11" style="36" customWidth="1"/>
    <col min="15880" max="15880" width="13.25" style="36" customWidth="1"/>
    <col min="15881" max="15881" width="27.375" style="36" customWidth="1"/>
    <col min="15882" max="16121" width="9.25" style="36"/>
    <col min="16122" max="16122" width="3.625" style="36" bestFit="1" customWidth="1"/>
    <col min="16123" max="16123" width="12.25" style="36" customWidth="1"/>
    <col min="16124" max="16124" width="15.875" style="36" customWidth="1"/>
    <col min="16125" max="16125" width="16.125" style="36" customWidth="1"/>
    <col min="16126" max="16126" width="8.75" style="36" customWidth="1"/>
    <col min="16127" max="16127" width="8.375" style="36" bestFit="1" customWidth="1"/>
    <col min="16128" max="16128" width="7.125" style="36" customWidth="1"/>
    <col min="16129" max="16129" width="10.375" style="36" customWidth="1"/>
    <col min="16130" max="16130" width="14.125" style="36" customWidth="1"/>
    <col min="16131" max="16131" width="10.875" style="36" customWidth="1"/>
    <col min="16132" max="16132" width="11.125" style="36" customWidth="1"/>
    <col min="16133" max="16133" width="10.625" style="36" bestFit="1" customWidth="1"/>
    <col min="16134" max="16134" width="10.25" style="36" customWidth="1"/>
    <col min="16135" max="16135" width="11" style="36" customWidth="1"/>
    <col min="16136" max="16136" width="13.25" style="36" customWidth="1"/>
    <col min="16137" max="16137" width="27.375" style="36" customWidth="1"/>
    <col min="16138" max="16384" width="9.25" style="36"/>
  </cols>
  <sheetData>
    <row r="1" spans="1:21" ht="15.75">
      <c r="A1" s="4056" t="s">
        <v>165</v>
      </c>
      <c r="B1" s="4056"/>
      <c r="C1" s="4056"/>
      <c r="D1" s="4056"/>
      <c r="E1" s="4056"/>
      <c r="F1" s="4056"/>
      <c r="G1" s="4056"/>
      <c r="H1" s="4056"/>
      <c r="I1" s="40"/>
      <c r="J1" s="40"/>
    </row>
    <row r="2" spans="1:21" ht="15.75" customHeight="1">
      <c r="A2" s="3899" t="s">
        <v>171</v>
      </c>
      <c r="B2" s="3899"/>
      <c r="C2" s="3899"/>
      <c r="D2" s="3899"/>
      <c r="E2" s="3899"/>
      <c r="F2" s="3899"/>
      <c r="G2" s="3899"/>
      <c r="H2" s="3899"/>
      <c r="I2" s="40"/>
      <c r="J2" s="40"/>
    </row>
    <row r="3" spans="1:21" ht="18.75">
      <c r="A3" s="4076" t="s">
        <v>726</v>
      </c>
      <c r="B3" s="4076"/>
      <c r="C3" s="4076"/>
      <c r="D3" s="4076"/>
      <c r="E3" s="4076"/>
      <c r="F3" s="4076"/>
      <c r="G3" s="4076"/>
      <c r="H3" s="4076"/>
      <c r="I3" s="1531"/>
      <c r="J3" s="1534"/>
      <c r="K3" s="1534"/>
      <c r="L3" s="1534"/>
      <c r="M3" s="1534"/>
      <c r="N3" s="1534"/>
    </row>
    <row r="4" spans="1:21" ht="18.75">
      <c r="A4" s="4075" t="s">
        <v>602</v>
      </c>
      <c r="B4" s="4075"/>
      <c r="C4" s="4075"/>
      <c r="D4" s="4075"/>
      <c r="E4" s="2434"/>
      <c r="F4" s="2434"/>
      <c r="G4" s="1522"/>
      <c r="H4" s="1522"/>
      <c r="I4" s="1531"/>
      <c r="J4" s="1534"/>
      <c r="K4" s="1534"/>
      <c r="L4" s="1534"/>
      <c r="M4" s="1534"/>
      <c r="N4" s="1534"/>
    </row>
    <row r="5" spans="1:21" ht="18.75">
      <c r="A5" s="3899" t="s">
        <v>541</v>
      </c>
      <c r="B5" s="3899"/>
      <c r="C5" s="3899"/>
      <c r="D5" s="3899"/>
      <c r="E5" s="1534"/>
      <c r="F5" s="1534"/>
      <c r="G5" s="1522"/>
      <c r="H5" s="1522"/>
      <c r="I5" s="1531"/>
      <c r="J5" s="1534"/>
      <c r="K5" s="1534"/>
      <c r="L5" s="1534"/>
      <c r="M5" s="1534"/>
      <c r="N5" s="1534"/>
    </row>
    <row r="6" spans="1:21" ht="14.25" customHeight="1">
      <c r="A6" s="1522"/>
      <c r="B6" s="1522"/>
      <c r="C6" s="1522"/>
      <c r="D6" s="2428"/>
      <c r="E6" s="1522"/>
      <c r="F6" s="1522"/>
      <c r="G6" s="1522"/>
      <c r="H6" s="1522"/>
      <c r="I6" s="1531"/>
      <c r="J6" s="1534"/>
      <c r="K6" s="1534"/>
      <c r="L6" s="1534"/>
      <c r="M6" s="1534"/>
      <c r="N6" s="1534"/>
      <c r="S6" s="36">
        <v>6.51</v>
      </c>
      <c r="T6" s="36">
        <v>1</v>
      </c>
      <c r="U6" s="36">
        <v>104.16</v>
      </c>
    </row>
    <row r="7" spans="1:21" ht="15.75">
      <c r="A7" s="1519"/>
      <c r="B7" s="1519"/>
      <c r="C7" s="1519"/>
      <c r="D7" s="2431"/>
      <c r="E7" s="1519"/>
      <c r="F7" s="1519"/>
      <c r="G7" s="1518"/>
      <c r="H7" s="1518"/>
      <c r="I7" s="40"/>
      <c r="J7" s="40"/>
      <c r="O7" s="36" t="s">
        <v>1074</v>
      </c>
      <c r="P7" s="36">
        <v>7.66</v>
      </c>
      <c r="S7" s="36">
        <v>13.370000000000001</v>
      </c>
      <c r="T7" s="36">
        <v>1</v>
      </c>
      <c r="U7" s="36">
        <v>160.44</v>
      </c>
    </row>
    <row r="8" spans="1:21" ht="18.75">
      <c r="A8" s="4074" t="s">
        <v>1822</v>
      </c>
      <c r="B8" s="4074"/>
      <c r="C8" s="4074"/>
      <c r="D8" s="4074"/>
      <c r="E8" s="4074"/>
      <c r="F8" s="4074"/>
      <c r="G8" s="4074"/>
      <c r="H8" s="4074"/>
      <c r="K8" s="1533"/>
      <c r="L8" s="1533"/>
      <c r="M8" s="1533"/>
      <c r="N8" s="1533"/>
      <c r="O8" s="1533"/>
      <c r="P8" s="1533"/>
      <c r="Q8" s="1533"/>
      <c r="R8" s="1533"/>
      <c r="S8" s="1533"/>
      <c r="T8" s="1533"/>
      <c r="U8" s="1533"/>
    </row>
    <row r="9" spans="1:21" ht="18.75" hidden="1">
      <c r="A9" s="4074"/>
      <c r="B9" s="4074"/>
      <c r="C9" s="4074"/>
      <c r="D9" s="4074"/>
      <c r="E9" s="4074"/>
      <c r="F9" s="4074"/>
      <c r="G9" s="4074"/>
      <c r="H9" s="4074"/>
    </row>
    <row r="10" spans="1:21" ht="16.5">
      <c r="G10" s="4064" t="s">
        <v>1157</v>
      </c>
      <c r="H10" s="4064"/>
      <c r="I10" s="2477"/>
    </row>
    <row r="11" spans="1:21" ht="31.5" customHeight="1">
      <c r="A11" s="4066" t="s">
        <v>1</v>
      </c>
      <c r="B11" s="4070" t="s">
        <v>2</v>
      </c>
      <c r="C11" s="4067" t="s">
        <v>5</v>
      </c>
      <c r="D11" s="4072" t="s">
        <v>1249</v>
      </c>
      <c r="E11" s="4068" t="s">
        <v>6</v>
      </c>
      <c r="F11" s="4068"/>
      <c r="G11" s="4068"/>
      <c r="H11" s="4067" t="s">
        <v>634</v>
      </c>
    </row>
    <row r="12" spans="1:21" ht="25.5" customHeight="1">
      <c r="A12" s="4066"/>
      <c r="B12" s="4071"/>
      <c r="C12" s="4067"/>
      <c r="D12" s="4073"/>
      <c r="E12" s="951" t="s">
        <v>47</v>
      </c>
      <c r="F12" s="2429" t="s">
        <v>14</v>
      </c>
      <c r="G12" s="2436" t="s">
        <v>15</v>
      </c>
      <c r="H12" s="4067"/>
    </row>
    <row r="13" spans="1:21" s="253" customFormat="1" ht="33.75" customHeight="1">
      <c r="A13" s="330">
        <v>1</v>
      </c>
      <c r="B13" s="2437" t="s">
        <v>1141</v>
      </c>
      <c r="C13" s="330" t="s">
        <v>259</v>
      </c>
      <c r="D13" s="330"/>
      <c r="E13" s="2997"/>
      <c r="F13" s="2439"/>
      <c r="G13" s="2439">
        <f>E13*F13</f>
        <v>0</v>
      </c>
      <c r="H13" s="2438"/>
    </row>
    <row r="14" spans="1:21" s="253" customFormat="1" ht="30" customHeight="1">
      <c r="A14" s="4069" t="s">
        <v>187</v>
      </c>
      <c r="B14" s="4069"/>
      <c r="C14" s="4069"/>
      <c r="D14" s="2430"/>
      <c r="E14" s="3110">
        <f>SUM(E13:E13)</f>
        <v>0</v>
      </c>
      <c r="F14" s="2476">
        <f>F13</f>
        <v>0</v>
      </c>
      <c r="G14" s="2476">
        <f>SUM(G13:G13)</f>
        <v>0</v>
      </c>
      <c r="H14" s="952"/>
      <c r="I14" s="953"/>
      <c r="J14" s="954"/>
    </row>
    <row r="15" spans="1:21">
      <c r="A15" s="4065"/>
      <c r="B15" s="4065"/>
      <c r="C15" s="4065"/>
      <c r="D15" s="4065"/>
      <c r="E15" s="4065"/>
      <c r="F15" s="4065"/>
      <c r="G15" s="4065"/>
      <c r="H15" s="4065"/>
    </row>
    <row r="16" spans="1:21" ht="15.75">
      <c r="A16" s="41"/>
      <c r="B16" s="42"/>
      <c r="C16" s="42"/>
      <c r="D16" s="42"/>
      <c r="E16" s="55"/>
      <c r="F16" s="42"/>
      <c r="G16" s="2440" t="s">
        <v>1773</v>
      </c>
      <c r="H16" s="42"/>
      <c r="I16" s="58"/>
    </row>
    <row r="17" spans="1:9" ht="15.75">
      <c r="A17" s="3751" t="s">
        <v>45</v>
      </c>
      <c r="B17" s="3751"/>
      <c r="C17" s="1742"/>
      <c r="D17" s="2427"/>
      <c r="E17" s="1742" t="s">
        <v>44</v>
      </c>
      <c r="F17" s="1742"/>
      <c r="G17" s="3751" t="s">
        <v>615</v>
      </c>
      <c r="H17" s="3751"/>
      <c r="I17" s="40"/>
    </row>
    <row r="23" spans="1:9" s="142" customFormat="1" ht="15.75">
      <c r="G23" s="143"/>
      <c r="H23" s="2427"/>
    </row>
    <row r="24" spans="1:9" s="142" customFormat="1">
      <c r="G24" s="143"/>
    </row>
  </sheetData>
  <mergeCells count="18">
    <mergeCell ref="A9:H9"/>
    <mergeCell ref="A8:H8"/>
    <mergeCell ref="A4:D4"/>
    <mergeCell ref="A5:D5"/>
    <mergeCell ref="A1:H1"/>
    <mergeCell ref="A2:H2"/>
    <mergeCell ref="A3:H3"/>
    <mergeCell ref="G10:H10"/>
    <mergeCell ref="G17:H17"/>
    <mergeCell ref="A15:H15"/>
    <mergeCell ref="A11:A12"/>
    <mergeCell ref="C11:C12"/>
    <mergeCell ref="E11:G11"/>
    <mergeCell ref="H11:H12"/>
    <mergeCell ref="A14:C14"/>
    <mergeCell ref="B11:B12"/>
    <mergeCell ref="D11:D12"/>
    <mergeCell ref="A17:B17"/>
  </mergeCells>
  <printOptions horizontalCentered="1"/>
  <pageMargins left="0.19685039370078741" right="0.19685039370078741" top="0.74803149606299213" bottom="0.74803149606299213" header="0.31496062992125984" footer="0.31496062992125984"/>
  <pageSetup paperSize="9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Q21"/>
  <sheetViews>
    <sheetView zoomScale="85" zoomScaleNormal="85" workbookViewId="0">
      <selection activeCell="L14" sqref="L14"/>
    </sheetView>
  </sheetViews>
  <sheetFormatPr defaultColWidth="9.375" defaultRowHeight="16.5"/>
  <cols>
    <col min="1" max="1" width="5.375" style="697" customWidth="1"/>
    <col min="2" max="2" width="10.875" style="697" customWidth="1"/>
    <col min="3" max="3" width="15.875" style="697" customWidth="1"/>
    <col min="4" max="4" width="12.375" style="697" customWidth="1"/>
    <col min="5" max="5" width="8.75" style="697" customWidth="1"/>
    <col min="6" max="6" width="8.375" style="697" bestFit="1" customWidth="1"/>
    <col min="7" max="7" width="7.125" style="697" customWidth="1"/>
    <col min="8" max="8" width="13.625" style="707" customWidth="1"/>
    <col min="9" max="9" width="14.125" style="697" customWidth="1"/>
    <col min="10" max="10" width="10.875" style="697" customWidth="1"/>
    <col min="11" max="11" width="13.375" style="697" customWidth="1"/>
    <col min="12" max="12" width="10.375" style="697" bestFit="1" customWidth="1"/>
    <col min="13" max="13" width="10.25" style="697" customWidth="1"/>
    <col min="14" max="14" width="12.125" style="697" customWidth="1"/>
    <col min="15" max="15" width="14.75" style="697" customWidth="1"/>
    <col min="16" max="16" width="27.375" style="697" customWidth="1"/>
    <col min="17" max="16384" width="9.375" style="697"/>
  </cols>
  <sheetData>
    <row r="1" spans="1:17">
      <c r="A1" s="4077" t="s">
        <v>574</v>
      </c>
      <c r="B1" s="4077"/>
      <c r="C1" s="4077"/>
      <c r="D1" s="4077"/>
      <c r="E1" s="4077"/>
      <c r="F1" s="4077"/>
      <c r="H1" s="3666" t="s">
        <v>165</v>
      </c>
      <c r="I1" s="3666"/>
      <c r="J1" s="3666"/>
      <c r="K1" s="3666"/>
      <c r="L1" s="3666"/>
      <c r="M1" s="3666"/>
      <c r="N1" s="3666"/>
      <c r="O1" s="3666"/>
      <c r="P1" s="157"/>
      <c r="Q1" s="157"/>
    </row>
    <row r="2" spans="1:17">
      <c r="A2" s="3899" t="s">
        <v>686</v>
      </c>
      <c r="B2" s="3899"/>
      <c r="C2" s="3899"/>
      <c r="D2" s="3899"/>
      <c r="E2" s="3899"/>
      <c r="F2" s="3899"/>
      <c r="H2" s="3666" t="s">
        <v>171</v>
      </c>
      <c r="I2" s="3666"/>
      <c r="J2" s="3666"/>
      <c r="K2" s="3666"/>
      <c r="L2" s="3666"/>
      <c r="M2" s="3666"/>
      <c r="N2" s="3666"/>
      <c r="O2" s="3666"/>
      <c r="P2" s="157"/>
      <c r="Q2" s="157"/>
    </row>
    <row r="3" spans="1:17" ht="29.25" customHeight="1">
      <c r="A3" s="4074" t="s">
        <v>715</v>
      </c>
      <c r="B3" s="4074"/>
      <c r="C3" s="4074"/>
      <c r="D3" s="4074"/>
      <c r="E3" s="4074"/>
      <c r="F3" s="4074"/>
      <c r="G3" s="4074"/>
      <c r="H3" s="4074"/>
      <c r="I3" s="4074"/>
      <c r="J3" s="4074"/>
      <c r="K3" s="4074"/>
      <c r="L3" s="4074"/>
      <c r="M3" s="4074"/>
      <c r="N3" s="4074"/>
      <c r="O3" s="4074"/>
    </row>
    <row r="4" spans="1:17" ht="18.75">
      <c r="A4" s="4074" t="s">
        <v>687</v>
      </c>
      <c r="B4" s="4074"/>
      <c r="C4" s="4074"/>
      <c r="D4" s="4074"/>
      <c r="E4" s="4074"/>
      <c r="F4" s="4074"/>
      <c r="G4" s="4074"/>
      <c r="H4" s="4074"/>
      <c r="I4" s="4074"/>
      <c r="J4" s="4074"/>
      <c r="K4" s="4074"/>
      <c r="L4" s="4074"/>
      <c r="M4" s="4074"/>
      <c r="N4" s="4074"/>
      <c r="O4" s="4074"/>
    </row>
    <row r="5" spans="1:17" ht="6.75" customHeight="1"/>
    <row r="6" spans="1:17" ht="8.25" customHeight="1"/>
    <row r="7" spans="1:17" ht="20.25" customHeight="1">
      <c r="A7" s="4078" t="s">
        <v>1</v>
      </c>
      <c r="B7" s="4078" t="s">
        <v>2</v>
      </c>
      <c r="C7" s="4078"/>
      <c r="D7" s="3896" t="s">
        <v>5</v>
      </c>
      <c r="E7" s="4078" t="s">
        <v>6</v>
      </c>
      <c r="F7" s="4078"/>
      <c r="G7" s="4078"/>
      <c r="H7" s="4078"/>
      <c r="I7" s="4078"/>
      <c r="J7" s="4078" t="s">
        <v>8</v>
      </c>
      <c r="K7" s="3896" t="s">
        <v>10</v>
      </c>
      <c r="L7" s="3896" t="s">
        <v>11</v>
      </c>
      <c r="M7" s="3896" t="s">
        <v>12</v>
      </c>
      <c r="N7" s="3896" t="s">
        <v>16</v>
      </c>
      <c r="O7" s="3896" t="s">
        <v>17</v>
      </c>
    </row>
    <row r="8" spans="1:17" ht="49.5">
      <c r="A8" s="4078"/>
      <c r="B8" s="700" t="s">
        <v>3</v>
      </c>
      <c r="C8" s="700" t="s">
        <v>4</v>
      </c>
      <c r="D8" s="3896"/>
      <c r="E8" s="701" t="s">
        <v>13</v>
      </c>
      <c r="F8" s="701" t="s">
        <v>14</v>
      </c>
      <c r="G8" s="700" t="s">
        <v>7</v>
      </c>
      <c r="H8" s="711" t="s">
        <v>15</v>
      </c>
      <c r="I8" s="701" t="s">
        <v>25</v>
      </c>
      <c r="J8" s="4078"/>
      <c r="K8" s="3896"/>
      <c r="L8" s="4078"/>
      <c r="M8" s="4078"/>
      <c r="N8" s="4078"/>
      <c r="O8" s="4078"/>
    </row>
    <row r="9" spans="1:17" ht="51" hidden="1">
      <c r="A9" s="712" t="s">
        <v>66</v>
      </c>
      <c r="B9" s="712" t="s">
        <v>67</v>
      </c>
      <c r="C9" s="712" t="s">
        <v>81</v>
      </c>
      <c r="D9" s="712" t="s">
        <v>69</v>
      </c>
      <c r="E9" s="712" t="s">
        <v>70</v>
      </c>
      <c r="F9" s="712" t="s">
        <v>72</v>
      </c>
      <c r="G9" s="712" t="s">
        <v>72</v>
      </c>
      <c r="H9" s="713" t="s">
        <v>73</v>
      </c>
      <c r="I9" s="712" t="s">
        <v>74</v>
      </c>
      <c r="J9" s="712" t="s">
        <v>75</v>
      </c>
      <c r="K9" s="712" t="s">
        <v>82</v>
      </c>
      <c r="L9" s="712" t="s">
        <v>77</v>
      </c>
      <c r="M9" s="712" t="s">
        <v>83</v>
      </c>
      <c r="N9" s="712" t="s">
        <v>79</v>
      </c>
      <c r="O9" s="712" t="s">
        <v>80</v>
      </c>
    </row>
    <row r="10" spans="1:17" s="714" customFormat="1" ht="26.25" customHeight="1">
      <c r="A10" s="715">
        <v>1</v>
      </c>
      <c r="B10" s="716"/>
      <c r="C10" s="851" t="s">
        <v>656</v>
      </c>
      <c r="D10" s="765" t="s">
        <v>263</v>
      </c>
      <c r="E10" s="852" t="e">
        <f>'Tong hop cong'!#REF!</f>
        <v>#REF!</v>
      </c>
      <c r="F10" s="717">
        <v>25000</v>
      </c>
      <c r="G10" s="853" t="s">
        <v>247</v>
      </c>
      <c r="H10" s="717" t="e">
        <f>E10*F10</f>
        <v>#REF!</v>
      </c>
      <c r="I10" s="718" t="e">
        <f>H10</f>
        <v>#REF!</v>
      </c>
      <c r="J10" s="717"/>
      <c r="K10" s="718" t="e">
        <f>I10-J10</f>
        <v>#REF!</v>
      </c>
      <c r="L10" s="717"/>
      <c r="M10" s="717"/>
      <c r="N10" s="718" t="e">
        <f>ROUND(K10-L10-M10,0)</f>
        <v>#REF!</v>
      </c>
      <c r="O10" s="715"/>
    </row>
    <row r="11" spans="1:17" s="714" customFormat="1" ht="26.25" customHeight="1">
      <c r="A11" s="4078" t="s">
        <v>62</v>
      </c>
      <c r="B11" s="4078"/>
      <c r="C11" s="4078"/>
      <c r="D11" s="4078"/>
      <c r="E11" s="854" t="e">
        <f>SUM(E10:E10)</f>
        <v>#REF!</v>
      </c>
      <c r="F11" s="719">
        <f>F10</f>
        <v>25000</v>
      </c>
      <c r="G11" s="855" t="s">
        <v>247</v>
      </c>
      <c r="H11" s="719" t="e">
        <f>SUM(H10:H10)</f>
        <v>#REF!</v>
      </c>
      <c r="I11" s="719" t="e">
        <f>SUM(I10:I10)</f>
        <v>#REF!</v>
      </c>
      <c r="J11" s="719"/>
      <c r="K11" s="719" t="e">
        <f>SUM(K10:K10)</f>
        <v>#REF!</v>
      </c>
      <c r="L11" s="719"/>
      <c r="M11" s="719"/>
      <c r="N11" s="719" t="e">
        <f>SUM(N10:N10)</f>
        <v>#REF!</v>
      </c>
      <c r="O11" s="700"/>
      <c r="P11" s="720"/>
      <c r="Q11" s="721"/>
    </row>
    <row r="12" spans="1:17" ht="20.100000000000001" customHeight="1">
      <c r="A12" s="4079" t="s">
        <v>712</v>
      </c>
      <c r="B12" s="4079"/>
      <c r="C12" s="4079"/>
      <c r="D12" s="4079"/>
      <c r="E12" s="4079"/>
      <c r="F12" s="4079"/>
      <c r="G12" s="4079"/>
      <c r="H12" s="4079"/>
      <c r="I12" s="4079"/>
      <c r="J12" s="4079"/>
      <c r="K12" s="4079"/>
      <c r="L12" s="4079"/>
      <c r="M12" s="4079"/>
      <c r="N12" s="4079"/>
      <c r="O12" s="4079"/>
    </row>
    <row r="13" spans="1:17" ht="20.100000000000001" customHeight="1">
      <c r="A13" s="280"/>
      <c r="B13" s="156"/>
      <c r="C13" s="703"/>
      <c r="D13" s="156"/>
      <c r="E13" s="704"/>
      <c r="F13" s="156"/>
      <c r="G13" s="156"/>
      <c r="H13" s="705"/>
      <c r="I13" s="705"/>
      <c r="J13" s="156"/>
      <c r="K13" s="156"/>
      <c r="L13" s="4080" t="s">
        <v>714</v>
      </c>
      <c r="M13" s="4080"/>
      <c r="N13" s="4080"/>
      <c r="O13" s="4080"/>
      <c r="P13" s="384"/>
    </row>
    <row r="14" spans="1:17">
      <c r="A14" s="3666" t="s">
        <v>45</v>
      </c>
      <c r="B14" s="3666"/>
      <c r="C14" s="3666"/>
      <c r="D14" s="3666"/>
      <c r="E14" s="157"/>
      <c r="F14" s="3666" t="s">
        <v>44</v>
      </c>
      <c r="G14" s="3666"/>
      <c r="H14" s="3666"/>
      <c r="J14" s="157" t="s">
        <v>167</v>
      </c>
      <c r="K14" s="157"/>
      <c r="L14" s="157"/>
      <c r="M14" s="3666" t="s">
        <v>42</v>
      </c>
      <c r="N14" s="3666"/>
      <c r="O14" s="3666"/>
      <c r="P14" s="157"/>
    </row>
    <row r="20" spans="8:15" s="708" customFormat="1" ht="17.25">
      <c r="H20" s="709"/>
      <c r="I20" s="158"/>
      <c r="J20" s="3666" t="s">
        <v>337</v>
      </c>
      <c r="K20" s="3666"/>
      <c r="L20" s="157"/>
      <c r="M20" s="3666" t="s">
        <v>700</v>
      </c>
      <c r="N20" s="3666"/>
      <c r="O20" s="3666"/>
    </row>
    <row r="21" spans="8:15" s="708" customFormat="1">
      <c r="H21" s="709"/>
    </row>
  </sheetData>
  <mergeCells count="24">
    <mergeCell ref="L13:O13"/>
    <mergeCell ref="A14:D14"/>
    <mergeCell ref="F14:H14"/>
    <mergeCell ref="M14:O14"/>
    <mergeCell ref="J20:K20"/>
    <mergeCell ref="M20:O20"/>
    <mergeCell ref="A11:D11"/>
    <mergeCell ref="A12:O12"/>
    <mergeCell ref="A7:A8"/>
    <mergeCell ref="B7:C7"/>
    <mergeCell ref="D7:D8"/>
    <mergeCell ref="E7:I7"/>
    <mergeCell ref="J7:J8"/>
    <mergeCell ref="K7:K8"/>
    <mergeCell ref="L7:L8"/>
    <mergeCell ref="M7:M8"/>
    <mergeCell ref="N7:N8"/>
    <mergeCell ref="O7:O8"/>
    <mergeCell ref="A4:O4"/>
    <mergeCell ref="A1:F1"/>
    <mergeCell ref="H1:O1"/>
    <mergeCell ref="A2:F2"/>
    <mergeCell ref="H2:O2"/>
    <mergeCell ref="A3:O3"/>
  </mergeCells>
  <pageMargins left="0.82" right="0.53" top="0.75" bottom="0.75" header="0.3" footer="0.3"/>
  <pageSetup paperSize="9" scale="78" fitToHeight="0" orientation="landscape" horizontalDpi="1200" verticalDpi="120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U63"/>
  <sheetViews>
    <sheetView topLeftCell="A7" zoomScale="85" zoomScaleNormal="85" workbookViewId="0">
      <selection activeCell="O23" sqref="O23"/>
    </sheetView>
  </sheetViews>
  <sheetFormatPr defaultColWidth="9.375" defaultRowHeight="16.5"/>
  <cols>
    <col min="1" max="1" width="4.375" style="767" customWidth="1"/>
    <col min="2" max="2" width="21.375" style="767" customWidth="1"/>
    <col min="3" max="3" width="13.375" style="767" customWidth="1"/>
    <col min="4" max="4" width="7.875" style="767" customWidth="1"/>
    <col min="5" max="5" width="9" style="767" customWidth="1"/>
    <col min="6" max="6" width="7.625" style="767" customWidth="1"/>
    <col min="7" max="7" width="7.125" style="771" customWidth="1"/>
    <col min="8" max="8" width="10.625" style="771" customWidth="1"/>
    <col min="9" max="9" width="8.625" style="771" customWidth="1"/>
    <col min="10" max="10" width="10" style="767" customWidth="1"/>
    <col min="11" max="11" width="12.125" style="767" customWidth="1"/>
    <col min="12" max="13" width="0.125" style="767" hidden="1" customWidth="1"/>
    <col min="14" max="14" width="11.375" style="767" customWidth="1"/>
    <col min="15" max="15" width="11.125" style="767" customWidth="1"/>
    <col min="16" max="16" width="12.375" style="767" hidden="1" customWidth="1"/>
    <col min="17" max="17" width="11" style="767" customWidth="1"/>
    <col min="18" max="18" width="10.25" style="767" customWidth="1"/>
    <col min="19" max="19" width="11.25" style="767" customWidth="1"/>
    <col min="20" max="20" width="11.75" style="767" customWidth="1"/>
    <col min="21" max="22" width="9.375" style="767"/>
    <col min="23" max="23" width="12.875" style="767" customWidth="1"/>
    <col min="24" max="16384" width="9.375" style="767"/>
  </cols>
  <sheetData>
    <row r="1" spans="1:21">
      <c r="A1" s="4081" t="s">
        <v>165</v>
      </c>
      <c r="B1" s="4081"/>
      <c r="C1" s="4081"/>
      <c r="D1" s="4081"/>
      <c r="E1" s="4081"/>
      <c r="F1" s="4081"/>
      <c r="G1" s="4081"/>
      <c r="H1" s="4081"/>
      <c r="I1" s="4081"/>
      <c r="J1" s="4081"/>
      <c r="K1" s="4081"/>
      <c r="L1" s="4081"/>
      <c r="M1" s="4081"/>
      <c r="N1" s="4081"/>
      <c r="O1" s="4081"/>
      <c r="P1" s="4081"/>
      <c r="Q1" s="4081"/>
      <c r="R1" s="4081"/>
      <c r="S1" s="4081"/>
      <c r="T1" s="4081"/>
    </row>
    <row r="2" spans="1:21">
      <c r="A2" s="4081" t="s">
        <v>171</v>
      </c>
      <c r="B2" s="4081"/>
      <c r="C2" s="4081"/>
      <c r="D2" s="4081"/>
      <c r="E2" s="4081"/>
      <c r="F2" s="4081"/>
      <c r="G2" s="4081"/>
      <c r="H2" s="4081"/>
      <c r="I2" s="4081"/>
      <c r="J2" s="4081"/>
      <c r="K2" s="4081"/>
      <c r="L2" s="4081"/>
      <c r="M2" s="4081"/>
      <c r="N2" s="4081"/>
      <c r="O2" s="4081"/>
      <c r="P2" s="4081"/>
      <c r="Q2" s="4081"/>
      <c r="R2" s="4081"/>
      <c r="S2" s="4081"/>
      <c r="T2" s="4081"/>
    </row>
    <row r="3" spans="1:21">
      <c r="A3" s="4087" t="s">
        <v>726</v>
      </c>
      <c r="B3" s="4081"/>
      <c r="C3" s="4081"/>
      <c r="D3" s="4081"/>
      <c r="E3" s="4081"/>
      <c r="F3" s="4081"/>
      <c r="G3" s="4081"/>
      <c r="H3" s="4081"/>
      <c r="I3" s="4081"/>
      <c r="J3" s="4081"/>
      <c r="K3" s="4081"/>
      <c r="L3" s="4081"/>
      <c r="M3" s="4081"/>
      <c r="N3" s="4081"/>
      <c r="O3" s="4081"/>
      <c r="P3" s="4081"/>
      <c r="Q3" s="4081"/>
      <c r="R3" s="4081"/>
      <c r="S3" s="4081"/>
      <c r="T3" s="4081"/>
    </row>
    <row r="4" spans="1:21" ht="18.75" customHeight="1">
      <c r="A4" s="4090" t="s">
        <v>602</v>
      </c>
      <c r="B4" s="4090"/>
      <c r="C4" s="4090"/>
      <c r="D4" s="4090"/>
      <c r="E4" s="4090"/>
      <c r="F4" s="771"/>
      <c r="O4" s="766"/>
      <c r="P4" s="766"/>
      <c r="R4" s="766"/>
      <c r="S4" s="766"/>
      <c r="T4" s="766"/>
    </row>
    <row r="5" spans="1:21" ht="18.75" customHeight="1">
      <c r="A5" s="4081" t="s">
        <v>541</v>
      </c>
      <c r="B5" s="4081"/>
      <c r="C5" s="4081"/>
      <c r="D5" s="4081"/>
      <c r="E5" s="4081"/>
      <c r="F5" s="776"/>
      <c r="O5" s="766"/>
      <c r="P5" s="766"/>
      <c r="R5" s="766"/>
      <c r="S5" s="766"/>
      <c r="T5" s="766"/>
    </row>
    <row r="6" spans="1:21" ht="25.5" customHeight="1"/>
    <row r="7" spans="1:21" ht="22.5" customHeight="1">
      <c r="A7" s="4097" t="s">
        <v>903</v>
      </c>
      <c r="B7" s="4097"/>
      <c r="C7" s="4097"/>
      <c r="D7" s="4097"/>
      <c r="E7" s="4097"/>
      <c r="F7" s="4097"/>
      <c r="G7" s="4097"/>
      <c r="H7" s="4097"/>
      <c r="I7" s="4097"/>
      <c r="J7" s="4097"/>
      <c r="K7" s="4097"/>
      <c r="L7" s="4097"/>
      <c r="M7" s="4097"/>
      <c r="N7" s="4097"/>
      <c r="O7" s="4097"/>
      <c r="P7" s="4097"/>
      <c r="Q7" s="4097"/>
      <c r="R7" s="4097"/>
      <c r="S7" s="4097"/>
      <c r="T7" s="4097"/>
    </row>
    <row r="8" spans="1:21" ht="28.5" customHeight="1">
      <c r="A8" s="856"/>
      <c r="B8" s="857" t="s">
        <v>603</v>
      </c>
      <c r="D8" s="858">
        <f>'Bảng kê lương'!C8</f>
        <v>21976</v>
      </c>
      <c r="E8" s="856"/>
      <c r="F8" s="856"/>
      <c r="G8" s="856"/>
      <c r="H8" s="856"/>
      <c r="I8" s="856"/>
      <c r="J8" s="856"/>
      <c r="K8" s="856"/>
      <c r="L8" s="856"/>
      <c r="M8" s="856"/>
      <c r="N8" s="856"/>
      <c r="O8" s="856"/>
      <c r="P8" s="856"/>
      <c r="Q8" s="856"/>
      <c r="R8" s="856"/>
      <c r="S8" s="856"/>
      <c r="T8" s="856"/>
    </row>
    <row r="9" spans="1:21">
      <c r="A9" s="856"/>
      <c r="B9" s="868" t="s">
        <v>604</v>
      </c>
      <c r="D9" s="859">
        <f>'Bảng kê lương'!C9</f>
        <v>0.94079999999999997</v>
      </c>
      <c r="E9" s="856"/>
      <c r="F9" s="856"/>
      <c r="G9" s="856"/>
      <c r="H9" s="856"/>
      <c r="I9" s="856"/>
      <c r="J9" s="856"/>
      <c r="K9" s="856"/>
      <c r="L9" s="856"/>
      <c r="M9" s="856"/>
      <c r="N9" s="856"/>
      <c r="O9" s="856"/>
      <c r="P9" s="856"/>
      <c r="Q9" s="856"/>
      <c r="R9" s="856"/>
      <c r="S9" s="856"/>
      <c r="T9" s="856"/>
      <c r="U9" s="767">
        <v>26</v>
      </c>
    </row>
    <row r="10" spans="1:21" ht="36" customHeight="1">
      <c r="A10" s="4085" t="s">
        <v>19</v>
      </c>
      <c r="B10" s="4085" t="s">
        <v>20</v>
      </c>
      <c r="C10" s="4085" t="s">
        <v>5</v>
      </c>
      <c r="D10" s="4098" t="s">
        <v>622</v>
      </c>
      <c r="E10" s="4105" t="s">
        <v>900</v>
      </c>
      <c r="F10" s="4106"/>
      <c r="G10" s="4107"/>
      <c r="H10" s="4098" t="s">
        <v>902</v>
      </c>
      <c r="I10" s="4092" t="s">
        <v>857</v>
      </c>
      <c r="J10" s="4092" t="s">
        <v>233</v>
      </c>
      <c r="K10" s="4082" t="s">
        <v>616</v>
      </c>
      <c r="L10" s="4082" t="s">
        <v>736</v>
      </c>
      <c r="M10" s="4092" t="s">
        <v>703</v>
      </c>
      <c r="N10" s="4084" t="s">
        <v>617</v>
      </c>
      <c r="O10" s="4084" t="s">
        <v>618</v>
      </c>
      <c r="P10" s="4084" t="s">
        <v>619</v>
      </c>
      <c r="Q10" s="4084" t="s">
        <v>599</v>
      </c>
      <c r="R10" s="4084" t="s">
        <v>620</v>
      </c>
      <c r="S10" s="4084" t="s">
        <v>621</v>
      </c>
      <c r="T10" s="4085" t="s">
        <v>9</v>
      </c>
    </row>
    <row r="11" spans="1:21" ht="36" customHeight="1">
      <c r="A11" s="4085"/>
      <c r="B11" s="4085"/>
      <c r="C11" s="4085"/>
      <c r="D11" s="4099"/>
      <c r="E11" s="4095" t="s">
        <v>896</v>
      </c>
      <c r="F11" s="4084" t="s">
        <v>23</v>
      </c>
      <c r="G11" s="4084"/>
      <c r="H11" s="4099"/>
      <c r="I11" s="4093"/>
      <c r="J11" s="4093"/>
      <c r="K11" s="4082"/>
      <c r="L11" s="4082"/>
      <c r="M11" s="4093"/>
      <c r="N11" s="4084"/>
      <c r="O11" s="4084"/>
      <c r="P11" s="4084"/>
      <c r="Q11" s="4084"/>
      <c r="R11" s="4084"/>
      <c r="S11" s="4084"/>
      <c r="T11" s="4085"/>
    </row>
    <row r="12" spans="1:21" ht="47.25" customHeight="1">
      <c r="A12" s="4085"/>
      <c r="B12" s="4085"/>
      <c r="C12" s="4085"/>
      <c r="D12" s="4100"/>
      <c r="E12" s="4096"/>
      <c r="F12" s="1235" t="s">
        <v>901</v>
      </c>
      <c r="G12" s="864" t="s">
        <v>5</v>
      </c>
      <c r="H12" s="4100"/>
      <c r="I12" s="4104"/>
      <c r="J12" s="4094"/>
      <c r="K12" s="4083"/>
      <c r="L12" s="4082"/>
      <c r="M12" s="4094"/>
      <c r="N12" s="4084"/>
      <c r="O12" s="4085"/>
      <c r="P12" s="4084"/>
      <c r="Q12" s="4084"/>
      <c r="R12" s="4085"/>
      <c r="S12" s="4084"/>
      <c r="T12" s="4085"/>
    </row>
    <row r="13" spans="1:21" ht="21.75" customHeight="1">
      <c r="A13" s="860">
        <v>1</v>
      </c>
      <c r="B13" s="860">
        <v>2</v>
      </c>
      <c r="C13" s="860">
        <v>3</v>
      </c>
      <c r="D13" s="861">
        <v>5</v>
      </c>
      <c r="E13" s="862">
        <v>6</v>
      </c>
      <c r="F13" s="862"/>
      <c r="G13" s="862"/>
      <c r="H13" s="862"/>
      <c r="I13" s="862"/>
      <c r="J13" s="863" t="s">
        <v>624</v>
      </c>
      <c r="K13" s="864">
        <v>9</v>
      </c>
      <c r="L13" s="863"/>
      <c r="M13" s="863"/>
      <c r="N13" s="862" t="s">
        <v>625</v>
      </c>
      <c r="O13" s="860">
        <v>11</v>
      </c>
      <c r="P13" s="861"/>
      <c r="Q13" s="861" t="s">
        <v>626</v>
      </c>
      <c r="R13" s="860" t="s">
        <v>627</v>
      </c>
      <c r="S13" s="861" t="s">
        <v>628</v>
      </c>
      <c r="T13" s="860"/>
    </row>
    <row r="14" spans="1:21" ht="21.75" customHeight="1">
      <c r="A14" s="3002" t="s">
        <v>52</v>
      </c>
      <c r="B14" s="4108" t="s">
        <v>1368</v>
      </c>
      <c r="C14" s="4109"/>
      <c r="D14" s="3003"/>
      <c r="E14" s="3005"/>
      <c r="F14" s="3005"/>
      <c r="G14" s="3005"/>
      <c r="H14" s="3005"/>
      <c r="I14" s="3005"/>
      <c r="J14" s="3004"/>
      <c r="K14" s="864"/>
      <c r="L14" s="3004"/>
      <c r="M14" s="3004"/>
      <c r="N14" s="3005"/>
      <c r="O14" s="3002"/>
      <c r="P14" s="3003"/>
      <c r="Q14" s="3003"/>
      <c r="R14" s="3002"/>
      <c r="S14" s="3003"/>
      <c r="T14" s="3002"/>
    </row>
    <row r="15" spans="1:21" ht="23.25" customHeight="1">
      <c r="A15" s="860" t="s">
        <v>147</v>
      </c>
      <c r="B15" s="4091" t="s">
        <v>630</v>
      </c>
      <c r="C15" s="4091"/>
      <c r="D15" s="1088">
        <f>SUM(D16:D18)</f>
        <v>0</v>
      </c>
      <c r="E15" s="1088">
        <f>SUM(E16:E18)</f>
        <v>1250</v>
      </c>
      <c r="F15" s="1088">
        <f>SUM(F16:F18)</f>
        <v>430</v>
      </c>
      <c r="G15" s="1088">
        <f t="shared" ref="G15" si="0">SUM(G17:G18)</f>
        <v>0</v>
      </c>
      <c r="H15" s="1088"/>
      <c r="I15" s="1089"/>
      <c r="J15" s="1090">
        <f>SUM(J16:J18)</f>
        <v>1680</v>
      </c>
      <c r="K15" s="1081">
        <f>SUM(K16:M18)</f>
        <v>77.461066618128868</v>
      </c>
      <c r="L15" s="1081">
        <f t="shared" ref="L15:P15" si="1">SUM(L17:L18)</f>
        <v>0</v>
      </c>
      <c r="M15" s="1081">
        <f t="shared" si="1"/>
        <v>0</v>
      </c>
      <c r="N15" s="1081">
        <f>SUM(N16:N18)</f>
        <v>1602.5389333818712</v>
      </c>
      <c r="O15" s="1081">
        <f>SUM(O16:P18)</f>
        <v>112.43929741536222</v>
      </c>
      <c r="P15" s="1081">
        <f t="shared" si="1"/>
        <v>0</v>
      </c>
      <c r="Q15" s="1081">
        <f>SUM(Q16:Q18)</f>
        <v>1490.0996359665089</v>
      </c>
      <c r="R15" s="1081">
        <f>SUM(R16:R18)</f>
        <v>14.121951219512194</v>
      </c>
      <c r="S15" s="1081">
        <f>SUM(S16:S18)</f>
        <v>1475.9776847469968</v>
      </c>
      <c r="T15" s="860"/>
    </row>
    <row r="16" spans="1:21" ht="23.25" customHeight="1">
      <c r="A16" s="1417">
        <v>1</v>
      </c>
      <c r="B16" s="1418" t="s">
        <v>1013</v>
      </c>
      <c r="C16" s="1418" t="str">
        <f>+'Bảng kê lương'!C16</f>
        <v>Đội trưởng</v>
      </c>
      <c r="D16" s="1419">
        <f>'Công CBNV'!AV15</f>
        <v>0</v>
      </c>
      <c r="E16" s="1419">
        <v>610</v>
      </c>
      <c r="F16" s="1419">
        <v>210</v>
      </c>
      <c r="G16" s="1419"/>
      <c r="H16" s="1419"/>
      <c r="I16" s="1420"/>
      <c r="J16" s="1421">
        <f>+E16+F16+G16</f>
        <v>820</v>
      </c>
      <c r="K16" s="1422">
        <f>+VLOOKUP(B16,'Bảng kê lương'!B16:X18,23,0)</f>
        <v>0</v>
      </c>
      <c r="L16" s="1423"/>
      <c r="M16" s="1423"/>
      <c r="N16" s="1424">
        <f>+J16-K16</f>
        <v>820</v>
      </c>
      <c r="O16" s="1423">
        <f>+VLOOKUP(B16,'Bảng kê lương'!B16:AA18,26,0)</f>
        <v>62.853041499817984</v>
      </c>
      <c r="P16" s="1423"/>
      <c r="Q16" s="1423">
        <f>+N16-O16</f>
        <v>757.146958500182</v>
      </c>
      <c r="R16" s="1423">
        <f>+VLOOKUP(B16,'Bảng kê lương'!B16:AF18,31,0)</f>
        <v>6.7924554058973428</v>
      </c>
      <c r="S16" s="1423">
        <f>+Q16-R16</f>
        <v>750.35450309428461</v>
      </c>
      <c r="T16" s="1425"/>
    </row>
    <row r="17" spans="1:20" s="865" customFormat="1" ht="23.25" customHeight="1">
      <c r="A17" s="1426">
        <v>2</v>
      </c>
      <c r="B17" s="1427" t="s">
        <v>638</v>
      </c>
      <c r="C17" s="1427" t="s">
        <v>639</v>
      </c>
      <c r="D17" s="1419">
        <f>'Công CBNV'!AV16</f>
        <v>0</v>
      </c>
      <c r="E17" s="1428">
        <v>340</v>
      </c>
      <c r="F17" s="1428">
        <v>120</v>
      </c>
      <c r="G17" s="1429">
        <v>0</v>
      </c>
      <c r="H17" s="1429">
        <f>+G17</f>
        <v>0</v>
      </c>
      <c r="I17" s="1429"/>
      <c r="J17" s="1430">
        <f>+E17+F17+G17</f>
        <v>460</v>
      </c>
      <c r="K17" s="1431">
        <f>'Bảng kê lương'!X17</f>
        <v>41.217491809246454</v>
      </c>
      <c r="L17" s="1432"/>
      <c r="M17" s="1432"/>
      <c r="N17" s="1433">
        <f t="shared" ref="N17:N18" si="2">+J17-K17</f>
        <v>418.78250819075356</v>
      </c>
      <c r="O17" s="1434">
        <f>+VLOOKUP(B17,'Bảng kê lương'!B17:AA19,26,0)</f>
        <v>27.544432107753916</v>
      </c>
      <c r="P17" s="1435"/>
      <c r="Q17" s="1434">
        <f t="shared" ref="Q17:Q18" si="3">+N17-O17</f>
        <v>391.23807608299967</v>
      </c>
      <c r="R17" s="1434">
        <f>+VLOOKUP(B17,'Bảng kê lương'!B17:AF19,31,0)</f>
        <v>3.9123589370222058</v>
      </c>
      <c r="S17" s="1434">
        <f t="shared" ref="S17:S20" si="4">+Q17-R17</f>
        <v>387.32571714597748</v>
      </c>
      <c r="T17" s="1436"/>
    </row>
    <row r="18" spans="1:20" s="865" customFormat="1" ht="23.25" customHeight="1">
      <c r="A18" s="1437">
        <v>3</v>
      </c>
      <c r="B18" s="1438" t="s">
        <v>97</v>
      </c>
      <c r="C18" s="1438" t="s">
        <v>99</v>
      </c>
      <c r="D18" s="1419">
        <f>'Công CBNV'!AV17</f>
        <v>0</v>
      </c>
      <c r="E18" s="1439">
        <f>VLOOKUP(B18,'Bảng kê lương'!$B$17:$D$19,3,0)</f>
        <v>300</v>
      </c>
      <c r="F18" s="1439">
        <f>+'Bảng kê lương'!F18</f>
        <v>100</v>
      </c>
      <c r="G18" s="1440">
        <v>0</v>
      </c>
      <c r="H18" s="1440">
        <f>+G18</f>
        <v>0</v>
      </c>
      <c r="I18" s="1440"/>
      <c r="J18" s="1441">
        <f>+E18+F18+G18</f>
        <v>400</v>
      </c>
      <c r="K18" s="1442">
        <f>'Bảng kê lương'!X18</f>
        <v>36.243574808882414</v>
      </c>
      <c r="L18" s="1443"/>
      <c r="M18" s="1443"/>
      <c r="N18" s="1444">
        <f t="shared" si="2"/>
        <v>363.75642519111761</v>
      </c>
      <c r="O18" s="1445">
        <f>+VLOOKUP(B18,'Bảng kê lương'!B18:AA20,26,0)</f>
        <v>22.041823807790319</v>
      </c>
      <c r="P18" s="1446"/>
      <c r="Q18" s="1445">
        <f t="shared" si="3"/>
        <v>341.71460138332731</v>
      </c>
      <c r="R18" s="1445">
        <f>+VLOOKUP(B18,'Bảng kê lương'!B18:AF20,31,0)</f>
        <v>3.4171368765926466</v>
      </c>
      <c r="S18" s="1445">
        <f t="shared" si="4"/>
        <v>338.29746450673468</v>
      </c>
      <c r="T18" s="1447"/>
    </row>
    <row r="19" spans="1:20" s="865" customFormat="1" ht="23.25" customHeight="1">
      <c r="A19" s="860" t="s">
        <v>148</v>
      </c>
      <c r="B19" s="802" t="s">
        <v>629</v>
      </c>
      <c r="C19" s="802"/>
      <c r="D19" s="1088">
        <f>SUM(D20)</f>
        <v>0</v>
      </c>
      <c r="E19" s="1088">
        <f>SUM(E20)</f>
        <v>300</v>
      </c>
      <c r="F19" s="1088">
        <f t="shared" ref="F19" si="5">SUM(F20)</f>
        <v>0</v>
      </c>
      <c r="G19" s="1237">
        <v>0</v>
      </c>
      <c r="H19" s="1416">
        <f>+SUM(H20)</f>
        <v>151.18297368421051</v>
      </c>
      <c r="I19" s="1237">
        <f t="shared" ref="I19" si="6">+SUM(I20)</f>
        <v>0</v>
      </c>
      <c r="J19" s="1237">
        <f>+SUM(J20)</f>
        <v>501.18297368421054</v>
      </c>
      <c r="K19" s="1238">
        <f>SUM(K20:K20)</f>
        <v>18.991736439752454</v>
      </c>
      <c r="L19" s="1239"/>
      <c r="M19" s="1240">
        <f t="shared" ref="M19:R19" si="7">SUM(M20:M20)</f>
        <v>0</v>
      </c>
      <c r="N19" s="1241">
        <f t="shared" si="7"/>
        <v>482.19123724445808</v>
      </c>
      <c r="O19" s="1241">
        <f t="shared" si="7"/>
        <v>36.885305013124366</v>
      </c>
      <c r="P19" s="1241">
        <f t="shared" si="7"/>
        <v>0</v>
      </c>
      <c r="Q19" s="1241">
        <f t="shared" si="7"/>
        <v>445.30593223133371</v>
      </c>
      <c r="R19" s="1241">
        <f t="shared" si="7"/>
        <v>4.4530593223133375</v>
      </c>
      <c r="S19" s="1241">
        <f>SUM(S20:S20)</f>
        <v>440.85287290902039</v>
      </c>
      <c r="T19" s="867"/>
    </row>
    <row r="20" spans="1:20" s="868" customFormat="1" ht="23.25" customHeight="1">
      <c r="A20" s="874">
        <v>1</v>
      </c>
      <c r="B20" s="875" t="s">
        <v>96</v>
      </c>
      <c r="C20" s="875" t="s">
        <v>162</v>
      </c>
      <c r="D20" s="876">
        <f>'Công CBNV'!AV18</f>
        <v>0</v>
      </c>
      <c r="E20" s="876">
        <v>300</v>
      </c>
      <c r="F20" s="876"/>
      <c r="G20" s="1236">
        <v>50</v>
      </c>
      <c r="H20" s="1415">
        <f>+'Bảng kê lương'!N20</f>
        <v>151.18297368421051</v>
      </c>
      <c r="I20" s="877">
        <f>+'Bảng kê lương'!O20</f>
        <v>0</v>
      </c>
      <c r="J20" s="878">
        <f>+E20+F20+G20+H20</f>
        <v>501.18297368421054</v>
      </c>
      <c r="K20" s="879">
        <f>'Bảng kê lương'!X20</f>
        <v>18.991736439752454</v>
      </c>
      <c r="L20" s="880"/>
      <c r="M20" s="906"/>
      <c r="N20" s="881">
        <f>+J20-K20</f>
        <v>482.19123724445808</v>
      </c>
      <c r="O20" s="881">
        <f>+'Bảng kê lương'!AA20</f>
        <v>36.885305013124366</v>
      </c>
      <c r="P20" s="882"/>
      <c r="Q20" s="883">
        <f>N20-O20</f>
        <v>445.30593223133371</v>
      </c>
      <c r="R20" s="879">
        <f>+Q20*1%</f>
        <v>4.4530593223133375</v>
      </c>
      <c r="S20" s="1414">
        <f t="shared" si="4"/>
        <v>440.85287290902039</v>
      </c>
      <c r="T20" s="884"/>
    </row>
    <row r="21" spans="1:20" s="868" customFormat="1" ht="26.25" customHeight="1">
      <c r="A21" s="3007">
        <v>2</v>
      </c>
      <c r="B21" s="3008" t="s">
        <v>1317</v>
      </c>
      <c r="C21" s="875" t="s">
        <v>162</v>
      </c>
      <c r="D21" s="876">
        <f>'Công CBNV'!AV19</f>
        <v>0</v>
      </c>
      <c r="E21" s="876">
        <v>250</v>
      </c>
      <c r="F21" s="876"/>
      <c r="G21" s="3009"/>
      <c r="H21" s="1415"/>
      <c r="I21" s="877"/>
      <c r="J21" s="878"/>
      <c r="K21" s="879"/>
      <c r="L21" s="880"/>
      <c r="M21" s="906"/>
      <c r="N21" s="881"/>
      <c r="O21" s="881"/>
      <c r="P21" s="882"/>
      <c r="Q21" s="883"/>
      <c r="R21" s="879"/>
      <c r="S21" s="3010"/>
      <c r="T21" s="884"/>
    </row>
    <row r="22" spans="1:20" s="3025" customFormat="1" ht="23.25" customHeight="1">
      <c r="A22" s="3011" t="s">
        <v>1300</v>
      </c>
      <c r="B22" s="4110" t="s">
        <v>1369</v>
      </c>
      <c r="C22" s="4111"/>
      <c r="D22" s="3012"/>
      <c r="E22" s="3012"/>
      <c r="F22" s="3012"/>
      <c r="G22" s="3014"/>
      <c r="H22" s="3015"/>
      <c r="I22" s="3013"/>
      <c r="J22" s="3016"/>
      <c r="K22" s="3017"/>
      <c r="L22" s="3018"/>
      <c r="M22" s="3019"/>
      <c r="N22" s="3020"/>
      <c r="O22" s="3020"/>
      <c r="P22" s="3021"/>
      <c r="Q22" s="3022"/>
      <c r="R22" s="3017"/>
      <c r="S22" s="3023"/>
      <c r="T22" s="3024"/>
    </row>
    <row r="23" spans="1:20" s="3041" customFormat="1" ht="23.25" customHeight="1">
      <c r="A23" s="3026">
        <v>1</v>
      </c>
      <c r="B23" s="3027" t="s">
        <v>1318</v>
      </c>
      <c r="C23" s="3028" t="s">
        <v>1370</v>
      </c>
      <c r="D23" s="3029">
        <f>'Công CBNV'!AV20</f>
        <v>0</v>
      </c>
      <c r="E23" s="3029"/>
      <c r="F23" s="3029"/>
      <c r="G23" s="3031"/>
      <c r="H23" s="3032"/>
      <c r="I23" s="3030"/>
      <c r="J23" s="3033"/>
      <c r="K23" s="3034"/>
      <c r="L23" s="3035"/>
      <c r="M23" s="3036"/>
      <c r="N23" s="3037"/>
      <c r="O23" s="3037"/>
      <c r="P23" s="3038"/>
      <c r="Q23" s="3039"/>
      <c r="R23" s="3034"/>
      <c r="S23" s="3010"/>
      <c r="T23" s="3040"/>
    </row>
    <row r="24" spans="1:20" s="865" customFormat="1" ht="23.25" customHeight="1">
      <c r="A24" s="4101" t="s">
        <v>612</v>
      </c>
      <c r="B24" s="4102"/>
      <c r="C24" s="4103"/>
      <c r="D24" s="1084">
        <f>+D19+D15</f>
        <v>0</v>
      </c>
      <c r="E24" s="1084">
        <f>+E19+E15</f>
        <v>1550</v>
      </c>
      <c r="F24" s="1084">
        <f t="shared" ref="F24" si="8">+F19+F15</f>
        <v>430</v>
      </c>
      <c r="G24" s="1085"/>
      <c r="H24" s="1085"/>
      <c r="I24" s="1085"/>
      <c r="J24" s="1084">
        <f>+J19+J15</f>
        <v>2181.1829736842105</v>
      </c>
      <c r="K24" s="1086">
        <f>+K19+K15</f>
        <v>96.452803057881326</v>
      </c>
      <c r="L24" s="1086"/>
      <c r="M24" s="1086">
        <f t="shared" ref="M24:R24" si="9">+M19+M15</f>
        <v>0</v>
      </c>
      <c r="N24" s="1086">
        <f t="shared" si="9"/>
        <v>2084.7301706263293</v>
      </c>
      <c r="O24" s="1086">
        <f t="shared" si="9"/>
        <v>149.32460242848657</v>
      </c>
      <c r="P24" s="1084">
        <f t="shared" si="9"/>
        <v>0</v>
      </c>
      <c r="Q24" s="1087">
        <f t="shared" si="9"/>
        <v>1935.4055681978425</v>
      </c>
      <c r="R24" s="1086">
        <f t="shared" si="9"/>
        <v>18.575010541825531</v>
      </c>
      <c r="S24" s="1086">
        <f>+S19+S15</f>
        <v>1916.8305576560172</v>
      </c>
      <c r="T24" s="869"/>
    </row>
    <row r="25" spans="1:20" s="865" customFormat="1" ht="23.25" hidden="1" customHeight="1">
      <c r="A25" s="885"/>
      <c r="B25" s="885"/>
      <c r="C25" s="885"/>
      <c r="D25" s="903"/>
      <c r="E25" s="903"/>
      <c r="F25" s="903"/>
      <c r="G25" s="966"/>
      <c r="H25" s="966"/>
      <c r="I25" s="966"/>
      <c r="J25" s="903"/>
      <c r="K25" s="1120">
        <f>+'Bảng kê lương'!X24</f>
        <v>96.452803057881326</v>
      </c>
      <c r="L25" s="1120"/>
      <c r="M25" s="1120"/>
      <c r="N25" s="1120">
        <f>+'Bảng kê lương'!Y24</f>
        <v>44761379.829684213</v>
      </c>
      <c r="O25" s="1120">
        <f>+'Bảng kê lương'!Z24</f>
        <v>3281557.4629684212</v>
      </c>
      <c r="P25" s="1121"/>
      <c r="Q25" s="1122">
        <f>+'Bảng kê lương'!AB24</f>
        <v>41479822.366715789</v>
      </c>
      <c r="R25" s="1120">
        <f>+'Bảng kê lương'!AD24</f>
        <v>414797</v>
      </c>
      <c r="S25" s="904"/>
      <c r="T25" s="903"/>
    </row>
    <row r="26" spans="1:20" s="865" customFormat="1" ht="23.25" hidden="1" customHeight="1">
      <c r="A26" s="885"/>
      <c r="B26" s="885"/>
      <c r="C26" s="885"/>
      <c r="D26" s="903"/>
      <c r="E26" s="903"/>
      <c r="F26" s="903"/>
      <c r="G26" s="966"/>
      <c r="H26" s="966"/>
      <c r="I26" s="966"/>
      <c r="J26" s="903"/>
      <c r="K26" s="1120"/>
      <c r="L26" s="1120">
        <f t="shared" ref="L26:R26" si="10">+L25/$D$8</f>
        <v>0</v>
      </c>
      <c r="M26" s="1120">
        <f t="shared" si="10"/>
        <v>0</v>
      </c>
      <c r="N26" s="1120">
        <f t="shared" si="10"/>
        <v>2036.8301706263294</v>
      </c>
      <c r="O26" s="1120">
        <f t="shared" si="10"/>
        <v>149.32460242848657</v>
      </c>
      <c r="P26" s="1120">
        <f t="shared" si="10"/>
        <v>0</v>
      </c>
      <c r="Q26" s="1120">
        <f t="shared" si="10"/>
        <v>1887.5055681978426</v>
      </c>
      <c r="R26" s="1120">
        <f t="shared" si="10"/>
        <v>18.875</v>
      </c>
      <c r="S26" s="904"/>
      <c r="T26" s="903"/>
    </row>
    <row r="27" spans="1:20" s="865" customFormat="1" ht="13.5" hidden="1" customHeight="1">
      <c r="A27" s="885"/>
      <c r="B27" s="885"/>
      <c r="C27" s="885"/>
      <c r="D27" s="903"/>
      <c r="E27" s="903"/>
      <c r="F27" s="903"/>
      <c r="G27" s="966"/>
      <c r="H27" s="966"/>
      <c r="I27" s="966"/>
      <c r="J27" s="903"/>
      <c r="K27" s="904">
        <f>+K24-K26</f>
        <v>96.452803057881326</v>
      </c>
      <c r="L27" s="904">
        <f t="shared" ref="L27:R27" si="11">+L24-L26</f>
        <v>0</v>
      </c>
      <c r="M27" s="904">
        <f t="shared" si="11"/>
        <v>0</v>
      </c>
      <c r="N27" s="904">
        <f t="shared" si="11"/>
        <v>47.899999999999864</v>
      </c>
      <c r="O27" s="904">
        <f t="shared" si="11"/>
        <v>0</v>
      </c>
      <c r="P27" s="904">
        <f t="shared" si="11"/>
        <v>0</v>
      </c>
      <c r="Q27" s="904">
        <f t="shared" si="11"/>
        <v>47.899999999999864</v>
      </c>
      <c r="R27" s="904">
        <f t="shared" si="11"/>
        <v>-0.29998945817446909</v>
      </c>
      <c r="S27" s="904"/>
      <c r="T27" s="903"/>
    </row>
    <row r="28" spans="1:20" s="865" customFormat="1" ht="23.25" customHeight="1">
      <c r="A28" s="885"/>
      <c r="B28" s="885"/>
      <c r="C28" s="4088" t="s">
        <v>904</v>
      </c>
      <c r="D28" s="4089"/>
      <c r="E28" s="4089"/>
      <c r="F28" s="4089"/>
      <c r="G28" s="4089"/>
      <c r="H28" s="4089"/>
      <c r="I28" s="4089"/>
      <c r="J28" s="4089"/>
      <c r="K28" s="4089"/>
      <c r="L28" s="4089"/>
      <c r="M28" s="4089"/>
      <c r="N28" s="4089"/>
      <c r="O28" s="4089"/>
      <c r="P28" s="4089"/>
      <c r="Q28" s="4089"/>
      <c r="R28" s="904"/>
      <c r="S28" s="904"/>
      <c r="T28" s="903"/>
    </row>
    <row r="29" spans="1:20" s="865" customFormat="1" ht="23.25" customHeight="1">
      <c r="C29" s="871"/>
      <c r="G29" s="856"/>
      <c r="H29" s="856"/>
      <c r="I29" s="856"/>
      <c r="J29" s="870"/>
      <c r="K29" s="870"/>
      <c r="L29" s="870"/>
      <c r="M29" s="870"/>
      <c r="N29" s="870"/>
      <c r="O29" s="870"/>
      <c r="P29" s="870"/>
      <c r="Q29" s="870"/>
      <c r="R29" s="870"/>
      <c r="S29" s="870"/>
    </row>
    <row r="30" spans="1:20" s="865" customFormat="1" ht="29.25" hidden="1" customHeight="1">
      <c r="A30" s="871"/>
      <c r="B30" s="871"/>
      <c r="C30" s="871"/>
      <c r="D30" s="871"/>
      <c r="E30" s="871"/>
      <c r="F30" s="871"/>
      <c r="G30" s="872"/>
      <c r="H30" s="872"/>
      <c r="I30" s="872"/>
      <c r="J30" s="873">
        <f>J29/$D$8</f>
        <v>0</v>
      </c>
      <c r="K30" s="873">
        <f>K29/$D$8</f>
        <v>0</v>
      </c>
      <c r="L30" s="873">
        <f>L29/$D$8</f>
        <v>0</v>
      </c>
      <c r="M30" s="873"/>
      <c r="N30" s="873">
        <f t="shared" ref="N30:S30" si="12">N29/$D$8</f>
        <v>0</v>
      </c>
      <c r="O30" s="873">
        <f t="shared" si="12"/>
        <v>0</v>
      </c>
      <c r="P30" s="873">
        <f t="shared" si="12"/>
        <v>0</v>
      </c>
      <c r="Q30" s="873">
        <f t="shared" si="12"/>
        <v>0</v>
      </c>
      <c r="R30" s="873">
        <f t="shared" si="12"/>
        <v>0</v>
      </c>
      <c r="S30" s="873">
        <f t="shared" si="12"/>
        <v>0</v>
      </c>
      <c r="T30" s="871"/>
    </row>
    <row r="31" spans="1:20" s="871" customFormat="1" ht="29.25" hidden="1" customHeight="1">
      <c r="C31" s="901"/>
      <c r="G31" s="872"/>
      <c r="H31" s="872"/>
      <c r="I31" s="872"/>
      <c r="J31" s="873">
        <f>J24-J30</f>
        <v>2181.1829736842105</v>
      </c>
      <c r="K31" s="873">
        <f>K24-K30</f>
        <v>96.452803057881326</v>
      </c>
      <c r="L31" s="873">
        <f t="shared" ref="L31:S31" si="13">L24-L30</f>
        <v>0</v>
      </c>
      <c r="M31" s="873"/>
      <c r="N31" s="873">
        <f t="shared" si="13"/>
        <v>2084.7301706263293</v>
      </c>
      <c r="O31" s="873">
        <f t="shared" si="13"/>
        <v>149.32460242848657</v>
      </c>
      <c r="P31" s="873">
        <f t="shared" si="13"/>
        <v>0</v>
      </c>
      <c r="Q31" s="873">
        <f t="shared" si="13"/>
        <v>1935.4055681978425</v>
      </c>
      <c r="R31" s="873">
        <f>R24-R30</f>
        <v>18.575010541825531</v>
      </c>
      <c r="S31" s="873">
        <f t="shared" si="13"/>
        <v>1916.8305576560172</v>
      </c>
    </row>
    <row r="32" spans="1:20" s="871" customFormat="1" ht="29.25" hidden="1" customHeight="1">
      <c r="A32" s="901" t="s">
        <v>716</v>
      </c>
      <c r="B32" s="901"/>
      <c r="C32" s="901"/>
      <c r="D32" s="901"/>
      <c r="E32" s="901"/>
      <c r="F32" s="901"/>
      <c r="G32" s="901"/>
      <c r="H32" s="901"/>
      <c r="I32" s="901"/>
      <c r="J32" s="901"/>
      <c r="K32" s="901"/>
      <c r="L32" s="901"/>
      <c r="M32" s="901"/>
      <c r="N32" s="901"/>
      <c r="O32" s="901"/>
      <c r="P32" s="901"/>
      <c r="Q32" s="901"/>
      <c r="R32" s="901"/>
      <c r="S32" s="901"/>
      <c r="T32" s="901"/>
    </row>
    <row r="33" spans="1:20" ht="18" customHeight="1">
      <c r="C33" s="776"/>
      <c r="Q33" s="4086" t="s">
        <v>899</v>
      </c>
      <c r="R33" s="4086"/>
      <c r="S33" s="4086"/>
      <c r="T33" s="4086"/>
    </row>
    <row r="34" spans="1:20" ht="18" customHeight="1">
      <c r="A34" s="4081" t="s">
        <v>46</v>
      </c>
      <c r="B34" s="4081"/>
      <c r="D34" s="766" t="s">
        <v>613</v>
      </c>
      <c r="E34" s="766"/>
      <c r="F34" s="766"/>
      <c r="G34" s="766"/>
      <c r="H34" s="766"/>
      <c r="I34" s="766"/>
      <c r="J34" s="4081" t="s">
        <v>710</v>
      </c>
      <c r="K34" s="4081"/>
      <c r="L34" s="4081"/>
      <c r="M34" s="766"/>
      <c r="N34" s="4081" t="s">
        <v>800</v>
      </c>
      <c r="O34" s="4081"/>
      <c r="P34" s="4081"/>
      <c r="Q34" s="4081"/>
      <c r="R34" s="4081" t="s">
        <v>614</v>
      </c>
      <c r="S34" s="4081"/>
      <c r="T34" s="4081"/>
    </row>
    <row r="35" spans="1:20" s="766" customFormat="1" ht="18" customHeight="1">
      <c r="A35" s="767"/>
      <c r="B35" s="767"/>
      <c r="C35" s="767"/>
      <c r="D35" s="767"/>
      <c r="E35" s="767"/>
      <c r="F35" s="767"/>
      <c r="G35" s="771"/>
      <c r="H35" s="771"/>
      <c r="I35" s="771"/>
      <c r="J35" s="767"/>
      <c r="K35" s="767"/>
      <c r="L35" s="767"/>
      <c r="M35" s="767"/>
      <c r="N35" s="767"/>
      <c r="O35" s="767"/>
      <c r="P35" s="767"/>
      <c r="Q35" s="767"/>
      <c r="R35" s="767"/>
      <c r="S35" s="767"/>
      <c r="T35" s="767"/>
    </row>
    <row r="36" spans="1:20" ht="18" customHeight="1">
      <c r="Q36" s="769"/>
    </row>
    <row r="37" spans="1:20" ht="18" customHeight="1">
      <c r="J37" s="768"/>
      <c r="Q37" s="770"/>
    </row>
    <row r="38" spans="1:20" ht="18" customHeight="1"/>
    <row r="39" spans="1:20" ht="18" customHeight="1">
      <c r="N39" s="769"/>
      <c r="R39" s="769"/>
    </row>
    <row r="40" spans="1:20" ht="18" customHeight="1">
      <c r="N40" s="4081"/>
      <c r="O40" s="4081"/>
      <c r="P40" s="4081"/>
      <c r="Q40" s="4081"/>
      <c r="R40" s="4081"/>
      <c r="S40" s="4081"/>
      <c r="T40" s="4081"/>
    </row>
    <row r="41" spans="1:20" ht="18" customHeight="1"/>
    <row r="42" spans="1:20" ht="18" customHeight="1"/>
    <row r="43" spans="1:20" ht="18" customHeight="1"/>
    <row r="44" spans="1:20" ht="18" customHeight="1"/>
    <row r="45" spans="1:20" ht="18" customHeight="1"/>
    <row r="46" spans="1:20" ht="18" customHeight="1"/>
    <row r="47" spans="1:20" ht="18" customHeight="1"/>
    <row r="48" spans="1:20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</sheetData>
  <mergeCells count="38">
    <mergeCell ref="A34:B34"/>
    <mergeCell ref="A7:T7"/>
    <mergeCell ref="T10:T12"/>
    <mergeCell ref="D10:D12"/>
    <mergeCell ref="R10:R12"/>
    <mergeCell ref="S10:S12"/>
    <mergeCell ref="C10:C12"/>
    <mergeCell ref="A24:C24"/>
    <mergeCell ref="I10:I12"/>
    <mergeCell ref="E10:G10"/>
    <mergeCell ref="H10:H12"/>
    <mergeCell ref="B14:C14"/>
    <mergeCell ref="B22:C22"/>
    <mergeCell ref="A1:T1"/>
    <mergeCell ref="A3:T3"/>
    <mergeCell ref="C28:Q28"/>
    <mergeCell ref="A2:T2"/>
    <mergeCell ref="A4:E4"/>
    <mergeCell ref="A10:A12"/>
    <mergeCell ref="A5:E5"/>
    <mergeCell ref="Q10:Q12"/>
    <mergeCell ref="P10:P12"/>
    <mergeCell ref="L10:L12"/>
    <mergeCell ref="B15:C15"/>
    <mergeCell ref="M10:M12"/>
    <mergeCell ref="J10:J12"/>
    <mergeCell ref="B10:B12"/>
    <mergeCell ref="E11:E12"/>
    <mergeCell ref="F11:G11"/>
    <mergeCell ref="R40:T40"/>
    <mergeCell ref="R34:T34"/>
    <mergeCell ref="K10:K12"/>
    <mergeCell ref="N40:Q40"/>
    <mergeCell ref="N34:Q34"/>
    <mergeCell ref="O10:O12"/>
    <mergeCell ref="N10:N12"/>
    <mergeCell ref="J34:L34"/>
    <mergeCell ref="Q33:T33"/>
  </mergeCells>
  <printOptions horizontalCentered="1"/>
  <pageMargins left="0.23622047244094491" right="0.15748031496062992" top="0.62992125984251968" bottom="0.27559055118110237" header="0.31496062992125984" footer="0.31496062992125984"/>
  <pageSetup paperSize="9" scale="70" fitToHeight="0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  <pageSetUpPr fitToPage="1"/>
  </sheetPr>
  <dimension ref="A1:AG54"/>
  <sheetViews>
    <sheetView topLeftCell="D5" zoomScale="85" zoomScaleNormal="85" workbookViewId="0">
      <selection activeCell="Z17" sqref="Z17"/>
    </sheetView>
  </sheetViews>
  <sheetFormatPr defaultColWidth="9.375" defaultRowHeight="16.5"/>
  <cols>
    <col min="1" max="1" width="4.375" style="767" customWidth="1"/>
    <col min="2" max="2" width="24.125" style="767" customWidth="1"/>
    <col min="3" max="3" width="12" style="767" customWidth="1"/>
    <col min="4" max="4" width="9.375" style="767" customWidth="1"/>
    <col min="5" max="5" width="12.125" style="767" hidden="1" customWidth="1"/>
    <col min="6" max="6" width="7.75" style="767" customWidth="1"/>
    <col min="7" max="7" width="8.375" style="767" customWidth="1"/>
    <col min="8" max="10" width="9.375" style="767" hidden="1" customWidth="1"/>
    <col min="11" max="11" width="0.125" style="767" hidden="1" customWidth="1"/>
    <col min="12" max="12" width="11.125" style="767" hidden="1" customWidth="1"/>
    <col min="13" max="13" width="7.875" style="767" hidden="1" customWidth="1"/>
    <col min="14" max="14" width="7.875" style="767" customWidth="1"/>
    <col min="15" max="15" width="10.375" style="767" hidden="1" customWidth="1"/>
    <col min="16" max="16" width="11" style="767" customWidth="1"/>
    <col min="17" max="17" width="13.75" style="767" customWidth="1"/>
    <col min="18" max="18" width="15.375" style="767" hidden="1" customWidth="1"/>
    <col min="19" max="19" width="12" style="767" hidden="1" customWidth="1"/>
    <col min="20" max="20" width="16.625" style="767" hidden="1" customWidth="1"/>
    <col min="21" max="21" width="15.375" style="767" customWidth="1"/>
    <col min="22" max="22" width="12.75" style="767" customWidth="1"/>
    <col min="23" max="23" width="12.375" style="767" customWidth="1"/>
    <col min="24" max="24" width="10.875" style="767" customWidth="1"/>
    <col min="25" max="25" width="13.375" style="767" customWidth="1"/>
    <col min="26" max="26" width="11.25" style="767" customWidth="1"/>
    <col min="27" max="27" width="10" style="767" customWidth="1"/>
    <col min="28" max="28" width="12.375" style="767" customWidth="1"/>
    <col min="29" max="29" width="11" style="767" customWidth="1"/>
    <col min="30" max="30" width="10.125" style="767" customWidth="1"/>
    <col min="31" max="31" width="14.625" style="767" hidden="1" customWidth="1"/>
    <col min="32" max="32" width="11.75" style="767" customWidth="1"/>
    <col min="33" max="33" width="6.125" style="767" customWidth="1"/>
    <col min="34" max="34" width="13.875" style="767" customWidth="1"/>
    <col min="35" max="16384" width="9.375" style="767"/>
  </cols>
  <sheetData>
    <row r="1" spans="1:33">
      <c r="A1" s="4081" t="s">
        <v>165</v>
      </c>
      <c r="B1" s="4081"/>
      <c r="C1" s="4081"/>
      <c r="D1" s="4081"/>
      <c r="E1" s="4081"/>
      <c r="F1" s="4081"/>
      <c r="G1" s="4081"/>
      <c r="H1" s="4081"/>
      <c r="I1" s="4081"/>
      <c r="J1" s="4081"/>
      <c r="K1" s="4081"/>
      <c r="L1" s="4081"/>
      <c r="M1" s="4081"/>
      <c r="N1" s="4081"/>
      <c r="O1" s="4081"/>
      <c r="P1" s="4081"/>
      <c r="Q1" s="4081"/>
      <c r="R1" s="4081"/>
      <c r="S1" s="4081"/>
      <c r="T1" s="4081"/>
      <c r="U1" s="4081"/>
      <c r="V1" s="4081"/>
      <c r="W1" s="4081"/>
      <c r="X1" s="4081"/>
      <c r="Y1" s="4081"/>
      <c r="Z1" s="4081"/>
      <c r="AA1" s="4081"/>
      <c r="AB1" s="4081"/>
      <c r="AC1" s="4081"/>
      <c r="AD1" s="4081"/>
      <c r="AE1" s="4081"/>
      <c r="AF1" s="4081"/>
      <c r="AG1" s="4081"/>
    </row>
    <row r="2" spans="1:33">
      <c r="A2" s="4081" t="s">
        <v>171</v>
      </c>
      <c r="B2" s="4081"/>
      <c r="C2" s="4081"/>
      <c r="D2" s="4081"/>
      <c r="E2" s="4081"/>
      <c r="F2" s="4081"/>
      <c r="G2" s="4081"/>
      <c r="H2" s="4081"/>
      <c r="I2" s="4081"/>
      <c r="J2" s="4081"/>
      <c r="K2" s="4081"/>
      <c r="L2" s="4081"/>
      <c r="M2" s="4081"/>
      <c r="N2" s="4081"/>
      <c r="O2" s="4081"/>
      <c r="P2" s="4081"/>
      <c r="Q2" s="4081"/>
      <c r="R2" s="4081"/>
      <c r="S2" s="4081"/>
      <c r="T2" s="4081"/>
      <c r="U2" s="4081"/>
      <c r="V2" s="4081"/>
      <c r="W2" s="4081"/>
      <c r="X2" s="4081"/>
      <c r="Y2" s="4081"/>
      <c r="Z2" s="4081"/>
      <c r="AA2" s="4081"/>
      <c r="AB2" s="4081"/>
      <c r="AC2" s="4081"/>
      <c r="AD2" s="4081"/>
      <c r="AE2" s="4081"/>
      <c r="AF2" s="4081"/>
      <c r="AG2" s="4081"/>
    </row>
    <row r="3" spans="1:33">
      <c r="A3" s="4087" t="s">
        <v>726</v>
      </c>
      <c r="B3" s="4081"/>
      <c r="C3" s="4081"/>
      <c r="D3" s="4081"/>
      <c r="E3" s="4081"/>
      <c r="F3" s="4081"/>
      <c r="G3" s="4081"/>
      <c r="H3" s="4081"/>
      <c r="I3" s="4081"/>
      <c r="J3" s="4081"/>
      <c r="K3" s="4081"/>
      <c r="L3" s="4081"/>
      <c r="M3" s="4081"/>
      <c r="N3" s="4081"/>
      <c r="O3" s="4081"/>
      <c r="P3" s="4081"/>
      <c r="Q3" s="4081"/>
      <c r="R3" s="4081"/>
      <c r="S3" s="4081"/>
      <c r="T3" s="4081"/>
      <c r="U3" s="4081"/>
      <c r="V3" s="4081"/>
      <c r="W3" s="4081"/>
      <c r="X3" s="4081"/>
      <c r="Y3" s="4081"/>
      <c r="Z3" s="4081"/>
      <c r="AA3" s="4081"/>
      <c r="AB3" s="4081"/>
      <c r="AC3" s="4081"/>
      <c r="AD3" s="4081"/>
      <c r="AE3" s="4081"/>
      <c r="AF3" s="4081"/>
      <c r="AG3" s="4081"/>
    </row>
    <row r="4" spans="1:33" ht="18.75" customHeight="1">
      <c r="A4" s="4090" t="s">
        <v>602</v>
      </c>
      <c r="B4" s="4090"/>
      <c r="C4" s="4090"/>
      <c r="D4" s="4090"/>
      <c r="E4" s="771"/>
      <c r="F4" s="771"/>
      <c r="G4" s="771"/>
      <c r="H4" s="771"/>
      <c r="I4" s="771"/>
      <c r="J4" s="771"/>
      <c r="K4" s="771"/>
      <c r="L4" s="771"/>
      <c r="M4" s="771"/>
      <c r="N4" s="771"/>
      <c r="O4" s="771"/>
      <c r="P4" s="771"/>
      <c r="R4" s="771"/>
      <c r="S4" s="771"/>
      <c r="T4" s="771"/>
      <c r="Z4" s="766"/>
      <c r="AB4" s="766"/>
      <c r="AC4" s="766"/>
      <c r="AD4" s="766"/>
      <c r="AE4" s="766"/>
      <c r="AF4" s="766"/>
      <c r="AG4" s="766"/>
    </row>
    <row r="5" spans="1:33" ht="18.75" customHeight="1">
      <c r="A5" s="4081" t="s">
        <v>541</v>
      </c>
      <c r="B5" s="4081"/>
      <c r="C5" s="4081"/>
      <c r="D5" s="4081"/>
      <c r="E5" s="776"/>
      <c r="F5" s="776"/>
      <c r="G5" s="776"/>
      <c r="H5" s="776"/>
      <c r="I5" s="776"/>
      <c r="J5" s="776"/>
      <c r="K5" s="776"/>
      <c r="L5" s="776"/>
      <c r="M5" s="776"/>
      <c r="N5" s="776"/>
      <c r="O5" s="776"/>
      <c r="P5" s="776"/>
      <c r="Q5" s="766"/>
      <c r="R5" s="776"/>
      <c r="S5" s="776"/>
      <c r="T5" s="776"/>
      <c r="Z5" s="766"/>
      <c r="AB5" s="766"/>
      <c r="AC5" s="766"/>
      <c r="AD5" s="766"/>
      <c r="AE5" s="766"/>
      <c r="AF5" s="766"/>
      <c r="AG5" s="766"/>
    </row>
    <row r="6" spans="1:33" ht="18.75" customHeight="1"/>
    <row r="7" spans="1:33" ht="22.5" customHeight="1">
      <c r="A7" s="4097" t="s">
        <v>906</v>
      </c>
      <c r="B7" s="4097"/>
      <c r="C7" s="4097"/>
      <c r="D7" s="4097"/>
      <c r="E7" s="4097"/>
      <c r="F7" s="4097"/>
      <c r="G7" s="4097"/>
      <c r="H7" s="4097"/>
      <c r="I7" s="4097"/>
      <c r="J7" s="4097"/>
      <c r="K7" s="4097"/>
      <c r="L7" s="4097"/>
      <c r="M7" s="4097"/>
      <c r="N7" s="4097"/>
      <c r="O7" s="4097"/>
      <c r="P7" s="4097"/>
      <c r="Q7" s="4097"/>
      <c r="R7" s="4097"/>
      <c r="S7" s="4097"/>
      <c r="T7" s="4097"/>
      <c r="U7" s="4097"/>
      <c r="V7" s="4097"/>
      <c r="W7" s="4097"/>
      <c r="X7" s="4097"/>
      <c r="Y7" s="4097"/>
      <c r="Z7" s="4097"/>
      <c r="AA7" s="4097"/>
      <c r="AB7" s="4097"/>
      <c r="AC7" s="4097"/>
      <c r="AD7" s="4097"/>
      <c r="AE7" s="4097"/>
      <c r="AF7" s="4097"/>
      <c r="AG7" s="4097"/>
    </row>
    <row r="8" spans="1:33">
      <c r="A8" s="885"/>
      <c r="B8" s="857" t="s">
        <v>603</v>
      </c>
      <c r="C8" s="886">
        <v>21976</v>
      </c>
      <c r="D8" s="885"/>
      <c r="E8" s="885"/>
      <c r="F8" s="885"/>
      <c r="G8" s="885"/>
      <c r="H8" s="885"/>
      <c r="I8" s="885"/>
      <c r="J8" s="885"/>
      <c r="K8" s="885"/>
      <c r="L8" s="885"/>
      <c r="M8" s="885"/>
      <c r="N8" s="885"/>
      <c r="O8" s="885"/>
      <c r="P8" s="885"/>
      <c r="Q8" s="885"/>
      <c r="R8" s="885"/>
      <c r="S8" s="885"/>
      <c r="T8" s="885"/>
      <c r="U8" s="885"/>
      <c r="V8" s="885"/>
      <c r="W8" s="885"/>
      <c r="X8" s="885"/>
      <c r="Y8" s="885"/>
      <c r="Z8" s="885"/>
      <c r="AA8" s="885"/>
      <c r="AB8" s="885"/>
      <c r="AC8" s="885"/>
      <c r="AD8" s="885"/>
      <c r="AE8" s="885"/>
      <c r="AF8" s="885"/>
      <c r="AG8" s="885"/>
    </row>
    <row r="9" spans="1:33">
      <c r="A9" s="885"/>
      <c r="B9" s="857" t="s">
        <v>604</v>
      </c>
      <c r="C9" s="887">
        <v>0.94079999999999997</v>
      </c>
      <c r="D9" s="885"/>
      <c r="E9" s="885"/>
      <c r="F9" s="885"/>
      <c r="G9" s="885"/>
      <c r="H9" s="885"/>
      <c r="I9" s="885"/>
      <c r="J9" s="885"/>
      <c r="K9" s="885"/>
      <c r="L9" s="885"/>
      <c r="M9" s="885"/>
      <c r="N9" s="885"/>
      <c r="O9" s="885"/>
      <c r="P9" s="885"/>
      <c r="Q9" s="885"/>
      <c r="R9" s="885"/>
      <c r="S9" s="885"/>
      <c r="T9" s="885"/>
      <c r="U9" s="885"/>
      <c r="V9" s="885"/>
      <c r="W9" s="885"/>
      <c r="X9" s="885"/>
      <c r="Y9" s="885"/>
      <c r="Z9" s="885"/>
      <c r="AA9" s="885"/>
      <c r="AB9" s="885"/>
      <c r="AC9" s="885"/>
      <c r="AD9" s="885"/>
      <c r="AE9" s="885"/>
      <c r="AF9" s="885"/>
      <c r="AG9" s="885"/>
    </row>
    <row r="10" spans="1:33" ht="29.25" customHeight="1">
      <c r="A10" s="4085" t="s">
        <v>19</v>
      </c>
      <c r="B10" s="4085" t="s">
        <v>20</v>
      </c>
      <c r="C10" s="4085" t="s">
        <v>5</v>
      </c>
      <c r="D10" s="4115" t="s">
        <v>895</v>
      </c>
      <c r="E10" s="4116"/>
      <c r="F10" s="4116"/>
      <c r="G10" s="4116"/>
      <c r="H10" s="4116"/>
      <c r="I10" s="4116"/>
      <c r="J10" s="4116"/>
      <c r="K10" s="4117"/>
      <c r="L10" s="4098" t="s">
        <v>797</v>
      </c>
      <c r="M10" s="4098" t="s">
        <v>798</v>
      </c>
      <c r="N10" s="4098" t="s">
        <v>898</v>
      </c>
      <c r="O10" s="4098" t="s">
        <v>856</v>
      </c>
      <c r="P10" s="4098" t="s">
        <v>233</v>
      </c>
      <c r="Q10" s="4092" t="s">
        <v>769</v>
      </c>
      <c r="R10" s="4085" t="s">
        <v>689</v>
      </c>
      <c r="S10" s="4085"/>
      <c r="T10" s="4085"/>
      <c r="U10" s="4119" t="s">
        <v>764</v>
      </c>
      <c r="V10" s="4082" t="s">
        <v>765</v>
      </c>
      <c r="W10" s="4082" t="s">
        <v>766</v>
      </c>
      <c r="X10" s="4092" t="s">
        <v>701</v>
      </c>
      <c r="Y10" s="4082" t="s">
        <v>770</v>
      </c>
      <c r="Z10" s="4122" t="s">
        <v>702</v>
      </c>
      <c r="AA10" s="4124"/>
      <c r="AB10" s="4095" t="s">
        <v>598</v>
      </c>
      <c r="AC10" s="4120"/>
      <c r="AD10" s="4122" t="s">
        <v>605</v>
      </c>
      <c r="AE10" s="4123"/>
      <c r="AF10" s="4124"/>
      <c r="AG10" s="3896" t="s">
        <v>634</v>
      </c>
    </row>
    <row r="11" spans="1:33" ht="29.25" customHeight="1">
      <c r="A11" s="4085"/>
      <c r="B11" s="4085"/>
      <c r="C11" s="4085"/>
      <c r="D11" s="4095" t="s">
        <v>896</v>
      </c>
      <c r="E11" s="1383"/>
      <c r="F11" s="4115" t="s">
        <v>23</v>
      </c>
      <c r="G11" s="4116"/>
      <c r="H11" s="1383"/>
      <c r="I11" s="1383"/>
      <c r="J11" s="1383"/>
      <c r="K11" s="1384"/>
      <c r="L11" s="4099"/>
      <c r="M11" s="4099"/>
      <c r="N11" s="4099"/>
      <c r="O11" s="4099"/>
      <c r="P11" s="4099"/>
      <c r="Q11" s="4093"/>
      <c r="R11" s="860"/>
      <c r="S11" s="860"/>
      <c r="T11" s="860"/>
      <c r="U11" s="4119"/>
      <c r="V11" s="4082"/>
      <c r="W11" s="4082"/>
      <c r="X11" s="4094"/>
      <c r="Y11" s="4082"/>
      <c r="Z11" s="4125"/>
      <c r="AA11" s="4127"/>
      <c r="AB11" s="4096"/>
      <c r="AC11" s="4121"/>
      <c r="AD11" s="4125"/>
      <c r="AE11" s="4126"/>
      <c r="AF11" s="4127"/>
      <c r="AG11" s="3896"/>
    </row>
    <row r="12" spans="1:33" ht="33.75" customHeight="1">
      <c r="A12" s="4085"/>
      <c r="B12" s="4085"/>
      <c r="C12" s="4085"/>
      <c r="D12" s="4096"/>
      <c r="E12" s="861" t="s">
        <v>755</v>
      </c>
      <c r="F12" s="861" t="s">
        <v>897</v>
      </c>
      <c r="G12" s="861" t="s">
        <v>5</v>
      </c>
      <c r="H12" s="965">
        <v>0.9</v>
      </c>
      <c r="I12" s="965">
        <v>0.1</v>
      </c>
      <c r="J12" s="965">
        <v>0.8</v>
      </c>
      <c r="K12" s="965">
        <v>0.2</v>
      </c>
      <c r="L12" s="4118"/>
      <c r="M12" s="4100"/>
      <c r="N12" s="4100"/>
      <c r="O12" s="4100"/>
      <c r="P12" s="4100"/>
      <c r="Q12" s="4094"/>
      <c r="R12" s="861" t="s">
        <v>18</v>
      </c>
      <c r="S12" s="866" t="s">
        <v>23</v>
      </c>
      <c r="T12" s="863" t="s">
        <v>247</v>
      </c>
      <c r="U12" s="4112" t="s">
        <v>247</v>
      </c>
      <c r="V12" s="4113"/>
      <c r="W12" s="4114"/>
      <c r="X12" s="863" t="s">
        <v>18</v>
      </c>
      <c r="Y12" s="4083"/>
      <c r="Z12" s="863" t="s">
        <v>247</v>
      </c>
      <c r="AA12" s="863" t="s">
        <v>18</v>
      </c>
      <c r="AB12" s="863" t="s">
        <v>247</v>
      </c>
      <c r="AC12" s="863" t="s">
        <v>18</v>
      </c>
      <c r="AD12" s="863" t="s">
        <v>247</v>
      </c>
      <c r="AE12" s="863"/>
      <c r="AF12" s="863" t="s">
        <v>18</v>
      </c>
      <c r="AG12" s="3896"/>
    </row>
    <row r="13" spans="1:33" s="697" customFormat="1" ht="6" hidden="1" customHeight="1">
      <c r="A13" s="888" t="s">
        <v>606</v>
      </c>
      <c r="B13" s="888" t="s">
        <v>607</v>
      </c>
      <c r="C13" s="888" t="s">
        <v>608</v>
      </c>
      <c r="D13" s="888" t="s">
        <v>609</v>
      </c>
      <c r="E13" s="888"/>
      <c r="F13" s="888"/>
      <c r="G13" s="888"/>
      <c r="H13" s="888"/>
      <c r="I13" s="888"/>
      <c r="J13" s="888"/>
      <c r="K13" s="888"/>
      <c r="L13" s="888"/>
      <c r="M13" s="888"/>
      <c r="N13" s="888"/>
      <c r="O13" s="888"/>
      <c r="P13" s="888"/>
      <c r="Q13" s="888" t="s">
        <v>610</v>
      </c>
      <c r="R13" s="888" t="s">
        <v>611</v>
      </c>
      <c r="S13" s="888"/>
      <c r="T13" s="888" t="s">
        <v>635</v>
      </c>
      <c r="U13" s="888" t="s">
        <v>692</v>
      </c>
      <c r="V13" s="888" t="s">
        <v>636</v>
      </c>
      <c r="W13" s="888"/>
      <c r="X13" s="888" t="s">
        <v>637</v>
      </c>
      <c r="Y13" s="888" t="s">
        <v>699</v>
      </c>
      <c r="Z13" s="888" t="s">
        <v>693</v>
      </c>
      <c r="AA13" s="888" t="s">
        <v>694</v>
      </c>
      <c r="AB13" s="888" t="s">
        <v>695</v>
      </c>
      <c r="AC13" s="888">
        <v>15</v>
      </c>
      <c r="AD13" s="888" t="s">
        <v>696</v>
      </c>
      <c r="AE13" s="888"/>
      <c r="AF13" s="888" t="s">
        <v>697</v>
      </c>
      <c r="AG13" s="888" t="s">
        <v>698</v>
      </c>
    </row>
    <row r="14" spans="1:33" ht="21.75" customHeight="1">
      <c r="A14" s="3002" t="s">
        <v>52</v>
      </c>
      <c r="B14" s="4108" t="s">
        <v>1368</v>
      </c>
      <c r="C14" s="4109"/>
      <c r="D14" s="3003"/>
      <c r="E14" s="3005"/>
      <c r="F14" s="3005"/>
      <c r="G14" s="3005"/>
      <c r="H14" s="3005"/>
      <c r="I14" s="3005"/>
      <c r="J14" s="3004"/>
      <c r="K14" s="864"/>
      <c r="L14" s="3004"/>
      <c r="M14" s="3004"/>
      <c r="N14" s="3005"/>
      <c r="O14" s="3002"/>
      <c r="P14" s="3003"/>
      <c r="Q14" s="3003"/>
      <c r="R14" s="3002"/>
      <c r="S14" s="3003"/>
      <c r="T14" s="3002"/>
    </row>
    <row r="15" spans="1:33" ht="27" customHeight="1">
      <c r="A15" s="860" t="s">
        <v>147</v>
      </c>
      <c r="B15" s="4091" t="s">
        <v>630</v>
      </c>
      <c r="C15" s="4091"/>
      <c r="D15" s="1397">
        <f>SUM(D16:E18)</f>
        <v>1250</v>
      </c>
      <c r="E15" s="1397">
        <f t="shared" ref="E15:AE15" si="0">SUM(E16:F18)</f>
        <v>430</v>
      </c>
      <c r="F15" s="1397">
        <f t="shared" si="0"/>
        <v>430</v>
      </c>
      <c r="G15" s="1076">
        <f t="shared" si="0"/>
        <v>0</v>
      </c>
      <c r="H15" s="1397">
        <f t="shared" si="0"/>
        <v>0</v>
      </c>
      <c r="I15" s="1397">
        <f t="shared" si="0"/>
        <v>0</v>
      </c>
      <c r="J15" s="1397">
        <f t="shared" si="0"/>
        <v>0</v>
      </c>
      <c r="K15" s="1397">
        <f t="shared" si="0"/>
        <v>0</v>
      </c>
      <c r="L15" s="1397">
        <f t="shared" si="0"/>
        <v>0</v>
      </c>
      <c r="M15" s="1397">
        <f t="shared" si="0"/>
        <v>0</v>
      </c>
      <c r="N15" s="1076">
        <f t="shared" si="0"/>
        <v>0</v>
      </c>
      <c r="O15" s="1397">
        <f t="shared" si="0"/>
        <v>1680</v>
      </c>
      <c r="P15" s="1192">
        <f>SUM(P16:P18)</f>
        <v>1680</v>
      </c>
      <c r="Q15" s="1192">
        <f>SUM(Q16:Q18)</f>
        <v>36919680</v>
      </c>
      <c r="R15" s="1398">
        <f t="shared" si="0"/>
        <v>0</v>
      </c>
      <c r="S15" s="1398">
        <f t="shared" si="0"/>
        <v>0</v>
      </c>
      <c r="T15" s="1398">
        <f t="shared" si="0"/>
        <v>2953574.4000000004</v>
      </c>
      <c r="U15" s="1398">
        <f t="shared" ref="U15:AC15" si="1">SUM(U16:U18)</f>
        <v>2953574.4000000004</v>
      </c>
      <c r="V15" s="1398">
        <f t="shared" si="1"/>
        <v>346439.04000000004</v>
      </c>
      <c r="W15" s="1398">
        <f t="shared" si="1"/>
        <v>114201.36</v>
      </c>
      <c r="X15" s="1398">
        <f t="shared" si="1"/>
        <v>77.461066618128868</v>
      </c>
      <c r="Y15" s="1192">
        <f t="shared" si="1"/>
        <v>33505465.199999999</v>
      </c>
      <c r="Z15" s="1398">
        <f t="shared" si="1"/>
        <v>2470966</v>
      </c>
      <c r="AA15" s="1398">
        <f t="shared" si="1"/>
        <v>112.43929741536222</v>
      </c>
      <c r="AB15" s="1398">
        <f t="shared" si="1"/>
        <v>31034499.200000003</v>
      </c>
      <c r="AC15" s="1398">
        <f t="shared" si="1"/>
        <v>1412.199635966509</v>
      </c>
      <c r="AD15" s="1398">
        <f>SUM(AD16:AE18)</f>
        <v>310344</v>
      </c>
      <c r="AE15" s="1398">
        <f t="shared" si="0"/>
        <v>14.121951219512194</v>
      </c>
      <c r="AF15" s="1398">
        <f>SUM(AF16:AF18)</f>
        <v>14.121951219512194</v>
      </c>
      <c r="AG15" s="866"/>
    </row>
    <row r="16" spans="1:33" ht="27" customHeight="1">
      <c r="A16" s="1399">
        <v>1</v>
      </c>
      <c r="B16" s="1400" t="s">
        <v>1013</v>
      </c>
      <c r="C16" s="1400" t="s">
        <v>680</v>
      </c>
      <c r="D16" s="1401">
        <v>610</v>
      </c>
      <c r="E16" s="1401"/>
      <c r="F16" s="1401">
        <f>+'Lương USD'!F16</f>
        <v>210</v>
      </c>
      <c r="G16" s="1402">
        <v>0</v>
      </c>
      <c r="H16" s="1403"/>
      <c r="I16" s="1403"/>
      <c r="J16" s="1403"/>
      <c r="K16" s="1403"/>
      <c r="L16" s="1403"/>
      <c r="M16" s="1403"/>
      <c r="N16" s="1403"/>
      <c r="O16" s="1403"/>
      <c r="P16" s="1404">
        <f>+D16+F16+G16+N16</f>
        <v>820</v>
      </c>
      <c r="Q16" s="1404">
        <f>+P16*$C$8</f>
        <v>18020320</v>
      </c>
      <c r="R16" s="1403"/>
      <c r="S16" s="1403"/>
      <c r="T16" s="1403"/>
      <c r="U16" s="3047">
        <f>Q16*0.08</f>
        <v>1441625.6</v>
      </c>
      <c r="V16" s="1403">
        <f>Q16*0.015</f>
        <v>270304.8</v>
      </c>
      <c r="W16" s="1403">
        <v>0</v>
      </c>
      <c r="X16" s="1402">
        <v>0</v>
      </c>
      <c r="Y16" s="1405">
        <f t="shared" ref="Y16:Y17" si="2">Q16-U16-V16-W16</f>
        <v>16308389.6</v>
      </c>
      <c r="Z16" s="1406">
        <f>IF(Y16&gt;65000000,((Y16-65000000)*25%+10685000),IF(Y16&gt;25000000,((Y16-25000000)*20%+2685000),IF(Y16&gt;15000000,((Y16-15000000)*15%+1185000),IF(Y16&gt;5000000,(Y16-5000000)*10%+185000,IF(Y16&gt;1300000,(Y16-1300000)*5%,0)))))</f>
        <v>1381258.44</v>
      </c>
      <c r="AA16" s="1407">
        <f t="shared" ref="AA16" si="3">Z16/$C$8</f>
        <v>62.853041499817984</v>
      </c>
      <c r="AB16" s="1408">
        <f t="shared" ref="AB16" si="4">Y16-Z16</f>
        <v>14927131.16</v>
      </c>
      <c r="AC16" s="1409">
        <f t="shared" ref="AC16" si="5">AB16/$C$8</f>
        <v>679.24695850018202</v>
      </c>
      <c r="AD16" s="1410">
        <f t="shared" ref="AD16" si="6">ROUND(AB16*1%,0)</f>
        <v>149271</v>
      </c>
      <c r="AE16" s="1410"/>
      <c r="AF16" s="1411">
        <f t="shared" ref="AF16" si="7">(AD16+AE16)/$C$8</f>
        <v>6.7924554058973428</v>
      </c>
      <c r="AG16" s="1403"/>
    </row>
    <row r="17" spans="1:33" s="865" customFormat="1" ht="27" customHeight="1">
      <c r="A17" s="1095">
        <v>2</v>
      </c>
      <c r="B17" s="1096" t="s">
        <v>638</v>
      </c>
      <c r="C17" s="1096" t="s">
        <v>639</v>
      </c>
      <c r="D17" s="1279">
        <v>340</v>
      </c>
      <c r="E17" s="1279"/>
      <c r="F17" s="1279">
        <v>120</v>
      </c>
      <c r="G17" s="1394">
        <v>0</v>
      </c>
      <c r="H17" s="1279">
        <f>G17*90%</f>
        <v>0</v>
      </c>
      <c r="I17" s="1279">
        <f>G17*10%</f>
        <v>0</v>
      </c>
      <c r="J17" s="1279"/>
      <c r="K17" s="1279"/>
      <c r="L17" s="1279"/>
      <c r="M17" s="1279"/>
      <c r="N17" s="1279"/>
      <c r="O17" s="1276">
        <v>0</v>
      </c>
      <c r="P17" s="1412">
        <f t="shared" ref="P17:P18" si="8">+D17+F17+G17+N17</f>
        <v>460</v>
      </c>
      <c r="Q17" s="1412">
        <f t="shared" ref="Q17:Q18" si="9">+P17*$C$8</f>
        <v>10108960</v>
      </c>
      <c r="R17" s="1280"/>
      <c r="S17" s="1280"/>
      <c r="T17" s="1280"/>
      <c r="U17" s="3047">
        <f t="shared" ref="U17:U18" si="10">Q17*0.08</f>
        <v>808716.80000000005</v>
      </c>
      <c r="V17" s="1097">
        <f>VLOOKUP(B17,BHXH!$B$2:$F$8,5,0)*1%*$C$9</f>
        <v>38831.519999999997</v>
      </c>
      <c r="W17" s="1097">
        <f>VLOOKUP(B17,BHXH!$B$2:$F$8,5,0)*1.5%*$C$9</f>
        <v>58247.28</v>
      </c>
      <c r="X17" s="1287">
        <f t="shared" ref="X17:X18" si="11">(U17+V17+W17)/$C$8</f>
        <v>41.217491809246454</v>
      </c>
      <c r="Y17" s="1098">
        <f t="shared" si="2"/>
        <v>9203164.4000000004</v>
      </c>
      <c r="Z17" s="1099">
        <f>IF(Y17&gt;65000000,((Y17-65000000)*25%+10685000),IF(Y17&gt;25000000,((Y17-25000000)*20%+2685000),IF(Y17&gt;15000000,((Y17-15000000)*15%+1185000),IF(Y17&gt;5000000,(Y17-5000000)*10%+185000,IF(Y17&gt;1300000,(Y17-1300000)*5%,0)))))</f>
        <v>605316.44000000006</v>
      </c>
      <c r="AA17" s="1287">
        <f t="shared" ref="AA17:AA18" si="12">Z17/$C$8</f>
        <v>27.544432107753916</v>
      </c>
      <c r="AB17" s="1100">
        <f t="shared" ref="AB17:AB18" si="13">Y17-Z17</f>
        <v>8597847.9600000009</v>
      </c>
      <c r="AC17" s="1101">
        <f t="shared" ref="AC17:AC18" si="14">AB17/$C$8</f>
        <v>391.23807608299967</v>
      </c>
      <c r="AD17" s="1077">
        <f t="shared" ref="AD17:AD18" si="15">ROUND(AB17*1%,0)</f>
        <v>85978</v>
      </c>
      <c r="AE17" s="1077"/>
      <c r="AF17" s="1078">
        <f t="shared" ref="AF17:AF18" si="16">(AD17+AE17)/$C$8</f>
        <v>3.9123589370222058</v>
      </c>
      <c r="AG17" s="1077"/>
    </row>
    <row r="18" spans="1:33" s="865" customFormat="1" ht="27" customHeight="1">
      <c r="A18" s="1102">
        <v>3</v>
      </c>
      <c r="B18" s="1103" t="s">
        <v>97</v>
      </c>
      <c r="C18" s="1103" t="s">
        <v>99</v>
      </c>
      <c r="D18" s="1281">
        <v>300</v>
      </c>
      <c r="E18" s="1281"/>
      <c r="F18" s="1281">
        <v>100</v>
      </c>
      <c r="G18" s="1395">
        <v>0</v>
      </c>
      <c r="H18" s="1281">
        <f>G18*90%</f>
        <v>0</v>
      </c>
      <c r="I18" s="1281">
        <f>G18*10%</f>
        <v>0</v>
      </c>
      <c r="J18" s="1281"/>
      <c r="K18" s="1281"/>
      <c r="L18" s="1281"/>
      <c r="M18" s="1281"/>
      <c r="N18" s="1281"/>
      <c r="O18" s="1277">
        <v>0</v>
      </c>
      <c r="P18" s="1413">
        <f t="shared" si="8"/>
        <v>400</v>
      </c>
      <c r="Q18" s="1413">
        <f t="shared" si="9"/>
        <v>8790400</v>
      </c>
      <c r="R18" s="1282"/>
      <c r="S18" s="1282"/>
      <c r="T18" s="1282"/>
      <c r="U18" s="3047">
        <f t="shared" si="10"/>
        <v>703232</v>
      </c>
      <c r="V18" s="1104">
        <f>VLOOKUP(B18,BHXH!$B$2:$F$8,5,0)*1%*$C$9</f>
        <v>37302.720000000001</v>
      </c>
      <c r="W18" s="1104">
        <f>VLOOKUP(B18,BHXH!$B$2:$F$8,5,0)*1.5%*$C$9</f>
        <v>55954.080000000002</v>
      </c>
      <c r="X18" s="1288">
        <f t="shared" si="11"/>
        <v>36.243574808882414</v>
      </c>
      <c r="Y18" s="1105">
        <f>Q18-U18-V18-W18</f>
        <v>7993911.2000000002</v>
      </c>
      <c r="Z18" s="1106">
        <f>IF(Y18&gt;65000000,((Y18-65000000)*25%+10685000),IF(Y18&gt;25000000,((Y18-25000000)*20%+2685000),IF(Y18&gt;15000000,((Y18-15000000)*15%+1185000),IF(Y18&gt;5000000,(Y18-5000000)*10%+185000,IF(Y18&gt;1300000,(Y18-1300000)*5%,0)))))</f>
        <v>484391.12000000005</v>
      </c>
      <c r="AA18" s="1288">
        <f t="shared" si="12"/>
        <v>22.041823807790319</v>
      </c>
      <c r="AB18" s="1107">
        <f t="shared" si="13"/>
        <v>7509520.0800000001</v>
      </c>
      <c r="AC18" s="1108">
        <f t="shared" si="14"/>
        <v>341.71460138332725</v>
      </c>
      <c r="AD18" s="1079">
        <f t="shared" si="15"/>
        <v>75095</v>
      </c>
      <c r="AE18" s="1079"/>
      <c r="AF18" s="1080">
        <f t="shared" si="16"/>
        <v>3.4171368765926466</v>
      </c>
      <c r="AG18" s="1079"/>
    </row>
    <row r="19" spans="1:33" s="868" customFormat="1" ht="27" customHeight="1">
      <c r="A19" s="1109" t="s">
        <v>148</v>
      </c>
      <c r="B19" s="1110" t="s">
        <v>629</v>
      </c>
      <c r="C19" s="1110"/>
      <c r="D19" s="1190">
        <f t="shared" ref="D19:AF19" si="17">SUM(D20:D20)</f>
        <v>330</v>
      </c>
      <c r="E19" s="1190">
        <f t="shared" si="17"/>
        <v>0</v>
      </c>
      <c r="F19" s="1278">
        <f t="shared" si="17"/>
        <v>0</v>
      </c>
      <c r="G19" s="1278">
        <f t="shared" si="17"/>
        <v>50</v>
      </c>
      <c r="H19" s="1190">
        <f t="shared" si="17"/>
        <v>0</v>
      </c>
      <c r="I19" s="1190">
        <f t="shared" si="17"/>
        <v>0</v>
      </c>
      <c r="J19" s="1190">
        <f t="shared" si="17"/>
        <v>40</v>
      </c>
      <c r="K19" s="1190">
        <f t="shared" si="17"/>
        <v>10</v>
      </c>
      <c r="L19" s="1190">
        <f t="shared" si="17"/>
        <v>0</v>
      </c>
      <c r="M19" s="1190">
        <f t="shared" si="17"/>
        <v>50</v>
      </c>
      <c r="N19" s="1278">
        <f t="shared" si="17"/>
        <v>151.18297368421051</v>
      </c>
      <c r="O19" s="1192">
        <f t="shared" si="17"/>
        <v>0</v>
      </c>
      <c r="P19" s="3044">
        <f>SUM(P20:P21)</f>
        <v>1004.6316236842106</v>
      </c>
      <c r="Q19" s="3044">
        <f>SUM(Q20:Q21)</f>
        <v>22077784.562084209</v>
      </c>
      <c r="R19" s="1190">
        <f t="shared" si="17"/>
        <v>0</v>
      </c>
      <c r="S19" s="1190">
        <f t="shared" si="17"/>
        <v>0</v>
      </c>
      <c r="T19" s="1190">
        <f t="shared" si="17"/>
        <v>0</v>
      </c>
      <c r="U19" s="1192">
        <f>SUM(U20:U20)</f>
        <v>317990.39999999997</v>
      </c>
      <c r="V19" s="1089">
        <f t="shared" si="17"/>
        <v>39748.799999999996</v>
      </c>
      <c r="W19" s="1089">
        <f t="shared" si="17"/>
        <v>59623.199999999997</v>
      </c>
      <c r="X19" s="1278">
        <f t="shared" si="17"/>
        <v>18.991736439752454</v>
      </c>
      <c r="Y19" s="1089">
        <f>SUM(Y20:Y20)</f>
        <v>11255914.62968421</v>
      </c>
      <c r="Z19" s="1089">
        <f t="shared" si="17"/>
        <v>810591.46296842105</v>
      </c>
      <c r="AA19" s="1278">
        <f t="shared" si="17"/>
        <v>36.885305013124366</v>
      </c>
      <c r="AB19" s="1089">
        <f t="shared" si="17"/>
        <v>10445323.16671579</v>
      </c>
      <c r="AC19" s="1111">
        <f t="shared" si="17"/>
        <v>475.30593223133371</v>
      </c>
      <c r="AD19" s="866">
        <f t="shared" si="17"/>
        <v>104453</v>
      </c>
      <c r="AE19" s="866">
        <f t="shared" si="17"/>
        <v>0</v>
      </c>
      <c r="AF19" s="889">
        <f t="shared" si="17"/>
        <v>4.7530487804878048</v>
      </c>
      <c r="AG19" s="866"/>
    </row>
    <row r="20" spans="1:33" s="865" customFormat="1" ht="27" customHeight="1">
      <c r="A20" s="1112">
        <v>1</v>
      </c>
      <c r="B20" s="1113" t="s">
        <v>96</v>
      </c>
      <c r="C20" s="1113" t="s">
        <v>162</v>
      </c>
      <c r="D20" s="1283">
        <v>330</v>
      </c>
      <c r="E20" s="1283"/>
      <c r="F20" s="1396">
        <v>0</v>
      </c>
      <c r="G20" s="1396">
        <v>50</v>
      </c>
      <c r="H20" s="1283"/>
      <c r="I20" s="1283"/>
      <c r="J20" s="1283">
        <f>G20*80%</f>
        <v>40</v>
      </c>
      <c r="K20" s="1283">
        <f>G20*20%</f>
        <v>10</v>
      </c>
      <c r="L20" s="1283"/>
      <c r="M20" s="1283">
        <f>+G20</f>
        <v>50</v>
      </c>
      <c r="N20" s="1396">
        <f>'Tính lương tổ'!I13</f>
        <v>151.18297368421051</v>
      </c>
      <c r="O20" s="1285"/>
      <c r="P20" s="3043">
        <f>+D20+F20+G20+N20</f>
        <v>531.18297368421054</v>
      </c>
      <c r="Q20" s="1286">
        <f>P20*$C$8</f>
        <v>11673277.02968421</v>
      </c>
      <c r="R20" s="1284"/>
      <c r="S20" s="1284"/>
      <c r="T20" s="1284"/>
      <c r="U20" s="1286">
        <f>VLOOKUP(B20,BHXH!$B$2:$F$8,5,0)*8%*$C$9</f>
        <v>317990.39999999997</v>
      </c>
      <c r="V20" s="1114">
        <f>VLOOKUP(B20,BHXH!$B$2:$F$8,5,0)*1%*$C$9</f>
        <v>39748.799999999996</v>
      </c>
      <c r="W20" s="1114">
        <f>VLOOKUP(B20,BHXH!$B$2:$F$8,5,0)*1.5%*$C$9</f>
        <v>59623.199999999997</v>
      </c>
      <c r="X20" s="1289">
        <f>(U20+V20+W20)/$C$8</f>
        <v>18.991736439752454</v>
      </c>
      <c r="Y20" s="1115">
        <f>Q20-U20-V20-W20</f>
        <v>11255914.62968421</v>
      </c>
      <c r="Z20" s="1116">
        <f>IF(Y20&gt;65000000,((Y20-65000000)*25%+10685000),IF(Y20&gt;25000000,((Y20-25000000)*20%+2685000),IF(Y20&gt;15000000,((Y20-15000000)*15%+1185000),IF(Y20&gt;5000000,(Y20-5000000)*10%+185000,IF(Y20&gt;1300000,(Y20-1300000)*5%,0)))))</f>
        <v>810591.46296842105</v>
      </c>
      <c r="AA20" s="1289">
        <f>Z20/$C$8</f>
        <v>36.885305013124366</v>
      </c>
      <c r="AB20" s="1117">
        <f>Y20-Z20</f>
        <v>10445323.16671579</v>
      </c>
      <c r="AC20" s="1118">
        <f>AB20/$C$8</f>
        <v>475.30593223133371</v>
      </c>
      <c r="AD20" s="891">
        <f>ROUND(AB20*1%,0)</f>
        <v>104453</v>
      </c>
      <c r="AE20" s="891"/>
      <c r="AF20" s="892">
        <f>(AD20+AE20)/$C$8</f>
        <v>4.7530487804878048</v>
      </c>
      <c r="AG20" s="891"/>
    </row>
    <row r="21" spans="1:33" s="868" customFormat="1" ht="26.25" customHeight="1">
      <c r="A21" s="3007">
        <v>2</v>
      </c>
      <c r="B21" s="3008" t="s">
        <v>1317</v>
      </c>
      <c r="C21" s="875" t="s">
        <v>162</v>
      </c>
      <c r="D21" s="876">
        <v>250</v>
      </c>
      <c r="E21" s="876">
        <v>250</v>
      </c>
      <c r="F21" s="876"/>
      <c r="G21" s="876"/>
      <c r="H21" s="876"/>
      <c r="I21" s="876"/>
      <c r="J21" s="876"/>
      <c r="K21" s="876"/>
      <c r="L21" s="876"/>
      <c r="M21" s="876"/>
      <c r="N21" s="3042">
        <f>'Tính lương tổ'!I12</f>
        <v>223.44864999999999</v>
      </c>
      <c r="O21" s="876"/>
      <c r="P21" s="3043">
        <f t="shared" ref="P21:P23" si="18">+D21+F21+G21+N21</f>
        <v>473.44864999999999</v>
      </c>
      <c r="Q21" s="1286">
        <f>P21*$C$8</f>
        <v>10404507.532399999</v>
      </c>
      <c r="R21" s="876"/>
      <c r="S21" s="876"/>
      <c r="T21" s="876"/>
      <c r="U21" s="876"/>
      <c r="V21" s="876"/>
      <c r="W21" s="876"/>
      <c r="X21" s="876"/>
      <c r="Y21" s="876"/>
      <c r="Z21" s="876"/>
      <c r="AA21" s="876"/>
      <c r="AB21" s="876"/>
      <c r="AC21" s="876"/>
      <c r="AD21" s="876"/>
      <c r="AE21" s="876"/>
      <c r="AF21" s="876"/>
      <c r="AG21" s="876"/>
    </row>
    <row r="22" spans="1:33" s="3025" customFormat="1" ht="23.25" customHeight="1">
      <c r="A22" s="3011" t="s">
        <v>1300</v>
      </c>
      <c r="B22" s="4110" t="s">
        <v>1369</v>
      </c>
      <c r="C22" s="4111"/>
      <c r="D22" s="3012"/>
      <c r="E22" s="3012"/>
      <c r="F22" s="3012"/>
      <c r="G22" s="3012"/>
      <c r="H22" s="3012"/>
      <c r="I22" s="3012"/>
      <c r="J22" s="3012"/>
      <c r="K22" s="3012"/>
      <c r="L22" s="3012"/>
      <c r="M22" s="3012"/>
      <c r="N22" s="3012"/>
      <c r="O22" s="3012"/>
      <c r="P22" s="1413">
        <f>P23</f>
        <v>510</v>
      </c>
      <c r="Q22" s="3046">
        <f>Q23</f>
        <v>11207760</v>
      </c>
      <c r="R22" s="3012"/>
      <c r="S22" s="3012"/>
      <c r="T22" s="3012"/>
      <c r="U22" s="3012"/>
      <c r="V22" s="3012"/>
      <c r="W22" s="3012"/>
      <c r="X22" s="3012"/>
      <c r="Y22" s="3012"/>
      <c r="Z22" s="3012"/>
      <c r="AA22" s="3012"/>
      <c r="AB22" s="3012"/>
      <c r="AC22" s="3012"/>
      <c r="AD22" s="3012"/>
      <c r="AE22" s="3012"/>
      <c r="AF22" s="3012"/>
      <c r="AG22" s="3012"/>
    </row>
    <row r="23" spans="1:33" s="3041" customFormat="1" ht="23.25" customHeight="1">
      <c r="A23" s="3026">
        <v>1</v>
      </c>
      <c r="B23" s="3027" t="s">
        <v>1318</v>
      </c>
      <c r="C23" s="3028" t="s">
        <v>1370</v>
      </c>
      <c r="D23" s="3029">
        <v>380</v>
      </c>
      <c r="E23" s="3029"/>
      <c r="F23" s="3029">
        <v>130</v>
      </c>
      <c r="G23" s="3029"/>
      <c r="H23" s="3029"/>
      <c r="I23" s="3029"/>
      <c r="J23" s="3029"/>
      <c r="K23" s="3029"/>
      <c r="L23" s="3029"/>
      <c r="M23" s="3029"/>
      <c r="N23" s="3029"/>
      <c r="O23" s="3029"/>
      <c r="P23" s="1413">
        <f t="shared" si="18"/>
        <v>510</v>
      </c>
      <c r="Q23" s="3045">
        <f>P23*$C$8</f>
        <v>11207760</v>
      </c>
      <c r="R23" s="3029"/>
      <c r="S23" s="3029"/>
      <c r="T23" s="3029"/>
      <c r="U23" s="3029"/>
      <c r="V23" s="3029"/>
      <c r="W23" s="3029"/>
      <c r="X23" s="3029"/>
      <c r="Y23" s="3029"/>
      <c r="Z23" s="3029"/>
      <c r="AA23" s="3029"/>
      <c r="AB23" s="3029"/>
      <c r="AC23" s="3029"/>
      <c r="AD23" s="3029"/>
      <c r="AE23" s="3029"/>
      <c r="AF23" s="3029"/>
      <c r="AG23" s="3029"/>
    </row>
    <row r="24" spans="1:33" s="865" customFormat="1" ht="27" customHeight="1">
      <c r="A24" s="4101" t="s">
        <v>612</v>
      </c>
      <c r="B24" s="4103"/>
      <c r="C24" s="1109"/>
      <c r="D24" s="1191">
        <f>+D19+D15</f>
        <v>1580</v>
      </c>
      <c r="E24" s="1191">
        <f t="shared" ref="E24:AF24" si="19">+E19+E15</f>
        <v>430</v>
      </c>
      <c r="F24" s="1191">
        <f t="shared" si="19"/>
        <v>430</v>
      </c>
      <c r="G24" s="1275">
        <f t="shared" si="19"/>
        <v>50</v>
      </c>
      <c r="H24" s="1275">
        <f t="shared" si="19"/>
        <v>0</v>
      </c>
      <c r="I24" s="1275">
        <f t="shared" si="19"/>
        <v>0</v>
      </c>
      <c r="J24" s="1275">
        <f t="shared" si="19"/>
        <v>40</v>
      </c>
      <c r="K24" s="1275">
        <f t="shared" si="19"/>
        <v>10</v>
      </c>
      <c r="L24" s="1275">
        <f t="shared" si="19"/>
        <v>0</v>
      </c>
      <c r="M24" s="1275">
        <f t="shared" si="19"/>
        <v>50</v>
      </c>
      <c r="N24" s="1275">
        <f t="shared" si="19"/>
        <v>151.18297368421051</v>
      </c>
      <c r="O24" s="1275">
        <f t="shared" si="19"/>
        <v>1680</v>
      </c>
      <c r="P24" s="1275">
        <f>+P19+P15+P22</f>
        <v>3194.6316236842104</v>
      </c>
      <c r="Q24" s="1191">
        <f>+Q19+Q15+Q22</f>
        <v>70205224.562084213</v>
      </c>
      <c r="R24" s="1275">
        <f t="shared" si="19"/>
        <v>0</v>
      </c>
      <c r="S24" s="1275">
        <f t="shared" si="19"/>
        <v>0</v>
      </c>
      <c r="T24" s="1275">
        <f t="shared" si="19"/>
        <v>2953574.4000000004</v>
      </c>
      <c r="U24" s="1191">
        <f t="shared" si="19"/>
        <v>3271564.8000000003</v>
      </c>
      <c r="V24" s="1191">
        <f t="shared" si="19"/>
        <v>386187.84</v>
      </c>
      <c r="W24" s="1191">
        <f t="shared" si="19"/>
        <v>173824.56</v>
      </c>
      <c r="X24" s="1275">
        <f t="shared" si="19"/>
        <v>96.452803057881326</v>
      </c>
      <c r="Y24" s="1191">
        <f t="shared" si="19"/>
        <v>44761379.829684213</v>
      </c>
      <c r="Z24" s="1191">
        <f t="shared" si="19"/>
        <v>3281557.4629684212</v>
      </c>
      <c r="AA24" s="1275">
        <f t="shared" si="19"/>
        <v>149.32460242848657</v>
      </c>
      <c r="AB24" s="1191">
        <f t="shared" si="19"/>
        <v>41479822.366715789</v>
      </c>
      <c r="AC24" s="1275">
        <f t="shared" si="19"/>
        <v>1887.5055681978429</v>
      </c>
      <c r="AD24" s="1275">
        <f t="shared" si="19"/>
        <v>414797</v>
      </c>
      <c r="AE24" s="1275">
        <f t="shared" si="19"/>
        <v>14.121951219512194</v>
      </c>
      <c r="AF24" s="1275">
        <f t="shared" si="19"/>
        <v>18.875</v>
      </c>
      <c r="AG24" s="890"/>
    </row>
    <row r="25" spans="1:33" ht="12" customHeight="1"/>
    <row r="26" spans="1:33" ht="18" customHeight="1">
      <c r="Q26" s="902"/>
      <c r="AC26" s="4128" t="s">
        <v>899</v>
      </c>
      <c r="AD26" s="4128"/>
      <c r="AE26" s="4128"/>
      <c r="AF26" s="4128"/>
      <c r="AG26" s="4128"/>
    </row>
    <row r="27" spans="1:33" s="766" customFormat="1" ht="18" customHeight="1">
      <c r="B27" s="4081" t="s">
        <v>613</v>
      </c>
      <c r="C27" s="4081"/>
      <c r="D27" s="4081" t="s">
        <v>257</v>
      </c>
      <c r="E27" s="4081"/>
      <c r="F27" s="4081"/>
      <c r="G27" s="4081"/>
      <c r="H27" s="4081"/>
      <c r="I27" s="4081"/>
      <c r="J27" s="4081"/>
      <c r="K27" s="4081"/>
      <c r="L27" s="4081"/>
      <c r="M27" s="4081"/>
      <c r="N27" s="4081"/>
      <c r="O27" s="4081"/>
      <c r="P27" s="4081"/>
      <c r="Q27" s="4081"/>
      <c r="R27" s="4081"/>
      <c r="S27" s="4081"/>
      <c r="T27" s="4081"/>
      <c r="U27" s="4081"/>
      <c r="V27" s="4081"/>
      <c r="W27" s="4081"/>
      <c r="X27" s="4081"/>
      <c r="Y27" s="4081" t="s">
        <v>800</v>
      </c>
      <c r="Z27" s="4081"/>
      <c r="AA27" s="4081"/>
      <c r="AB27" s="4081"/>
      <c r="AC27" s="4081" t="s">
        <v>614</v>
      </c>
      <c r="AD27" s="4081"/>
      <c r="AE27" s="4081"/>
      <c r="AF27" s="4081"/>
      <c r="AG27" s="4081"/>
    </row>
    <row r="28" spans="1:33" ht="18" customHeight="1"/>
    <row r="29" spans="1:33" ht="18" customHeight="1"/>
    <row r="30" spans="1:33" ht="18" customHeight="1">
      <c r="Q30" s="768"/>
      <c r="R30" s="768"/>
      <c r="S30" s="768"/>
      <c r="T30" s="768"/>
      <c r="AA30" s="908"/>
      <c r="AB30" s="907">
        <f>Q20-U20-V20</f>
        <v>11315537.829684209</v>
      </c>
    </row>
    <row r="31" spans="1:33" ht="18" customHeight="1">
      <c r="C31" s="905"/>
      <c r="Q31" s="902"/>
    </row>
    <row r="32" spans="1:33" ht="18" customHeight="1">
      <c r="T32" s="769"/>
      <c r="Y32" s="769"/>
      <c r="AB32" s="770"/>
    </row>
    <row r="33" spans="17:33" ht="18" customHeight="1">
      <c r="Y33" s="4081"/>
      <c r="Z33" s="4081"/>
      <c r="AA33" s="4081"/>
      <c r="AC33" s="4081"/>
      <c r="AD33" s="4081"/>
      <c r="AE33" s="4081"/>
      <c r="AF33" s="4081"/>
      <c r="AG33" s="4081"/>
    </row>
    <row r="34" spans="17:33" ht="18" customHeight="1"/>
    <row r="35" spans="17:33" ht="18" customHeight="1"/>
    <row r="36" spans="17:33" ht="18" customHeight="1">
      <c r="V36" s="769"/>
      <c r="W36" s="769"/>
    </row>
    <row r="37" spans="17:33" ht="18" customHeight="1">
      <c r="V37" s="769"/>
      <c r="W37" s="769"/>
    </row>
    <row r="38" spans="17:33" ht="18" customHeight="1"/>
    <row r="39" spans="17:33" ht="18" customHeight="1">
      <c r="Q39" s="946"/>
      <c r="AB39" s="769"/>
    </row>
    <row r="40" spans="17:33" ht="18" customHeight="1">
      <c r="AB40" s="770"/>
    </row>
    <row r="41" spans="17:33" ht="18" customHeight="1">
      <c r="U41" s="947"/>
    </row>
    <row r="42" spans="17:33" ht="18" customHeight="1"/>
    <row r="43" spans="17:33" ht="18" customHeight="1"/>
    <row r="44" spans="17:33" ht="18" customHeight="1"/>
    <row r="45" spans="17:33" ht="18" customHeight="1"/>
    <row r="46" spans="17:33" ht="18" customHeight="1"/>
    <row r="47" spans="17:33" ht="18" customHeight="1"/>
    <row r="48" spans="17:33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</sheetData>
  <mergeCells count="40">
    <mergeCell ref="Y33:AA33"/>
    <mergeCell ref="A24:B24"/>
    <mergeCell ref="AC33:AG33"/>
    <mergeCell ref="AC27:AG27"/>
    <mergeCell ref="AC26:AG26"/>
    <mergeCell ref="C10:C12"/>
    <mergeCell ref="B10:B12"/>
    <mergeCell ref="R10:T10"/>
    <mergeCell ref="AG10:AG12"/>
    <mergeCell ref="B27:C27"/>
    <mergeCell ref="B15:C15"/>
    <mergeCell ref="D27:X27"/>
    <mergeCell ref="N10:N12"/>
    <mergeCell ref="Y27:AB27"/>
    <mergeCell ref="AB10:AC11"/>
    <mergeCell ref="AD10:AF11"/>
    <mergeCell ref="Z10:AA11"/>
    <mergeCell ref="B14:C14"/>
    <mergeCell ref="B22:C22"/>
    <mergeCell ref="A1:AG1"/>
    <mergeCell ref="A3:AG3"/>
    <mergeCell ref="A5:D5"/>
    <mergeCell ref="A4:D4"/>
    <mergeCell ref="A2:AG2"/>
    <mergeCell ref="A7:AG7"/>
    <mergeCell ref="Y10:Y12"/>
    <mergeCell ref="U12:W12"/>
    <mergeCell ref="D10:K10"/>
    <mergeCell ref="O10:O12"/>
    <mergeCell ref="Q10:Q12"/>
    <mergeCell ref="L10:L12"/>
    <mergeCell ref="M10:M12"/>
    <mergeCell ref="D11:D12"/>
    <mergeCell ref="X10:X11"/>
    <mergeCell ref="F11:G11"/>
    <mergeCell ref="U10:U11"/>
    <mergeCell ref="V10:V11"/>
    <mergeCell ref="P10:P12"/>
    <mergeCell ref="W10:W11"/>
    <mergeCell ref="A10:A12"/>
  </mergeCells>
  <printOptions horizontalCentered="1"/>
  <pageMargins left="0.19685039370078741" right="0.19685039370078741" top="0.74803149606299213" bottom="0.74803149606299213" header="0.31496062992125984" footer="0.31496062992125984"/>
  <pageSetup paperSize="9" scale="50" fitToHeight="0" orientation="landscape" r:id="rId1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zoomScaleNormal="100" workbookViewId="0">
      <selection activeCell="C7" sqref="C7:E31"/>
    </sheetView>
  </sheetViews>
  <sheetFormatPr defaultColWidth="9.375" defaultRowHeight="15"/>
  <cols>
    <col min="1" max="1" width="7.125" style="738" customWidth="1"/>
    <col min="2" max="2" width="17.375" style="738" customWidth="1"/>
    <col min="3" max="3" width="14" style="738" customWidth="1"/>
    <col min="4" max="4" width="14.625" style="738" customWidth="1"/>
    <col min="5" max="5" width="21" style="739" customWidth="1"/>
    <col min="6" max="6" width="13.125" style="738" customWidth="1"/>
    <col min="7" max="7" width="15.375" style="738" customWidth="1"/>
    <col min="8" max="8" width="9.375" style="738"/>
    <col min="9" max="9" width="13.625" style="738" bestFit="1" customWidth="1"/>
    <col min="10" max="16384" width="9.375" style="738"/>
  </cols>
  <sheetData>
    <row r="1" spans="1:7" ht="15.75">
      <c r="A1" s="4131" t="s">
        <v>640</v>
      </c>
      <c r="B1" s="4131"/>
      <c r="C1" s="4131"/>
      <c r="D1" s="4131" t="s">
        <v>641</v>
      </c>
      <c r="E1" s="4131"/>
      <c r="F1" s="4131"/>
      <c r="G1" s="4131"/>
    </row>
    <row r="2" spans="1:7" ht="15.75">
      <c r="A2" s="4130" t="s">
        <v>541</v>
      </c>
      <c r="B2" s="4130"/>
      <c r="C2" s="4130"/>
      <c r="D2" s="4133" t="s">
        <v>684</v>
      </c>
      <c r="E2" s="4133"/>
      <c r="F2" s="4133"/>
      <c r="G2" s="4133"/>
    </row>
    <row r="3" spans="1:7" ht="15.75">
      <c r="A3" s="41"/>
      <c r="B3" s="41"/>
      <c r="C3" s="41"/>
      <c r="D3" s="41"/>
      <c r="E3" s="41"/>
      <c r="F3" s="42"/>
      <c r="G3" s="42"/>
    </row>
    <row r="4" spans="1:7" ht="36.75" customHeight="1">
      <c r="A4" s="4134" t="s">
        <v>709</v>
      </c>
      <c r="B4" s="4134"/>
      <c r="C4" s="4134"/>
      <c r="D4" s="4134"/>
      <c r="E4" s="4134"/>
      <c r="F4" s="4134"/>
      <c r="G4" s="4134"/>
    </row>
    <row r="5" spans="1:7" ht="15.75">
      <c r="A5" s="41"/>
      <c r="B5" s="42"/>
      <c r="C5" s="41"/>
      <c r="D5" s="41"/>
      <c r="E5" s="41"/>
      <c r="F5" s="42"/>
      <c r="G5" s="42"/>
    </row>
    <row r="6" spans="1:7" ht="15.75">
      <c r="A6" s="153" t="s">
        <v>19</v>
      </c>
      <c r="B6" s="153" t="s">
        <v>173</v>
      </c>
      <c r="C6" s="153" t="s">
        <v>50</v>
      </c>
      <c r="D6" s="153" t="s">
        <v>707</v>
      </c>
      <c r="E6" s="153" t="s">
        <v>24</v>
      </c>
      <c r="F6" s="153" t="s">
        <v>9</v>
      </c>
      <c r="G6" s="153" t="s">
        <v>634</v>
      </c>
    </row>
    <row r="7" spans="1:7" ht="18.75" customHeight="1">
      <c r="A7" s="695">
        <v>1</v>
      </c>
      <c r="B7" s="760" t="s">
        <v>100</v>
      </c>
      <c r="C7" s="696"/>
      <c r="D7" s="762"/>
      <c r="E7" s="763"/>
      <c r="F7" s="695"/>
      <c r="G7" s="695"/>
    </row>
    <row r="8" spans="1:7" ht="18.75" customHeight="1">
      <c r="A8" s="695">
        <v>2</v>
      </c>
      <c r="B8" s="760" t="s">
        <v>101</v>
      </c>
      <c r="C8" s="696"/>
      <c r="D8" s="762"/>
      <c r="E8" s="763"/>
      <c r="F8" s="722"/>
      <c r="G8" s="722"/>
    </row>
    <row r="9" spans="1:7" ht="18.75" customHeight="1">
      <c r="A9" s="695">
        <v>3</v>
      </c>
      <c r="B9" s="679" t="s">
        <v>653</v>
      </c>
      <c r="C9" s="696"/>
      <c r="D9" s="762"/>
      <c r="E9" s="763"/>
      <c r="F9" s="722"/>
      <c r="G9" s="722"/>
    </row>
    <row r="10" spans="1:7" ht="18.75" customHeight="1">
      <c r="A10" s="695">
        <v>4</v>
      </c>
      <c r="B10" s="760" t="s">
        <v>402</v>
      </c>
      <c r="C10" s="696"/>
      <c r="D10" s="762"/>
      <c r="E10" s="763"/>
      <c r="F10" s="722"/>
      <c r="G10" s="722"/>
    </row>
    <row r="11" spans="1:7" ht="18.75" customHeight="1">
      <c r="A11" s="695">
        <v>5</v>
      </c>
      <c r="B11" s="759" t="s">
        <v>667</v>
      </c>
      <c r="C11" s="696"/>
      <c r="D11" s="762"/>
      <c r="E11" s="763"/>
      <c r="F11" s="722"/>
      <c r="G11" s="722"/>
    </row>
    <row r="12" spans="1:7" ht="18.75" customHeight="1">
      <c r="A12" s="695">
        <v>6</v>
      </c>
      <c r="B12" s="760" t="s">
        <v>403</v>
      </c>
      <c r="C12" s="696"/>
      <c r="D12" s="762"/>
      <c r="E12" s="763"/>
      <c r="F12" s="722"/>
      <c r="G12" s="722"/>
    </row>
    <row r="13" spans="1:7" ht="18.75" customHeight="1">
      <c r="A13" s="695">
        <v>7</v>
      </c>
      <c r="B13" s="759" t="s">
        <v>664</v>
      </c>
      <c r="C13" s="696"/>
      <c r="D13" s="762"/>
      <c r="E13" s="763"/>
      <c r="F13" s="722"/>
      <c r="G13" s="722"/>
    </row>
    <row r="14" spans="1:7" ht="18.75" customHeight="1">
      <c r="A14" s="695">
        <v>8</v>
      </c>
      <c r="B14" s="760" t="s">
        <v>278</v>
      </c>
      <c r="C14" s="696"/>
      <c r="D14" s="762"/>
      <c r="E14" s="763"/>
      <c r="F14" s="722"/>
      <c r="G14" s="722"/>
    </row>
    <row r="15" spans="1:7" ht="18.75" customHeight="1">
      <c r="A15" s="695">
        <v>9</v>
      </c>
      <c r="B15" s="759" t="s">
        <v>666</v>
      </c>
      <c r="C15" s="696"/>
      <c r="D15" s="762"/>
      <c r="E15" s="763"/>
      <c r="F15" s="722"/>
      <c r="G15" s="722"/>
    </row>
    <row r="16" spans="1:7" ht="18.75" customHeight="1">
      <c r="A16" s="695">
        <v>10</v>
      </c>
      <c r="B16" s="760" t="s">
        <v>255</v>
      </c>
      <c r="C16" s="696"/>
      <c r="D16" s="762"/>
      <c r="E16" s="763"/>
      <c r="F16" s="722"/>
      <c r="G16" s="722"/>
    </row>
    <row r="17" spans="1:9" ht="18.75" customHeight="1">
      <c r="A17" s="695">
        <v>11</v>
      </c>
      <c r="B17" s="759" t="s">
        <v>663</v>
      </c>
      <c r="C17" s="696"/>
      <c r="D17" s="762"/>
      <c r="E17" s="763"/>
      <c r="F17" s="722"/>
      <c r="G17" s="722"/>
    </row>
    <row r="18" spans="1:9" ht="18.75" customHeight="1">
      <c r="A18" s="695">
        <v>12</v>
      </c>
      <c r="B18" s="760" t="s">
        <v>405</v>
      </c>
      <c r="C18" s="696"/>
      <c r="D18" s="762"/>
      <c r="E18" s="763"/>
      <c r="F18" s="722"/>
      <c r="G18" s="722"/>
    </row>
    <row r="19" spans="1:9" ht="18.75" customHeight="1">
      <c r="A19" s="695">
        <v>13</v>
      </c>
      <c r="B19" s="759" t="s">
        <v>662</v>
      </c>
      <c r="C19" s="696"/>
      <c r="D19" s="762"/>
      <c r="E19" s="763"/>
      <c r="F19" s="722"/>
      <c r="G19" s="722"/>
    </row>
    <row r="20" spans="1:9" ht="18.75" customHeight="1">
      <c r="A20" s="695">
        <v>14</v>
      </c>
      <c r="B20" s="260" t="s">
        <v>380</v>
      </c>
      <c r="C20" s="696"/>
      <c r="D20" s="762"/>
      <c r="E20" s="763"/>
      <c r="F20" s="722"/>
      <c r="G20" s="722"/>
    </row>
    <row r="21" spans="1:9" ht="18.75" customHeight="1">
      <c r="A21" s="695">
        <v>15</v>
      </c>
      <c r="B21" s="260" t="s">
        <v>381</v>
      </c>
      <c r="C21" s="696"/>
      <c r="D21" s="762"/>
      <c r="E21" s="763"/>
      <c r="F21" s="722"/>
      <c r="G21" s="722"/>
    </row>
    <row r="22" spans="1:9" ht="18.75" customHeight="1">
      <c r="A22" s="695">
        <v>16</v>
      </c>
      <c r="B22" s="758" t="s">
        <v>583</v>
      </c>
      <c r="C22" s="696"/>
      <c r="D22" s="762"/>
      <c r="E22" s="763"/>
      <c r="F22" s="722"/>
      <c r="G22" s="722"/>
    </row>
    <row r="23" spans="1:9" ht="18.75" customHeight="1">
      <c r="A23" s="695">
        <v>17</v>
      </c>
      <c r="B23" s="760" t="s">
        <v>270</v>
      </c>
      <c r="C23" s="696"/>
      <c r="D23" s="762"/>
      <c r="E23" s="763"/>
      <c r="F23" s="722"/>
      <c r="G23" s="722"/>
    </row>
    <row r="24" spans="1:9" ht="18.75" customHeight="1">
      <c r="A24" s="695">
        <v>18</v>
      </c>
      <c r="B24" s="694" t="s">
        <v>661</v>
      </c>
      <c r="C24" s="696"/>
      <c r="D24" s="762"/>
      <c r="E24" s="763"/>
      <c r="F24" s="722"/>
      <c r="G24" s="722"/>
    </row>
    <row r="25" spans="1:9" ht="18.75" customHeight="1">
      <c r="A25" s="695">
        <v>19</v>
      </c>
      <c r="B25" s="760" t="s">
        <v>269</v>
      </c>
      <c r="C25" s="696"/>
      <c r="D25" s="762"/>
      <c r="E25" s="763"/>
      <c r="F25" s="722"/>
      <c r="G25" s="722"/>
    </row>
    <row r="26" spans="1:9" ht="18.75" customHeight="1">
      <c r="A26" s="695">
        <v>20</v>
      </c>
      <c r="B26" s="760" t="s">
        <v>582</v>
      </c>
      <c r="C26" s="696"/>
      <c r="D26" s="762"/>
      <c r="E26" s="763"/>
      <c r="F26" s="722"/>
      <c r="G26" s="722"/>
    </row>
    <row r="27" spans="1:9" ht="18.75" customHeight="1">
      <c r="A27" s="695">
        <v>21</v>
      </c>
      <c r="B27" s="760" t="s">
        <v>283</v>
      </c>
      <c r="C27" s="696"/>
      <c r="D27" s="762"/>
      <c r="E27" s="763"/>
      <c r="F27" s="722"/>
      <c r="G27" s="722"/>
    </row>
    <row r="28" spans="1:9" ht="18.75" customHeight="1">
      <c r="A28" s="695">
        <v>22</v>
      </c>
      <c r="B28" s="760" t="s">
        <v>407</v>
      </c>
      <c r="C28" s="696"/>
      <c r="D28" s="762"/>
      <c r="E28" s="763"/>
      <c r="F28" s="722"/>
      <c r="G28" s="722"/>
    </row>
    <row r="29" spans="1:9" ht="18.75" customHeight="1">
      <c r="A29" s="695">
        <v>23</v>
      </c>
      <c r="B29" s="757" t="s">
        <v>665</v>
      </c>
      <c r="C29" s="696"/>
      <c r="D29" s="762"/>
      <c r="E29" s="763"/>
      <c r="F29" s="722"/>
      <c r="G29" s="722"/>
    </row>
    <row r="30" spans="1:9" ht="18.75" customHeight="1">
      <c r="A30" s="695">
        <v>24</v>
      </c>
      <c r="B30" s="761" t="s">
        <v>706</v>
      </c>
      <c r="C30" s="696"/>
      <c r="D30" s="762"/>
      <c r="E30" s="763"/>
      <c r="F30" s="722"/>
      <c r="G30" s="722"/>
    </row>
    <row r="31" spans="1:9" ht="18.75" customHeight="1">
      <c r="A31" s="756">
        <v>25</v>
      </c>
      <c r="B31" s="755" t="s">
        <v>711</v>
      </c>
      <c r="C31" s="696"/>
      <c r="D31" s="762"/>
      <c r="E31" s="763"/>
      <c r="F31" s="722"/>
      <c r="G31" s="722"/>
    </row>
    <row r="32" spans="1:9" ht="18.75" customHeight="1">
      <c r="A32" s="4135" t="s">
        <v>688</v>
      </c>
      <c r="B32" s="4136"/>
      <c r="C32" s="259">
        <f>SUM(C7:C31)</f>
        <v>0</v>
      </c>
      <c r="D32" s="723"/>
      <c r="E32" s="764">
        <f>SUM(E7:E31)</f>
        <v>0</v>
      </c>
      <c r="F32" s="722"/>
      <c r="G32" s="722"/>
      <c r="I32" s="775">
        <f>+E32-270000</f>
        <v>-270000</v>
      </c>
    </row>
    <row r="33" spans="1:7" ht="15.75">
      <c r="A33" s="41"/>
      <c r="B33" s="42"/>
      <c r="C33" s="41"/>
      <c r="D33" s="41"/>
      <c r="E33" s="4129" t="s">
        <v>704</v>
      </c>
      <c r="F33" s="4129"/>
      <c r="G33" s="4129"/>
    </row>
    <row r="34" spans="1:7" ht="15.75">
      <c r="B34" s="3751" t="s">
        <v>615</v>
      </c>
      <c r="C34" s="3751"/>
      <c r="F34" s="4132" t="s">
        <v>614</v>
      </c>
      <c r="G34" s="4132"/>
    </row>
    <row r="41" spans="1:7" ht="15.75">
      <c r="A41" s="4132" t="s">
        <v>46</v>
      </c>
      <c r="B41" s="4132"/>
      <c r="C41" s="3751" t="s">
        <v>613</v>
      </c>
      <c r="D41" s="3751"/>
      <c r="E41" s="40" t="s">
        <v>708</v>
      </c>
      <c r="F41" s="40"/>
      <c r="G41" s="40"/>
    </row>
  </sheetData>
  <mergeCells count="11">
    <mergeCell ref="E33:G33"/>
    <mergeCell ref="C41:D41"/>
    <mergeCell ref="B34:C34"/>
    <mergeCell ref="A2:C2"/>
    <mergeCell ref="A1:C1"/>
    <mergeCell ref="A41:B41"/>
    <mergeCell ref="F34:G34"/>
    <mergeCell ref="D2:G2"/>
    <mergeCell ref="D1:G1"/>
    <mergeCell ref="A4:G4"/>
    <mergeCell ref="A32:B32"/>
  </mergeCells>
  <pageMargins left="0.3" right="0.2" top="0.41" bottom="0.27" header="0.3" footer="0.3"/>
  <pageSetup paperSize="9" scale="95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AU28"/>
  <sheetViews>
    <sheetView topLeftCell="A6" zoomScaleNormal="100" workbookViewId="0">
      <selection activeCell="Z24" sqref="Z24"/>
    </sheetView>
  </sheetViews>
  <sheetFormatPr defaultRowHeight="15.75" customHeight="1"/>
  <cols>
    <col min="1" max="1" width="3.875" style="1459" customWidth="1"/>
    <col min="2" max="2" width="2.5" style="1459" hidden="1" customWidth="1"/>
    <col min="3" max="3" width="15.5" style="1459" customWidth="1"/>
    <col min="4" max="4" width="3.125" style="1459" customWidth="1"/>
    <col min="5" max="10" width="3.375" style="1459" customWidth="1"/>
    <col min="11" max="11" width="2.75" style="1459" customWidth="1"/>
    <col min="12" max="17" width="3.375" style="1459" customWidth="1"/>
    <col min="18" max="18" width="2.625" style="1459" customWidth="1"/>
    <col min="19" max="24" width="3.375" style="1459" customWidth="1"/>
    <col min="25" max="25" width="2.875" style="1459" customWidth="1"/>
    <col min="26" max="31" width="3.375" style="1459" customWidth="1"/>
    <col min="32" max="32" width="2.875" style="1459" customWidth="1"/>
    <col min="33" max="33" width="3.375" style="1459" customWidth="1"/>
    <col min="34" max="34" width="3.25" style="1459" customWidth="1"/>
    <col min="35" max="35" width="5.625" style="1459" customWidth="1"/>
    <col min="36" max="42" width="0" style="1459" hidden="1" customWidth="1"/>
    <col min="43" max="43" width="6.875" style="1459" hidden="1" customWidth="1"/>
    <col min="44" max="44" width="3.125" style="1459" hidden="1" customWidth="1"/>
    <col min="45" max="46" width="5.625" style="1459" customWidth="1"/>
    <col min="47" max="47" width="5.375" style="1459" customWidth="1"/>
    <col min="48" max="257" width="9" style="1459"/>
    <col min="258" max="258" width="9" style="1459" customWidth="1"/>
    <col min="259" max="259" width="24" style="1459" customWidth="1"/>
    <col min="260" max="290" width="4.25" style="1459" customWidth="1"/>
    <col min="291" max="291" width="9.25" style="1459" customWidth="1"/>
    <col min="292" max="301" width="0" style="1459" hidden="1" customWidth="1"/>
    <col min="302" max="513" width="9" style="1459"/>
    <col min="514" max="514" width="9" style="1459" customWidth="1"/>
    <col min="515" max="515" width="24" style="1459" customWidth="1"/>
    <col min="516" max="546" width="4.25" style="1459" customWidth="1"/>
    <col min="547" max="547" width="9.25" style="1459" customWidth="1"/>
    <col min="548" max="557" width="0" style="1459" hidden="1" customWidth="1"/>
    <col min="558" max="769" width="9" style="1459"/>
    <col min="770" max="770" width="9" style="1459" customWidth="1"/>
    <col min="771" max="771" width="24" style="1459" customWidth="1"/>
    <col min="772" max="802" width="4.25" style="1459" customWidth="1"/>
    <col min="803" max="803" width="9.25" style="1459" customWidth="1"/>
    <col min="804" max="813" width="0" style="1459" hidden="1" customWidth="1"/>
    <col min="814" max="1025" width="9" style="1459"/>
    <col min="1026" max="1026" width="9" style="1459" customWidth="1"/>
    <col min="1027" max="1027" width="24" style="1459" customWidth="1"/>
    <col min="1028" max="1058" width="4.25" style="1459" customWidth="1"/>
    <col min="1059" max="1059" width="9.25" style="1459" customWidth="1"/>
    <col min="1060" max="1069" width="0" style="1459" hidden="1" customWidth="1"/>
    <col min="1070" max="1281" width="9" style="1459"/>
    <col min="1282" max="1282" width="9" style="1459" customWidth="1"/>
    <col min="1283" max="1283" width="24" style="1459" customWidth="1"/>
    <col min="1284" max="1314" width="4.25" style="1459" customWidth="1"/>
    <col min="1315" max="1315" width="9.25" style="1459" customWidth="1"/>
    <col min="1316" max="1325" width="0" style="1459" hidden="1" customWidth="1"/>
    <col min="1326" max="1537" width="9" style="1459"/>
    <col min="1538" max="1538" width="9" style="1459" customWidth="1"/>
    <col min="1539" max="1539" width="24" style="1459" customWidth="1"/>
    <col min="1540" max="1570" width="4.25" style="1459" customWidth="1"/>
    <col min="1571" max="1571" width="9.25" style="1459" customWidth="1"/>
    <col min="1572" max="1581" width="0" style="1459" hidden="1" customWidth="1"/>
    <col min="1582" max="1793" width="9" style="1459"/>
    <col min="1794" max="1794" width="9" style="1459" customWidth="1"/>
    <col min="1795" max="1795" width="24" style="1459" customWidth="1"/>
    <col min="1796" max="1826" width="4.25" style="1459" customWidth="1"/>
    <col min="1827" max="1827" width="9.25" style="1459" customWidth="1"/>
    <col min="1828" max="1837" width="0" style="1459" hidden="1" customWidth="1"/>
    <col min="1838" max="2049" width="9" style="1459"/>
    <col min="2050" max="2050" width="9" style="1459" customWidth="1"/>
    <col min="2051" max="2051" width="24" style="1459" customWidth="1"/>
    <col min="2052" max="2082" width="4.25" style="1459" customWidth="1"/>
    <col min="2083" max="2083" width="9.25" style="1459" customWidth="1"/>
    <col min="2084" max="2093" width="0" style="1459" hidden="1" customWidth="1"/>
    <col min="2094" max="2305" width="9" style="1459"/>
    <col min="2306" max="2306" width="9" style="1459" customWidth="1"/>
    <col min="2307" max="2307" width="24" style="1459" customWidth="1"/>
    <col min="2308" max="2338" width="4.25" style="1459" customWidth="1"/>
    <col min="2339" max="2339" width="9.25" style="1459" customWidth="1"/>
    <col min="2340" max="2349" width="0" style="1459" hidden="1" customWidth="1"/>
    <col min="2350" max="2561" width="9" style="1459"/>
    <col min="2562" max="2562" width="9" style="1459" customWidth="1"/>
    <col min="2563" max="2563" width="24" style="1459" customWidth="1"/>
    <col min="2564" max="2594" width="4.25" style="1459" customWidth="1"/>
    <col min="2595" max="2595" width="9.25" style="1459" customWidth="1"/>
    <col min="2596" max="2605" width="0" style="1459" hidden="1" customWidth="1"/>
    <col min="2606" max="2817" width="9" style="1459"/>
    <col min="2818" max="2818" width="9" style="1459" customWidth="1"/>
    <col min="2819" max="2819" width="24" style="1459" customWidth="1"/>
    <col min="2820" max="2850" width="4.25" style="1459" customWidth="1"/>
    <col min="2851" max="2851" width="9.25" style="1459" customWidth="1"/>
    <col min="2852" max="2861" width="0" style="1459" hidden="1" customWidth="1"/>
    <col min="2862" max="3073" width="9" style="1459"/>
    <col min="3074" max="3074" width="9" style="1459" customWidth="1"/>
    <col min="3075" max="3075" width="24" style="1459" customWidth="1"/>
    <col min="3076" max="3106" width="4.25" style="1459" customWidth="1"/>
    <col min="3107" max="3107" width="9.25" style="1459" customWidth="1"/>
    <col min="3108" max="3117" width="0" style="1459" hidden="1" customWidth="1"/>
    <col min="3118" max="3329" width="9" style="1459"/>
    <col min="3330" max="3330" width="9" style="1459" customWidth="1"/>
    <col min="3331" max="3331" width="24" style="1459" customWidth="1"/>
    <col min="3332" max="3362" width="4.25" style="1459" customWidth="1"/>
    <col min="3363" max="3363" width="9.25" style="1459" customWidth="1"/>
    <col min="3364" max="3373" width="0" style="1459" hidden="1" customWidth="1"/>
    <col min="3374" max="3585" width="9" style="1459"/>
    <col min="3586" max="3586" width="9" style="1459" customWidth="1"/>
    <col min="3587" max="3587" width="24" style="1459" customWidth="1"/>
    <col min="3588" max="3618" width="4.25" style="1459" customWidth="1"/>
    <col min="3619" max="3619" width="9.25" style="1459" customWidth="1"/>
    <col min="3620" max="3629" width="0" style="1459" hidden="1" customWidth="1"/>
    <col min="3630" max="3841" width="9" style="1459"/>
    <col min="3842" max="3842" width="9" style="1459" customWidth="1"/>
    <col min="3843" max="3843" width="24" style="1459" customWidth="1"/>
    <col min="3844" max="3874" width="4.25" style="1459" customWidth="1"/>
    <col min="3875" max="3875" width="9.25" style="1459" customWidth="1"/>
    <col min="3876" max="3885" width="0" style="1459" hidden="1" customWidth="1"/>
    <col min="3886" max="4097" width="9" style="1459"/>
    <col min="4098" max="4098" width="9" style="1459" customWidth="1"/>
    <col min="4099" max="4099" width="24" style="1459" customWidth="1"/>
    <col min="4100" max="4130" width="4.25" style="1459" customWidth="1"/>
    <col min="4131" max="4131" width="9.25" style="1459" customWidth="1"/>
    <col min="4132" max="4141" width="0" style="1459" hidden="1" customWidth="1"/>
    <col min="4142" max="4353" width="9" style="1459"/>
    <col min="4354" max="4354" width="9" style="1459" customWidth="1"/>
    <col min="4355" max="4355" width="24" style="1459" customWidth="1"/>
    <col min="4356" max="4386" width="4.25" style="1459" customWidth="1"/>
    <col min="4387" max="4387" width="9.25" style="1459" customWidth="1"/>
    <col min="4388" max="4397" width="0" style="1459" hidden="1" customWidth="1"/>
    <col min="4398" max="4609" width="9" style="1459"/>
    <col min="4610" max="4610" width="9" style="1459" customWidth="1"/>
    <col min="4611" max="4611" width="24" style="1459" customWidth="1"/>
    <col min="4612" max="4642" width="4.25" style="1459" customWidth="1"/>
    <col min="4643" max="4643" width="9.25" style="1459" customWidth="1"/>
    <col min="4644" max="4653" width="0" style="1459" hidden="1" customWidth="1"/>
    <col min="4654" max="4865" width="9" style="1459"/>
    <col min="4866" max="4866" width="9" style="1459" customWidth="1"/>
    <col min="4867" max="4867" width="24" style="1459" customWidth="1"/>
    <col min="4868" max="4898" width="4.25" style="1459" customWidth="1"/>
    <col min="4899" max="4899" width="9.25" style="1459" customWidth="1"/>
    <col min="4900" max="4909" width="0" style="1459" hidden="1" customWidth="1"/>
    <col min="4910" max="5121" width="9" style="1459"/>
    <col min="5122" max="5122" width="9" style="1459" customWidth="1"/>
    <col min="5123" max="5123" width="24" style="1459" customWidth="1"/>
    <col min="5124" max="5154" width="4.25" style="1459" customWidth="1"/>
    <col min="5155" max="5155" width="9.25" style="1459" customWidth="1"/>
    <col min="5156" max="5165" width="0" style="1459" hidden="1" customWidth="1"/>
    <col min="5166" max="5377" width="9" style="1459"/>
    <col min="5378" max="5378" width="9" style="1459" customWidth="1"/>
    <col min="5379" max="5379" width="24" style="1459" customWidth="1"/>
    <col min="5380" max="5410" width="4.25" style="1459" customWidth="1"/>
    <col min="5411" max="5411" width="9.25" style="1459" customWidth="1"/>
    <col min="5412" max="5421" width="0" style="1459" hidden="1" customWidth="1"/>
    <col min="5422" max="5633" width="9" style="1459"/>
    <col min="5634" max="5634" width="9" style="1459" customWidth="1"/>
    <col min="5635" max="5635" width="24" style="1459" customWidth="1"/>
    <col min="5636" max="5666" width="4.25" style="1459" customWidth="1"/>
    <col min="5667" max="5667" width="9.25" style="1459" customWidth="1"/>
    <col min="5668" max="5677" width="0" style="1459" hidden="1" customWidth="1"/>
    <col min="5678" max="5889" width="9" style="1459"/>
    <col min="5890" max="5890" width="9" style="1459" customWidth="1"/>
    <col min="5891" max="5891" width="24" style="1459" customWidth="1"/>
    <col min="5892" max="5922" width="4.25" style="1459" customWidth="1"/>
    <col min="5923" max="5923" width="9.25" style="1459" customWidth="1"/>
    <col min="5924" max="5933" width="0" style="1459" hidden="1" customWidth="1"/>
    <col min="5934" max="6145" width="9" style="1459"/>
    <col min="6146" max="6146" width="9" style="1459" customWidth="1"/>
    <col min="6147" max="6147" width="24" style="1459" customWidth="1"/>
    <col min="6148" max="6178" width="4.25" style="1459" customWidth="1"/>
    <col min="6179" max="6179" width="9.25" style="1459" customWidth="1"/>
    <col min="6180" max="6189" width="0" style="1459" hidden="1" customWidth="1"/>
    <col min="6190" max="6401" width="9" style="1459"/>
    <col min="6402" max="6402" width="9" style="1459" customWidth="1"/>
    <col min="6403" max="6403" width="24" style="1459" customWidth="1"/>
    <col min="6404" max="6434" width="4.25" style="1459" customWidth="1"/>
    <col min="6435" max="6435" width="9.25" style="1459" customWidth="1"/>
    <col min="6436" max="6445" width="0" style="1459" hidden="1" customWidth="1"/>
    <col min="6446" max="6657" width="9" style="1459"/>
    <col min="6658" max="6658" width="9" style="1459" customWidth="1"/>
    <col min="6659" max="6659" width="24" style="1459" customWidth="1"/>
    <col min="6660" max="6690" width="4.25" style="1459" customWidth="1"/>
    <col min="6691" max="6691" width="9.25" style="1459" customWidth="1"/>
    <col min="6692" max="6701" width="0" style="1459" hidden="1" customWidth="1"/>
    <col min="6702" max="6913" width="9" style="1459"/>
    <col min="6914" max="6914" width="9" style="1459" customWidth="1"/>
    <col min="6915" max="6915" width="24" style="1459" customWidth="1"/>
    <col min="6916" max="6946" width="4.25" style="1459" customWidth="1"/>
    <col min="6947" max="6947" width="9.25" style="1459" customWidth="1"/>
    <col min="6948" max="6957" width="0" style="1459" hidden="1" customWidth="1"/>
    <col min="6958" max="7169" width="9" style="1459"/>
    <col min="7170" max="7170" width="9" style="1459" customWidth="1"/>
    <col min="7171" max="7171" width="24" style="1459" customWidth="1"/>
    <col min="7172" max="7202" width="4.25" style="1459" customWidth="1"/>
    <col min="7203" max="7203" width="9.25" style="1459" customWidth="1"/>
    <col min="7204" max="7213" width="0" style="1459" hidden="1" customWidth="1"/>
    <col min="7214" max="7425" width="9" style="1459"/>
    <col min="7426" max="7426" width="9" style="1459" customWidth="1"/>
    <col min="7427" max="7427" width="24" style="1459" customWidth="1"/>
    <col min="7428" max="7458" width="4.25" style="1459" customWidth="1"/>
    <col min="7459" max="7459" width="9.25" style="1459" customWidth="1"/>
    <col min="7460" max="7469" width="0" style="1459" hidden="1" customWidth="1"/>
    <col min="7470" max="7681" width="9" style="1459"/>
    <col min="7682" max="7682" width="9" style="1459" customWidth="1"/>
    <col min="7683" max="7683" width="24" style="1459" customWidth="1"/>
    <col min="7684" max="7714" width="4.25" style="1459" customWidth="1"/>
    <col min="7715" max="7715" width="9.25" style="1459" customWidth="1"/>
    <col min="7716" max="7725" width="0" style="1459" hidden="1" customWidth="1"/>
    <col min="7726" max="7937" width="9" style="1459"/>
    <col min="7938" max="7938" width="9" style="1459" customWidth="1"/>
    <col min="7939" max="7939" width="24" style="1459" customWidth="1"/>
    <col min="7940" max="7970" width="4.25" style="1459" customWidth="1"/>
    <col min="7971" max="7971" width="9.25" style="1459" customWidth="1"/>
    <col min="7972" max="7981" width="0" style="1459" hidden="1" customWidth="1"/>
    <col min="7982" max="8193" width="9" style="1459"/>
    <col min="8194" max="8194" width="9" style="1459" customWidth="1"/>
    <col min="8195" max="8195" width="24" style="1459" customWidth="1"/>
    <col min="8196" max="8226" width="4.25" style="1459" customWidth="1"/>
    <col min="8227" max="8227" width="9.25" style="1459" customWidth="1"/>
    <col min="8228" max="8237" width="0" style="1459" hidden="1" customWidth="1"/>
    <col min="8238" max="8449" width="9" style="1459"/>
    <col min="8450" max="8450" width="9" style="1459" customWidth="1"/>
    <col min="8451" max="8451" width="24" style="1459" customWidth="1"/>
    <col min="8452" max="8482" width="4.25" style="1459" customWidth="1"/>
    <col min="8483" max="8483" width="9.25" style="1459" customWidth="1"/>
    <col min="8484" max="8493" width="0" style="1459" hidden="1" customWidth="1"/>
    <col min="8494" max="8705" width="9" style="1459"/>
    <col min="8706" max="8706" width="9" style="1459" customWidth="1"/>
    <col min="8707" max="8707" width="24" style="1459" customWidth="1"/>
    <col min="8708" max="8738" width="4.25" style="1459" customWidth="1"/>
    <col min="8739" max="8739" width="9.25" style="1459" customWidth="1"/>
    <col min="8740" max="8749" width="0" style="1459" hidden="1" customWidth="1"/>
    <col min="8750" max="8961" width="9" style="1459"/>
    <col min="8962" max="8962" width="9" style="1459" customWidth="1"/>
    <col min="8963" max="8963" width="24" style="1459" customWidth="1"/>
    <col min="8964" max="8994" width="4.25" style="1459" customWidth="1"/>
    <col min="8995" max="8995" width="9.25" style="1459" customWidth="1"/>
    <col min="8996" max="9005" width="0" style="1459" hidden="1" customWidth="1"/>
    <col min="9006" max="9217" width="9" style="1459"/>
    <col min="9218" max="9218" width="9" style="1459" customWidth="1"/>
    <col min="9219" max="9219" width="24" style="1459" customWidth="1"/>
    <col min="9220" max="9250" width="4.25" style="1459" customWidth="1"/>
    <col min="9251" max="9251" width="9.25" style="1459" customWidth="1"/>
    <col min="9252" max="9261" width="0" style="1459" hidden="1" customWidth="1"/>
    <col min="9262" max="9473" width="9" style="1459"/>
    <col min="9474" max="9474" width="9" style="1459" customWidth="1"/>
    <col min="9475" max="9475" width="24" style="1459" customWidth="1"/>
    <col min="9476" max="9506" width="4.25" style="1459" customWidth="1"/>
    <col min="9507" max="9507" width="9.25" style="1459" customWidth="1"/>
    <col min="9508" max="9517" width="0" style="1459" hidden="1" customWidth="1"/>
    <col min="9518" max="9729" width="9" style="1459"/>
    <col min="9730" max="9730" width="9" style="1459" customWidth="1"/>
    <col min="9731" max="9731" width="24" style="1459" customWidth="1"/>
    <col min="9732" max="9762" width="4.25" style="1459" customWidth="1"/>
    <col min="9763" max="9763" width="9.25" style="1459" customWidth="1"/>
    <col min="9764" max="9773" width="0" style="1459" hidden="1" customWidth="1"/>
    <col min="9774" max="9985" width="9" style="1459"/>
    <col min="9986" max="9986" width="9" style="1459" customWidth="1"/>
    <col min="9987" max="9987" width="24" style="1459" customWidth="1"/>
    <col min="9988" max="10018" width="4.25" style="1459" customWidth="1"/>
    <col min="10019" max="10019" width="9.25" style="1459" customWidth="1"/>
    <col min="10020" max="10029" width="0" style="1459" hidden="1" customWidth="1"/>
    <col min="10030" max="10241" width="9" style="1459"/>
    <col min="10242" max="10242" width="9" style="1459" customWidth="1"/>
    <col min="10243" max="10243" width="24" style="1459" customWidth="1"/>
    <col min="10244" max="10274" width="4.25" style="1459" customWidth="1"/>
    <col min="10275" max="10275" width="9.25" style="1459" customWidth="1"/>
    <col min="10276" max="10285" width="0" style="1459" hidden="1" customWidth="1"/>
    <col min="10286" max="10497" width="9" style="1459"/>
    <col min="10498" max="10498" width="9" style="1459" customWidth="1"/>
    <col min="10499" max="10499" width="24" style="1459" customWidth="1"/>
    <col min="10500" max="10530" width="4.25" style="1459" customWidth="1"/>
    <col min="10531" max="10531" width="9.25" style="1459" customWidth="1"/>
    <col min="10532" max="10541" width="0" style="1459" hidden="1" customWidth="1"/>
    <col min="10542" max="10753" width="9" style="1459"/>
    <col min="10754" max="10754" width="9" style="1459" customWidth="1"/>
    <col min="10755" max="10755" width="24" style="1459" customWidth="1"/>
    <col min="10756" max="10786" width="4.25" style="1459" customWidth="1"/>
    <col min="10787" max="10787" width="9.25" style="1459" customWidth="1"/>
    <col min="10788" max="10797" width="0" style="1459" hidden="1" customWidth="1"/>
    <col min="10798" max="11009" width="9" style="1459"/>
    <col min="11010" max="11010" width="9" style="1459" customWidth="1"/>
    <col min="11011" max="11011" width="24" style="1459" customWidth="1"/>
    <col min="11012" max="11042" width="4.25" style="1459" customWidth="1"/>
    <col min="11043" max="11043" width="9.25" style="1459" customWidth="1"/>
    <col min="11044" max="11053" width="0" style="1459" hidden="1" customWidth="1"/>
    <col min="11054" max="11265" width="9" style="1459"/>
    <col min="11266" max="11266" width="9" style="1459" customWidth="1"/>
    <col min="11267" max="11267" width="24" style="1459" customWidth="1"/>
    <col min="11268" max="11298" width="4.25" style="1459" customWidth="1"/>
    <col min="11299" max="11299" width="9.25" style="1459" customWidth="1"/>
    <col min="11300" max="11309" width="0" style="1459" hidden="1" customWidth="1"/>
    <col min="11310" max="11521" width="9" style="1459"/>
    <col min="11522" max="11522" width="9" style="1459" customWidth="1"/>
    <col min="11523" max="11523" width="24" style="1459" customWidth="1"/>
    <col min="11524" max="11554" width="4.25" style="1459" customWidth="1"/>
    <col min="11555" max="11555" width="9.25" style="1459" customWidth="1"/>
    <col min="11556" max="11565" width="0" style="1459" hidden="1" customWidth="1"/>
    <col min="11566" max="11777" width="9" style="1459"/>
    <col min="11778" max="11778" width="9" style="1459" customWidth="1"/>
    <col min="11779" max="11779" width="24" style="1459" customWidth="1"/>
    <col min="11780" max="11810" width="4.25" style="1459" customWidth="1"/>
    <col min="11811" max="11811" width="9.25" style="1459" customWidth="1"/>
    <col min="11812" max="11821" width="0" style="1459" hidden="1" customWidth="1"/>
    <col min="11822" max="12033" width="9" style="1459"/>
    <col min="12034" max="12034" width="9" style="1459" customWidth="1"/>
    <col min="12035" max="12035" width="24" style="1459" customWidth="1"/>
    <col min="12036" max="12066" width="4.25" style="1459" customWidth="1"/>
    <col min="12067" max="12067" width="9.25" style="1459" customWidth="1"/>
    <col min="12068" max="12077" width="0" style="1459" hidden="1" customWidth="1"/>
    <col min="12078" max="12289" width="9" style="1459"/>
    <col min="12290" max="12290" width="9" style="1459" customWidth="1"/>
    <col min="12291" max="12291" width="24" style="1459" customWidth="1"/>
    <col min="12292" max="12322" width="4.25" style="1459" customWidth="1"/>
    <col min="12323" max="12323" width="9.25" style="1459" customWidth="1"/>
    <col min="12324" max="12333" width="0" style="1459" hidden="1" customWidth="1"/>
    <col min="12334" max="12545" width="9" style="1459"/>
    <col min="12546" max="12546" width="9" style="1459" customWidth="1"/>
    <col min="12547" max="12547" width="24" style="1459" customWidth="1"/>
    <col min="12548" max="12578" width="4.25" style="1459" customWidth="1"/>
    <col min="12579" max="12579" width="9.25" style="1459" customWidth="1"/>
    <col min="12580" max="12589" width="0" style="1459" hidden="1" customWidth="1"/>
    <col min="12590" max="12801" width="9" style="1459"/>
    <col min="12802" max="12802" width="9" style="1459" customWidth="1"/>
    <col min="12803" max="12803" width="24" style="1459" customWidth="1"/>
    <col min="12804" max="12834" width="4.25" style="1459" customWidth="1"/>
    <col min="12835" max="12835" width="9.25" style="1459" customWidth="1"/>
    <col min="12836" max="12845" width="0" style="1459" hidden="1" customWidth="1"/>
    <col min="12846" max="13057" width="9" style="1459"/>
    <col min="13058" max="13058" width="9" style="1459" customWidth="1"/>
    <col min="13059" max="13059" width="24" style="1459" customWidth="1"/>
    <col min="13060" max="13090" width="4.25" style="1459" customWidth="1"/>
    <col min="13091" max="13091" width="9.25" style="1459" customWidth="1"/>
    <col min="13092" max="13101" width="0" style="1459" hidden="1" customWidth="1"/>
    <col min="13102" max="13313" width="9" style="1459"/>
    <col min="13314" max="13314" width="9" style="1459" customWidth="1"/>
    <col min="13315" max="13315" width="24" style="1459" customWidth="1"/>
    <col min="13316" max="13346" width="4.25" style="1459" customWidth="1"/>
    <col min="13347" max="13347" width="9.25" style="1459" customWidth="1"/>
    <col min="13348" max="13357" width="0" style="1459" hidden="1" customWidth="1"/>
    <col min="13358" max="13569" width="9" style="1459"/>
    <col min="13570" max="13570" width="9" style="1459" customWidth="1"/>
    <col min="13571" max="13571" width="24" style="1459" customWidth="1"/>
    <col min="13572" max="13602" width="4.25" style="1459" customWidth="1"/>
    <col min="13603" max="13603" width="9.25" style="1459" customWidth="1"/>
    <col min="13604" max="13613" width="0" style="1459" hidden="1" customWidth="1"/>
    <col min="13614" max="13825" width="9" style="1459"/>
    <col min="13826" max="13826" width="9" style="1459" customWidth="1"/>
    <col min="13827" max="13827" width="24" style="1459" customWidth="1"/>
    <col min="13828" max="13858" width="4.25" style="1459" customWidth="1"/>
    <col min="13859" max="13859" width="9.25" style="1459" customWidth="1"/>
    <col min="13860" max="13869" width="0" style="1459" hidden="1" customWidth="1"/>
    <col min="13870" max="14081" width="9" style="1459"/>
    <col min="14082" max="14082" width="9" style="1459" customWidth="1"/>
    <col min="14083" max="14083" width="24" style="1459" customWidth="1"/>
    <col min="14084" max="14114" width="4.25" style="1459" customWidth="1"/>
    <col min="14115" max="14115" width="9.25" style="1459" customWidth="1"/>
    <col min="14116" max="14125" width="0" style="1459" hidden="1" customWidth="1"/>
    <col min="14126" max="14337" width="9" style="1459"/>
    <col min="14338" max="14338" width="9" style="1459" customWidth="1"/>
    <col min="14339" max="14339" width="24" style="1459" customWidth="1"/>
    <col min="14340" max="14370" width="4.25" style="1459" customWidth="1"/>
    <col min="14371" max="14371" width="9.25" style="1459" customWidth="1"/>
    <col min="14372" max="14381" width="0" style="1459" hidden="1" customWidth="1"/>
    <col min="14382" max="14593" width="9" style="1459"/>
    <col min="14594" max="14594" width="9" style="1459" customWidth="1"/>
    <col min="14595" max="14595" width="24" style="1459" customWidth="1"/>
    <col min="14596" max="14626" width="4.25" style="1459" customWidth="1"/>
    <col min="14627" max="14627" width="9.25" style="1459" customWidth="1"/>
    <col min="14628" max="14637" width="0" style="1459" hidden="1" customWidth="1"/>
    <col min="14638" max="14849" width="9" style="1459"/>
    <col min="14850" max="14850" width="9" style="1459" customWidth="1"/>
    <col min="14851" max="14851" width="24" style="1459" customWidth="1"/>
    <col min="14852" max="14882" width="4.25" style="1459" customWidth="1"/>
    <col min="14883" max="14883" width="9.25" style="1459" customWidth="1"/>
    <col min="14884" max="14893" width="0" style="1459" hidden="1" customWidth="1"/>
    <col min="14894" max="15105" width="9" style="1459"/>
    <col min="15106" max="15106" width="9" style="1459" customWidth="1"/>
    <col min="15107" max="15107" width="24" style="1459" customWidth="1"/>
    <col min="15108" max="15138" width="4.25" style="1459" customWidth="1"/>
    <col min="15139" max="15139" width="9.25" style="1459" customWidth="1"/>
    <col min="15140" max="15149" width="0" style="1459" hidden="1" customWidth="1"/>
    <col min="15150" max="15361" width="9" style="1459"/>
    <col min="15362" max="15362" width="9" style="1459" customWidth="1"/>
    <col min="15363" max="15363" width="24" style="1459" customWidth="1"/>
    <col min="15364" max="15394" width="4.25" style="1459" customWidth="1"/>
    <col min="15395" max="15395" width="9.25" style="1459" customWidth="1"/>
    <col min="15396" max="15405" width="0" style="1459" hidden="1" customWidth="1"/>
    <col min="15406" max="15617" width="9" style="1459"/>
    <col min="15618" max="15618" width="9" style="1459" customWidth="1"/>
    <col min="15619" max="15619" width="24" style="1459" customWidth="1"/>
    <col min="15620" max="15650" width="4.25" style="1459" customWidth="1"/>
    <col min="15651" max="15651" width="9.25" style="1459" customWidth="1"/>
    <col min="15652" max="15661" width="0" style="1459" hidden="1" customWidth="1"/>
    <col min="15662" max="15873" width="9" style="1459"/>
    <col min="15874" max="15874" width="9" style="1459" customWidth="1"/>
    <col min="15875" max="15875" width="24" style="1459" customWidth="1"/>
    <col min="15876" max="15906" width="4.25" style="1459" customWidth="1"/>
    <col min="15907" max="15907" width="9.25" style="1459" customWidth="1"/>
    <col min="15908" max="15917" width="0" style="1459" hidden="1" customWidth="1"/>
    <col min="15918" max="16129" width="9" style="1459"/>
    <col min="16130" max="16130" width="9" style="1459" customWidth="1"/>
    <col min="16131" max="16131" width="24" style="1459" customWidth="1"/>
    <col min="16132" max="16162" width="4.25" style="1459" customWidth="1"/>
    <col min="16163" max="16163" width="9.25" style="1459" customWidth="1"/>
    <col min="16164" max="16173" width="0" style="1459" hidden="1" customWidth="1"/>
    <col min="16174" max="16383" width="9" style="1459"/>
    <col min="16384" max="16384" width="9" style="1459" customWidth="1"/>
  </cols>
  <sheetData>
    <row r="1" spans="1:47" s="1629" customFormat="1" ht="15.75" customHeight="1">
      <c r="A1" s="4152" t="s">
        <v>165</v>
      </c>
      <c r="B1" s="4152"/>
      <c r="C1" s="4152"/>
      <c r="D1" s="4152"/>
      <c r="E1" s="4152"/>
      <c r="F1" s="4152"/>
      <c r="G1" s="4152"/>
      <c r="H1" s="4152"/>
      <c r="I1" s="4152"/>
      <c r="J1" s="4152"/>
      <c r="K1" s="4152"/>
      <c r="L1" s="4152"/>
      <c r="M1" s="4152"/>
      <c r="N1" s="4152"/>
      <c r="O1" s="4152"/>
      <c r="P1" s="4152"/>
      <c r="Q1" s="4152"/>
      <c r="R1" s="4152"/>
      <c r="S1" s="4152"/>
      <c r="T1" s="4152"/>
      <c r="U1" s="4152"/>
      <c r="V1" s="4152"/>
      <c r="W1" s="4152"/>
      <c r="X1" s="4152"/>
      <c r="Y1" s="4152"/>
      <c r="Z1" s="4152"/>
      <c r="AA1" s="4152"/>
      <c r="AB1" s="4152"/>
      <c r="AC1" s="4152"/>
      <c r="AD1" s="4152"/>
      <c r="AE1" s="4152"/>
      <c r="AF1" s="4152"/>
      <c r="AG1" s="4152"/>
      <c r="AH1" s="4152"/>
      <c r="AI1" s="4152"/>
      <c r="AJ1" s="4152"/>
      <c r="AK1" s="4152"/>
      <c r="AL1" s="4152"/>
      <c r="AM1" s="4152"/>
      <c r="AN1" s="4152"/>
      <c r="AO1" s="4152"/>
      <c r="AP1" s="4152"/>
      <c r="AQ1" s="4152"/>
      <c r="AR1" s="4152"/>
      <c r="AS1" s="4152"/>
      <c r="AT1" s="4152"/>
      <c r="AU1" s="4152"/>
    </row>
    <row r="2" spans="1:47" s="1629" customFormat="1" ht="15.75" customHeight="1">
      <c r="A2" s="4152" t="s">
        <v>994</v>
      </c>
      <c r="B2" s="4152"/>
      <c r="C2" s="4152"/>
      <c r="D2" s="4152"/>
      <c r="E2" s="4152"/>
      <c r="F2" s="4152"/>
      <c r="G2" s="4152"/>
      <c r="H2" s="4152"/>
      <c r="I2" s="4152"/>
      <c r="J2" s="4152"/>
      <c r="K2" s="4152"/>
      <c r="L2" s="4152"/>
      <c r="M2" s="4152"/>
      <c r="N2" s="4152"/>
      <c r="O2" s="4152"/>
      <c r="P2" s="4152"/>
      <c r="Q2" s="4152"/>
      <c r="R2" s="4152"/>
      <c r="S2" s="4152"/>
      <c r="T2" s="4152"/>
      <c r="U2" s="4152"/>
      <c r="V2" s="4152"/>
      <c r="W2" s="4152"/>
      <c r="X2" s="4152"/>
      <c r="Y2" s="4152"/>
      <c r="Z2" s="4152"/>
      <c r="AA2" s="4152"/>
      <c r="AB2" s="4152"/>
      <c r="AC2" s="4152"/>
      <c r="AD2" s="4152"/>
      <c r="AE2" s="4152"/>
      <c r="AF2" s="4152"/>
      <c r="AG2" s="4152"/>
      <c r="AH2" s="4152"/>
      <c r="AI2" s="4152"/>
      <c r="AJ2" s="4152"/>
      <c r="AK2" s="4152"/>
      <c r="AL2" s="4152"/>
      <c r="AM2" s="4152"/>
      <c r="AN2" s="4152"/>
      <c r="AO2" s="4152"/>
      <c r="AP2" s="4152"/>
      <c r="AQ2" s="4152"/>
      <c r="AR2" s="4152"/>
      <c r="AS2" s="4152"/>
      <c r="AT2" s="4152"/>
      <c r="AU2" s="4152"/>
    </row>
    <row r="3" spans="1:47" s="1629" customFormat="1" ht="15.75" customHeight="1">
      <c r="A3" s="4153" t="s">
        <v>995</v>
      </c>
      <c r="B3" s="4153"/>
      <c r="C3" s="4153"/>
      <c r="D3" s="4153"/>
      <c r="E3" s="4153"/>
      <c r="F3" s="4153"/>
      <c r="G3" s="4153"/>
      <c r="H3" s="4153"/>
      <c r="I3" s="4153"/>
      <c r="J3" s="4153"/>
      <c r="K3" s="4153"/>
      <c r="L3" s="4153"/>
      <c r="M3" s="4153"/>
      <c r="N3" s="4153"/>
      <c r="O3" s="4153"/>
      <c r="P3" s="4153"/>
      <c r="Q3" s="4153"/>
      <c r="R3" s="4153"/>
      <c r="S3" s="4153"/>
      <c r="T3" s="4153"/>
      <c r="U3" s="4153"/>
      <c r="V3" s="4153"/>
      <c r="W3" s="4153"/>
      <c r="X3" s="4153"/>
      <c r="Y3" s="4153"/>
      <c r="Z3" s="4153"/>
      <c r="AA3" s="4153"/>
      <c r="AB3" s="4153"/>
      <c r="AC3" s="4153"/>
      <c r="AD3" s="4153"/>
      <c r="AE3" s="4153"/>
      <c r="AF3" s="4153"/>
      <c r="AG3" s="4153"/>
      <c r="AH3" s="4153"/>
      <c r="AI3" s="4153"/>
      <c r="AJ3" s="4153"/>
      <c r="AK3" s="4153"/>
      <c r="AL3" s="4153"/>
      <c r="AM3" s="4153"/>
      <c r="AN3" s="4153"/>
      <c r="AO3" s="4153"/>
      <c r="AP3" s="4153"/>
      <c r="AQ3" s="4153"/>
      <c r="AR3" s="4153"/>
      <c r="AS3" s="4153"/>
      <c r="AT3" s="4153"/>
      <c r="AU3" s="4153"/>
    </row>
    <row r="4" spans="1:47" s="1629" customFormat="1" ht="15.75" customHeight="1">
      <c r="A4" s="1630"/>
      <c r="B4" s="1630"/>
      <c r="C4" s="1630"/>
      <c r="D4" s="1630"/>
      <c r="E4" s="1630"/>
      <c r="F4" s="1630"/>
      <c r="G4" s="1630"/>
      <c r="H4" s="1630"/>
      <c r="I4" s="1630"/>
      <c r="J4" s="1630"/>
      <c r="K4" s="1630"/>
      <c r="L4" s="1630"/>
      <c r="M4" s="1630"/>
      <c r="N4" s="1630"/>
      <c r="O4" s="1630"/>
      <c r="P4" s="1630"/>
      <c r="Q4" s="1630"/>
      <c r="R4" s="1630"/>
      <c r="S4" s="1630"/>
      <c r="T4" s="1630"/>
      <c r="U4" s="1630"/>
      <c r="V4" s="1630"/>
      <c r="W4" s="1630"/>
      <c r="X4" s="1630"/>
      <c r="Y4" s="1630"/>
      <c r="Z4" s="1630"/>
      <c r="AA4" s="1630"/>
      <c r="AB4" s="1630"/>
      <c r="AC4" s="1630"/>
      <c r="AD4" s="1630"/>
      <c r="AE4" s="1630"/>
      <c r="AF4" s="1630"/>
      <c r="AG4" s="1630"/>
      <c r="AH4" s="1630"/>
      <c r="AI4" s="1630"/>
      <c r="AJ4" s="1630"/>
    </row>
    <row r="5" spans="1:47" s="1629" customFormat="1" ht="15.75" customHeight="1">
      <c r="A5" s="4151" t="s">
        <v>574</v>
      </c>
      <c r="B5" s="4151"/>
      <c r="C5" s="4151"/>
      <c r="D5" s="4151"/>
      <c r="E5" s="4151"/>
      <c r="F5" s="4151"/>
      <c r="G5" s="4151"/>
      <c r="H5" s="4151"/>
      <c r="I5" s="4151"/>
      <c r="J5" s="4151"/>
      <c r="K5" s="4151"/>
      <c r="L5" s="4151"/>
      <c r="M5" s="4151"/>
      <c r="N5" s="4151"/>
      <c r="O5" s="4151"/>
      <c r="P5" s="1630"/>
      <c r="Q5" s="1630"/>
      <c r="R5" s="1630"/>
      <c r="S5" s="1630"/>
      <c r="T5" s="1630"/>
      <c r="U5" s="1630"/>
      <c r="V5" s="1630"/>
      <c r="W5" s="1630"/>
      <c r="X5" s="1630"/>
      <c r="Y5" s="1630"/>
      <c r="Z5" s="1630"/>
      <c r="AA5" s="1630"/>
      <c r="AB5" s="1630"/>
      <c r="AC5" s="1630"/>
      <c r="AD5" s="1630"/>
      <c r="AE5" s="1630"/>
      <c r="AF5" s="1630"/>
      <c r="AG5" s="1630"/>
      <c r="AH5" s="1630"/>
      <c r="AI5" s="1630"/>
      <c r="AJ5" s="1630"/>
    </row>
    <row r="6" spans="1:47" s="1629" customFormat="1" ht="15.75" customHeight="1">
      <c r="A6" s="4151" t="s">
        <v>1202</v>
      </c>
      <c r="B6" s="4151"/>
      <c r="C6" s="4151"/>
      <c r="D6" s="4151"/>
      <c r="E6" s="4151"/>
      <c r="F6" s="4151"/>
      <c r="G6" s="4151"/>
      <c r="H6" s="4151"/>
      <c r="I6" s="4151"/>
      <c r="J6" s="4151"/>
      <c r="K6" s="4151"/>
      <c r="L6" s="4151"/>
      <c r="M6" s="4151"/>
      <c r="N6" s="4151"/>
      <c r="O6" s="4151"/>
      <c r="P6" s="1630"/>
      <c r="Q6" s="1630"/>
      <c r="R6" s="1630"/>
      <c r="S6" s="1630"/>
      <c r="T6" s="1630"/>
      <c r="U6" s="1630"/>
      <c r="V6" s="1630"/>
      <c r="W6" s="1630"/>
      <c r="X6" s="1630"/>
      <c r="Y6" s="1630"/>
      <c r="Z6" s="1630"/>
      <c r="AA6" s="1630"/>
      <c r="AB6" s="1630"/>
      <c r="AC6" s="1630"/>
      <c r="AD6" s="1630"/>
      <c r="AE6" s="1630"/>
      <c r="AF6" s="1630"/>
      <c r="AG6" s="1630"/>
      <c r="AH6" s="1630"/>
      <c r="AI6" s="1630"/>
      <c r="AJ6" s="1630"/>
    </row>
    <row r="7" spans="1:47" ht="15.75" customHeight="1">
      <c r="W7" s="4137"/>
      <c r="X7" s="4137"/>
      <c r="Y7" s="4137"/>
      <c r="Z7" s="4137"/>
      <c r="AA7" s="4137"/>
      <c r="AB7" s="4137"/>
      <c r="AC7" s="4137"/>
      <c r="AD7" s="4137"/>
      <c r="AE7" s="4137"/>
      <c r="AF7" s="4137"/>
      <c r="AG7" s="4137"/>
      <c r="AH7" s="4137"/>
      <c r="AI7" s="4137"/>
      <c r="AL7" s="2293">
        <v>1</v>
      </c>
      <c r="AM7" s="2293">
        <v>2</v>
      </c>
      <c r="AN7" s="2293">
        <v>3</v>
      </c>
      <c r="AO7" s="2293">
        <v>4</v>
      </c>
      <c r="AP7" s="2293">
        <v>5</v>
      </c>
      <c r="AQ7" s="2294">
        <v>6</v>
      </c>
      <c r="AR7" s="2294">
        <v>7</v>
      </c>
    </row>
    <row r="8" spans="1:47" ht="15.75" customHeight="1">
      <c r="A8" s="4148"/>
      <c r="B8" s="4148"/>
      <c r="C8" s="4148"/>
      <c r="D8" s="4148"/>
      <c r="E8" s="4148"/>
      <c r="F8" s="4148"/>
      <c r="W8" s="4137"/>
      <c r="X8" s="4137"/>
      <c r="Y8" s="4137"/>
      <c r="Z8" s="4137"/>
      <c r="AA8" s="4137"/>
      <c r="AB8" s="4137"/>
      <c r="AC8" s="4137"/>
      <c r="AD8" s="4137"/>
      <c r="AE8" s="4137"/>
      <c r="AF8" s="4137"/>
      <c r="AG8" s="4137"/>
      <c r="AH8" s="4137"/>
      <c r="AI8" s="4137"/>
      <c r="AL8" s="2293" t="s">
        <v>237</v>
      </c>
      <c r="AM8" s="2293" t="s">
        <v>1203</v>
      </c>
      <c r="AN8" s="2293" t="s">
        <v>1204</v>
      </c>
      <c r="AO8" s="2293" t="s">
        <v>1205</v>
      </c>
      <c r="AP8" s="2293" t="s">
        <v>1206</v>
      </c>
      <c r="AQ8" s="2294" t="s">
        <v>1207</v>
      </c>
      <c r="AR8" s="2294" t="s">
        <v>1208</v>
      </c>
    </row>
    <row r="9" spans="1:47" ht="15.75" customHeight="1">
      <c r="AL9" s="2295"/>
      <c r="AM9" s="2295"/>
      <c r="AN9" s="2295"/>
      <c r="AO9" s="2295"/>
      <c r="AP9" s="2295"/>
    </row>
    <row r="10" spans="1:47" ht="15.75" customHeight="1">
      <c r="D10" s="4149" t="s">
        <v>1737</v>
      </c>
      <c r="E10" s="4149"/>
      <c r="F10" s="4149"/>
      <c r="G10" s="4149"/>
      <c r="H10" s="4149"/>
      <c r="I10" s="4149"/>
      <c r="J10" s="4149"/>
      <c r="K10" s="4149"/>
      <c r="L10" s="4149"/>
      <c r="M10" s="4149"/>
      <c r="N10" s="4149"/>
      <c r="O10" s="4149"/>
      <c r="P10" s="4149"/>
      <c r="Q10" s="4149"/>
      <c r="R10" s="4149"/>
      <c r="S10" s="4149"/>
      <c r="T10" s="4149"/>
      <c r="U10" s="4149"/>
      <c r="V10" s="4149"/>
      <c r="W10" s="4149"/>
      <c r="X10" s="4149"/>
      <c r="Y10" s="4149"/>
      <c r="Z10" s="4149"/>
      <c r="AA10" s="4149"/>
      <c r="AB10" s="4149"/>
      <c r="AC10" s="4149"/>
      <c r="AD10" s="4149"/>
      <c r="AE10" s="4149"/>
      <c r="AF10" s="4149"/>
      <c r="AG10" s="4149"/>
      <c r="AH10" s="4149"/>
      <c r="AL10" s="2295"/>
      <c r="AM10" s="2295"/>
      <c r="AN10" s="2295"/>
      <c r="AO10" s="2295"/>
      <c r="AP10" s="2295"/>
    </row>
    <row r="11" spans="1:47" ht="15.75" customHeight="1">
      <c r="B11" s="1460" t="s">
        <v>912</v>
      </c>
      <c r="C11" s="1460">
        <v>2025</v>
      </c>
      <c r="D11" s="4150" t="str">
        <f>"Tháng "&amp;IF(LEN($C$12)=1,"0"&amp;$C$12,$C$12)&amp;" năm "&amp;C11</f>
        <v>Tháng 01 năm 2025</v>
      </c>
      <c r="E11" s="4150"/>
      <c r="F11" s="4150"/>
      <c r="G11" s="4150"/>
      <c r="H11" s="4150"/>
      <c r="I11" s="4150"/>
      <c r="J11" s="4150"/>
      <c r="K11" s="4150"/>
      <c r="L11" s="4150"/>
      <c r="M11" s="4150"/>
      <c r="N11" s="4150"/>
      <c r="O11" s="4150"/>
      <c r="P11" s="4150"/>
      <c r="Q11" s="4150"/>
      <c r="R11" s="4150"/>
      <c r="S11" s="4150"/>
      <c r="T11" s="4150"/>
      <c r="U11" s="4150"/>
      <c r="V11" s="4150"/>
      <c r="W11" s="4150"/>
      <c r="X11" s="4150"/>
      <c r="Y11" s="4150"/>
      <c r="Z11" s="4150"/>
      <c r="AA11" s="4150"/>
      <c r="AB11" s="4150"/>
      <c r="AC11" s="4150"/>
      <c r="AD11" s="4150"/>
      <c r="AE11" s="4150"/>
      <c r="AF11" s="4150"/>
      <c r="AG11" s="4150"/>
      <c r="AH11" s="4150"/>
    </row>
    <row r="12" spans="1:47" ht="15.75" customHeight="1">
      <c r="B12" s="1460" t="s">
        <v>913</v>
      </c>
      <c r="C12" s="1460">
        <v>1</v>
      </c>
    </row>
    <row r="13" spans="1:47" ht="15.75" customHeight="1">
      <c r="A13" s="4141" t="s">
        <v>1</v>
      </c>
      <c r="B13" s="4142" t="s">
        <v>914</v>
      </c>
      <c r="C13" s="4143" t="s">
        <v>915</v>
      </c>
      <c r="D13" s="3535">
        <v>1</v>
      </c>
      <c r="E13" s="3535">
        <v>2</v>
      </c>
      <c r="F13" s="3535">
        <v>3</v>
      </c>
      <c r="G13" s="3535">
        <v>4</v>
      </c>
      <c r="H13" s="3535">
        <v>5</v>
      </c>
      <c r="I13" s="3535">
        <v>6</v>
      </c>
      <c r="J13" s="3535">
        <v>7</v>
      </c>
      <c r="K13" s="3535">
        <v>8</v>
      </c>
      <c r="L13" s="3535">
        <v>9</v>
      </c>
      <c r="M13" s="3535">
        <v>10</v>
      </c>
      <c r="N13" s="3535">
        <v>11</v>
      </c>
      <c r="O13" s="3535">
        <v>12</v>
      </c>
      <c r="P13" s="3535">
        <v>13</v>
      </c>
      <c r="Q13" s="3535">
        <v>14</v>
      </c>
      <c r="R13" s="3535">
        <v>15</v>
      </c>
      <c r="S13" s="3535">
        <v>16</v>
      </c>
      <c r="T13" s="3535">
        <v>17</v>
      </c>
      <c r="U13" s="3535">
        <v>18</v>
      </c>
      <c r="V13" s="3535">
        <v>19</v>
      </c>
      <c r="W13" s="3535">
        <v>20</v>
      </c>
      <c r="X13" s="3535">
        <v>21</v>
      </c>
      <c r="Y13" s="3535">
        <v>22</v>
      </c>
      <c r="Z13" s="3535">
        <v>23</v>
      </c>
      <c r="AA13" s="3535">
        <v>24</v>
      </c>
      <c r="AB13" s="3535">
        <v>25</v>
      </c>
      <c r="AC13" s="3535">
        <v>26</v>
      </c>
      <c r="AD13" s="3535">
        <v>27</v>
      </c>
      <c r="AE13" s="3535">
        <v>28</v>
      </c>
      <c r="AF13" s="3535">
        <f>IF(DAY(DATE(C11,C12+1,1)-1)&lt;29,"",29)</f>
        <v>29</v>
      </c>
      <c r="AG13" s="3535">
        <v>30</v>
      </c>
      <c r="AH13" s="3535">
        <f>IF(DAY(DATE(C11,C12+1,1)-1)&lt;31,"",31)</f>
        <v>31</v>
      </c>
      <c r="AI13" s="4139" t="s">
        <v>922</v>
      </c>
      <c r="AJ13" s="1539"/>
      <c r="AK13" s="1539"/>
      <c r="AL13" s="1539"/>
      <c r="AM13" s="1539"/>
      <c r="AN13" s="1539"/>
      <c r="AO13" s="1539"/>
      <c r="AP13" s="1539"/>
      <c r="AQ13" s="1539"/>
      <c r="AR13" s="1539"/>
      <c r="AS13" s="4139" t="s">
        <v>1768</v>
      </c>
      <c r="AT13" s="4145" t="s">
        <v>1841</v>
      </c>
      <c r="AU13" s="4139" t="s">
        <v>923</v>
      </c>
    </row>
    <row r="14" spans="1:47" ht="27.75" customHeight="1">
      <c r="A14" s="4141"/>
      <c r="B14" s="4142"/>
      <c r="C14" s="4144"/>
      <c r="D14" s="2424" t="str">
        <f t="shared" ref="D14:AH14" si="0">IF(D13="","",HLOOKUP(WEEKDAY(DATE($C$11,$C$12,D13)),$AL$7:$AR$8,2,0))</f>
        <v>Tư</v>
      </c>
      <c r="E14" s="2424" t="str">
        <f t="shared" si="0"/>
        <v>Năm</v>
      </c>
      <c r="F14" s="2424" t="str">
        <f t="shared" si="0"/>
        <v>Sáu</v>
      </c>
      <c r="G14" s="2424" t="str">
        <f t="shared" si="0"/>
        <v>Bảy</v>
      </c>
      <c r="H14" s="2424" t="str">
        <f t="shared" si="0"/>
        <v>CN</v>
      </c>
      <c r="I14" s="2424" t="str">
        <f t="shared" si="0"/>
        <v>Hai</v>
      </c>
      <c r="J14" s="2424" t="str">
        <f t="shared" si="0"/>
        <v>Ba</v>
      </c>
      <c r="K14" s="2424" t="str">
        <f t="shared" si="0"/>
        <v>Tư</v>
      </c>
      <c r="L14" s="2424" t="str">
        <f t="shared" si="0"/>
        <v>Năm</v>
      </c>
      <c r="M14" s="2424" t="str">
        <f t="shared" si="0"/>
        <v>Sáu</v>
      </c>
      <c r="N14" s="2424" t="str">
        <f t="shared" si="0"/>
        <v>Bảy</v>
      </c>
      <c r="O14" s="2424" t="str">
        <f t="shared" si="0"/>
        <v>CN</v>
      </c>
      <c r="P14" s="2424" t="str">
        <f t="shared" si="0"/>
        <v>Hai</v>
      </c>
      <c r="Q14" s="2424" t="str">
        <f t="shared" si="0"/>
        <v>Ba</v>
      </c>
      <c r="R14" s="2424" t="str">
        <f t="shared" si="0"/>
        <v>Tư</v>
      </c>
      <c r="S14" s="2424" t="str">
        <f t="shared" si="0"/>
        <v>Năm</v>
      </c>
      <c r="T14" s="2424" t="str">
        <f t="shared" si="0"/>
        <v>Sáu</v>
      </c>
      <c r="U14" s="2424" t="str">
        <f t="shared" si="0"/>
        <v>Bảy</v>
      </c>
      <c r="V14" s="2424" t="str">
        <f t="shared" si="0"/>
        <v>CN</v>
      </c>
      <c r="W14" s="2424" t="str">
        <f t="shared" si="0"/>
        <v>Hai</v>
      </c>
      <c r="X14" s="2424" t="str">
        <f t="shared" si="0"/>
        <v>Ba</v>
      </c>
      <c r="Y14" s="2424" t="str">
        <f t="shared" si="0"/>
        <v>Tư</v>
      </c>
      <c r="Z14" s="2424" t="str">
        <f t="shared" si="0"/>
        <v>Năm</v>
      </c>
      <c r="AA14" s="2424" t="str">
        <f t="shared" si="0"/>
        <v>Sáu</v>
      </c>
      <c r="AB14" s="2424" t="str">
        <f t="shared" si="0"/>
        <v>Bảy</v>
      </c>
      <c r="AC14" s="2424" t="str">
        <f t="shared" si="0"/>
        <v>CN</v>
      </c>
      <c r="AD14" s="2424" t="str">
        <f t="shared" si="0"/>
        <v>Hai</v>
      </c>
      <c r="AE14" s="2424" t="str">
        <f t="shared" si="0"/>
        <v>Ba</v>
      </c>
      <c r="AF14" s="2425" t="str">
        <f t="shared" si="0"/>
        <v>Tư</v>
      </c>
      <c r="AG14" s="2425" t="str">
        <f t="shared" si="0"/>
        <v>Năm</v>
      </c>
      <c r="AH14" s="2425" t="str">
        <f t="shared" si="0"/>
        <v>Sáu</v>
      </c>
      <c r="AI14" s="4139"/>
      <c r="AJ14" s="1539"/>
      <c r="AK14" s="1539"/>
      <c r="AL14" s="1539"/>
      <c r="AM14" s="1539"/>
      <c r="AN14" s="1539"/>
      <c r="AO14" s="1539"/>
      <c r="AP14" s="1539"/>
      <c r="AQ14" s="1539"/>
      <c r="AR14" s="1539"/>
      <c r="AS14" s="4139"/>
      <c r="AT14" s="4146"/>
      <c r="AU14" s="4140"/>
    </row>
    <row r="15" spans="1:47" ht="15.75" customHeight="1">
      <c r="A15" s="1477">
        <v>1</v>
      </c>
      <c r="B15" s="1463"/>
      <c r="C15" s="1477" t="s">
        <v>1013</v>
      </c>
      <c r="D15" s="1463" t="str">
        <f>IF(WEEKDAY(DATE($C$11,$C$12,D$13),2)&gt;'[17]Khai báo'!$B$4,"","x")</f>
        <v>x</v>
      </c>
      <c r="E15" s="1463" t="str">
        <f>IF(WEEKDAY(DATE($C$11,$C$12,E$13),2)&gt;'[17]Khai báo'!$B$4,"","x")</f>
        <v>x</v>
      </c>
      <c r="F15" s="1463" t="str">
        <f>IF(WEEKDAY(DATE($C$11,$C$12,F$13),2)&gt;'[17]Khai báo'!$B$4,"","x")</f>
        <v>x</v>
      </c>
      <c r="G15" s="1463" t="str">
        <f>IF(WEEKDAY(DATE($C$11,$C$12,G$13),2)&gt;'[17]Khai báo'!$B$4,"","x")</f>
        <v>x</v>
      </c>
      <c r="H15" s="1463"/>
      <c r="I15" s="1463" t="s">
        <v>142</v>
      </c>
      <c r="J15" s="1463" t="str">
        <f>IF(WEEKDAY(DATE($C$11,$C$12,J$13),2)&gt;'[17]Khai báo'!$B$4,"","x")</f>
        <v>x</v>
      </c>
      <c r="K15" s="1463" t="s">
        <v>142</v>
      </c>
      <c r="L15" s="1463" t="s">
        <v>142</v>
      </c>
      <c r="M15" s="1463" t="str">
        <f>IF(WEEKDAY(DATE($C$11,$C$12,M$13),2)&gt;'[17]Khai báo'!$B$4,"","x")</f>
        <v>x</v>
      </c>
      <c r="N15" s="1463" t="str">
        <f>IF(WEEKDAY(DATE($C$11,$C$12,N$13),2)&gt;'[17]Khai báo'!$B$4,"","x")</f>
        <v>x</v>
      </c>
      <c r="O15" s="1463" t="str">
        <f>IF(WEEKDAY(DATE($C$11,$C$12,O$13),2)&gt;'[17]Khai báo'!$B$4,"","x")</f>
        <v/>
      </c>
      <c r="P15" s="1463" t="str">
        <f>IF(WEEKDAY(DATE($C$11,$C$12,P$13),2)&gt;'[17]Khai báo'!$B$4,"","x")</f>
        <v>x</v>
      </c>
      <c r="Q15" s="1463" t="str">
        <f>IF(WEEKDAY(DATE($C$11,$C$12,Q$13),2)&gt;'[17]Khai báo'!$B$4,"","x")</f>
        <v>x</v>
      </c>
      <c r="R15" s="1463" t="str">
        <f>IF(WEEKDAY(DATE($C$11,$C$12,R$13),2)&gt;'[17]Khai báo'!$B$4,"","x")</f>
        <v>x</v>
      </c>
      <c r="S15" s="1463" t="str">
        <f>IF(WEEKDAY(DATE($C$11,$C$12,S$13),2)&gt;'[17]Khai báo'!$B$4,"","x")</f>
        <v>x</v>
      </c>
      <c r="T15" s="1463" t="str">
        <f>IF(WEEKDAY(DATE($C$11,$C$12,T$13),2)&gt;'[17]Khai báo'!$B$4,"","x")</f>
        <v>x</v>
      </c>
      <c r="U15" s="1463" t="str">
        <f>IF(WEEKDAY(DATE($C$11,$C$12,U$13),2)&gt;'[17]Khai báo'!$B$4,"","x")</f>
        <v>x</v>
      </c>
      <c r="V15" s="1463" t="str">
        <f>IF(WEEKDAY(DATE($C$11,$C$12,V$13),2)&gt;'[17]Khai báo'!$B$4,"","x")</f>
        <v/>
      </c>
      <c r="W15" s="1463" t="str">
        <f>IF(WEEKDAY(DATE($C$11,$C$12,W$13),2)&gt;'[17]Khai báo'!$B$4,"","x")</f>
        <v>x</v>
      </c>
      <c r="X15" s="1463" t="s">
        <v>142</v>
      </c>
      <c r="Y15" s="1463" t="str">
        <f>IF(WEEKDAY(DATE($C$11,$C$12,Y$13),2)&gt;'[17]Khai báo'!$B$4,"","x")</f>
        <v>x</v>
      </c>
      <c r="Z15" s="1463" t="s">
        <v>142</v>
      </c>
      <c r="AA15" s="1463" t="s">
        <v>142</v>
      </c>
      <c r="AB15" s="1463" t="s">
        <v>142</v>
      </c>
      <c r="AC15" s="1463" t="str">
        <f>IF(WEEKDAY(DATE($C$11,$C$12,AC$13),2)&gt;'[17]Khai báo'!$B$4,"","x")</f>
        <v/>
      </c>
      <c r="AD15" s="1463" t="s">
        <v>142</v>
      </c>
      <c r="AE15" s="1463" t="s">
        <v>142</v>
      </c>
      <c r="AF15" s="1463" t="s">
        <v>142</v>
      </c>
      <c r="AG15" s="1463" t="s">
        <v>142</v>
      </c>
      <c r="AH15" s="1463" t="s">
        <v>142</v>
      </c>
      <c r="AI15" s="1537">
        <f>COUNTIF(D15:AH15,"X")</f>
        <v>27</v>
      </c>
      <c r="AJ15" s="1477"/>
      <c r="AK15" s="1477"/>
      <c r="AL15" s="1477"/>
      <c r="AM15" s="1477"/>
      <c r="AN15" s="1477"/>
      <c r="AO15" s="1477"/>
      <c r="AP15" s="1477"/>
      <c r="AQ15" s="1477"/>
      <c r="AR15" s="1477"/>
      <c r="AS15" s="1537">
        <f>COUNTIF(D15:AR15,"tt")</f>
        <v>0</v>
      </c>
      <c r="AT15" s="1537">
        <f>COUNTIF(E15:AS15,"p")</f>
        <v>0</v>
      </c>
      <c r="AU15" s="1538">
        <f t="shared" ref="AU15:AU20" si="1">+AI15+AS15</f>
        <v>27</v>
      </c>
    </row>
    <row r="16" spans="1:47" ht="15.75" customHeight="1">
      <c r="A16" s="1465">
        <v>2</v>
      </c>
      <c r="B16" s="1466"/>
      <c r="C16" s="1465" t="s">
        <v>917</v>
      </c>
      <c r="D16" s="1463" t="str">
        <f>IF(WEEKDAY(DATE($C$11,$C$12,D$13),2)&gt;'[17]Khai báo'!$B$4,"","x")</f>
        <v>x</v>
      </c>
      <c r="E16" s="1463" t="str">
        <f>IF(WEEKDAY(DATE($C$11,$C$12,E$13),2)&gt;'[17]Khai báo'!$B$4,"","x")</f>
        <v>x</v>
      </c>
      <c r="F16" s="1466" t="str">
        <f>IF(WEEKDAY(DATE($C$11,$C$12,F$13),2)&gt;'[17]Khai báo'!$B$4,"","x")</f>
        <v>x</v>
      </c>
      <c r="G16" s="1463" t="str">
        <f>IF(WEEKDAY(DATE($C$11,$C$12,G$13),2)&gt;'[17]Khai báo'!$B$4,"","x")</f>
        <v>x</v>
      </c>
      <c r="H16" s="1463"/>
      <c r="I16" s="1463" t="str">
        <f>IF(WEEKDAY(DATE($C$11,$C$12,I$13),2)&gt;'[17]Khai báo'!$B$4,"","x")</f>
        <v>x</v>
      </c>
      <c r="J16" s="1463" t="str">
        <f>IF(WEEKDAY(DATE($C$11,$C$12,J$13),2)&gt;'[17]Khai báo'!$B$4,"","x")</f>
        <v>x</v>
      </c>
      <c r="K16" s="1463" t="str">
        <f>IF(WEEKDAY(DATE($C$11,$C$12,K$13),2)&gt;'[17]Khai báo'!$B$4,"","x")</f>
        <v>x</v>
      </c>
      <c r="L16" s="1463" t="str">
        <f>IF(WEEKDAY(DATE($C$11,$C$12,L$13),2)&gt;'[17]Khai báo'!$B$4,"","x")</f>
        <v>x</v>
      </c>
      <c r="M16" s="1463" t="str">
        <f>IF(WEEKDAY(DATE($C$11,$C$12,M$13),2)&gt;'[17]Khai báo'!$B$4,"","x")</f>
        <v>x</v>
      </c>
      <c r="N16" s="1463" t="str">
        <f>IF(WEEKDAY(DATE($C$11,$C$12,N$13),2)&gt;'[17]Khai báo'!$B$4,"","x")</f>
        <v>x</v>
      </c>
      <c r="O16" s="1463"/>
      <c r="P16" s="1463" t="str">
        <f>IF(WEEKDAY(DATE($C$11,$C$12,P$13),2)&gt;'[17]Khai báo'!$B$4,"","x")</f>
        <v>x</v>
      </c>
      <c r="Q16" s="1463" t="str">
        <f>IF(WEEKDAY(DATE($C$11,$C$12,Q$13),2)&gt;'[17]Khai báo'!$B$4,"","x")</f>
        <v>x</v>
      </c>
      <c r="R16" s="1463" t="str">
        <f>IF(WEEKDAY(DATE($C$11,$C$12,R$13),2)&gt;'[17]Khai báo'!$B$4,"","x")</f>
        <v>x</v>
      </c>
      <c r="S16" s="1463" t="str">
        <f>IF(WEEKDAY(DATE($C$11,$C$12,S$13),2)&gt;'[17]Khai báo'!$B$4,"","x")</f>
        <v>x</v>
      </c>
      <c r="T16" s="1463" t="str">
        <f>IF(WEEKDAY(DATE($C$11,$C$12,T$13),2)&gt;'[17]Khai báo'!$B$4,"","x")</f>
        <v>x</v>
      </c>
      <c r="U16" s="1463" t="str">
        <f>IF(WEEKDAY(DATE($C$11,$C$12,U$13),2)&gt;'[17]Khai báo'!$B$4,"","x")</f>
        <v>x</v>
      </c>
      <c r="V16" s="1463"/>
      <c r="W16" s="1463" t="str">
        <f>IF(WEEKDAY(DATE($C$11,$C$12,W$13),2)&gt;'[17]Khai báo'!$B$4,"","x")</f>
        <v>x</v>
      </c>
      <c r="X16" s="1463" t="str">
        <f>IF(WEEKDAY(DATE($C$11,$C$12,X$13),2)&gt;'[17]Khai báo'!$B$4,"","x")</f>
        <v>x</v>
      </c>
      <c r="Y16" s="1463" t="str">
        <f>IF(WEEKDAY(DATE($C$11,$C$12,Y$13),2)&gt;'[17]Khai báo'!$B$4,"","x")</f>
        <v>x</v>
      </c>
      <c r="Z16" s="1463" t="s">
        <v>142</v>
      </c>
      <c r="AA16" s="1463" t="s">
        <v>142</v>
      </c>
      <c r="AB16" s="1463" t="s">
        <v>1769</v>
      </c>
      <c r="AC16" s="1463" t="s">
        <v>1769</v>
      </c>
      <c r="AD16" s="1463" t="s">
        <v>1769</v>
      </c>
      <c r="AE16" s="1463" t="s">
        <v>1769</v>
      </c>
      <c r="AF16" s="1463" t="s">
        <v>1769</v>
      </c>
      <c r="AG16" s="1463" t="s">
        <v>1769</v>
      </c>
      <c r="AH16" s="1463" t="s">
        <v>1769</v>
      </c>
      <c r="AI16" s="1467">
        <f t="shared" ref="AI16:AI20" si="2">COUNTIF(D16:AH16,"X")</f>
        <v>21</v>
      </c>
      <c r="AJ16" s="1465"/>
      <c r="AK16" s="1465"/>
      <c r="AL16" s="1465"/>
      <c r="AM16" s="1465"/>
      <c r="AN16" s="1465"/>
      <c r="AO16" s="1465"/>
      <c r="AP16" s="1465"/>
      <c r="AQ16" s="1465"/>
      <c r="AR16" s="1465"/>
      <c r="AS16" s="1537">
        <f t="shared" ref="AS16:AS20" si="3">COUNTIF(D16:AR16,"tt")</f>
        <v>7</v>
      </c>
      <c r="AT16" s="1537">
        <f t="shared" ref="AT16:AT20" si="4">COUNTIF(E16:AS16,"p")</f>
        <v>0</v>
      </c>
      <c r="AU16" s="1538">
        <f t="shared" si="1"/>
        <v>28</v>
      </c>
    </row>
    <row r="17" spans="1:47" ht="15.75" customHeight="1">
      <c r="A17" s="1477">
        <v>3</v>
      </c>
      <c r="B17" s="1466"/>
      <c r="C17" s="1465" t="s">
        <v>97</v>
      </c>
      <c r="D17" s="1463" t="str">
        <f>IF(WEEKDAY(DATE($C$11,$C$12,D$13),2)&gt;'[17]Khai báo'!$B$4,"","x")</f>
        <v>x</v>
      </c>
      <c r="E17" s="1463" t="str">
        <f>IF(WEEKDAY(DATE($C$11,$C$12,E$13),2)&gt;'[17]Khai báo'!$B$4,"","x")</f>
        <v>x</v>
      </c>
      <c r="F17" s="1466" t="str">
        <f>IF(WEEKDAY(DATE($C$11,$C$12,F$13),2)&gt;'[17]Khai báo'!$B$4,"","x")</f>
        <v>x</v>
      </c>
      <c r="G17" s="1463" t="str">
        <f>IF(WEEKDAY(DATE($C$11,$C$12,G$13),2)&gt;'[17]Khai báo'!$B$4,"","x")</f>
        <v>x</v>
      </c>
      <c r="H17" s="1463"/>
      <c r="I17" s="1463" t="str">
        <f>IF(WEEKDAY(DATE($C$11,$C$12,I$13),2)&gt;'[17]Khai báo'!$B$4,"","x")</f>
        <v>x</v>
      </c>
      <c r="J17" s="1463" t="str">
        <f>IF(WEEKDAY(DATE($C$11,$C$12,J$13),2)&gt;'[17]Khai báo'!$B$4,"","x")</f>
        <v>x</v>
      </c>
      <c r="K17" s="1463" t="str">
        <f>IF(WEEKDAY(DATE($C$11,$C$12,K$13),2)&gt;'[17]Khai báo'!$B$4,"","x")</f>
        <v>x</v>
      </c>
      <c r="L17" s="1463" t="str">
        <f>IF(WEEKDAY(DATE($C$11,$C$12,L$13),2)&gt;'[17]Khai báo'!$B$4,"","x")</f>
        <v>x</v>
      </c>
      <c r="M17" s="1463" t="str">
        <f>IF(WEEKDAY(DATE($C$11,$C$12,M$13),2)&gt;'[17]Khai báo'!$B$4,"","x")</f>
        <v>x</v>
      </c>
      <c r="N17" s="1463" t="str">
        <f>IF(WEEKDAY(DATE($C$11,$C$12,N$13),2)&gt;'[17]Khai báo'!$B$4,"","x")</f>
        <v>x</v>
      </c>
      <c r="O17" s="1463" t="str">
        <f>IF(WEEKDAY(DATE($C$11,$C$12,O$13),2)&gt;'[17]Khai báo'!$B$4,"","x")</f>
        <v/>
      </c>
      <c r="P17" s="1463" t="str">
        <f>IF(WEEKDAY(DATE($C$11,$C$12,P$13),2)&gt;'[17]Khai báo'!$B$4,"","x")</f>
        <v>x</v>
      </c>
      <c r="Q17" s="1463" t="str">
        <f>IF(WEEKDAY(DATE($C$11,$C$12,Q$13),2)&gt;'[17]Khai báo'!$B$4,"","x")</f>
        <v>x</v>
      </c>
      <c r="R17" s="1463" t="str">
        <f>IF(WEEKDAY(DATE($C$11,$C$12,R$13),2)&gt;'[17]Khai báo'!$B$4,"","x")</f>
        <v>x</v>
      </c>
      <c r="S17" s="1463" t="str">
        <f>IF(WEEKDAY(DATE($C$11,$C$12,S$13),2)&gt;'[17]Khai báo'!$B$4,"","x")</f>
        <v>x</v>
      </c>
      <c r="T17" s="1463" t="str">
        <f>IF(WEEKDAY(DATE($C$11,$C$12,T$13),2)&gt;'[17]Khai báo'!$B$4,"","x")</f>
        <v>x</v>
      </c>
      <c r="U17" s="1463" t="str">
        <f>IF(WEEKDAY(DATE($C$11,$C$12,U$13),2)&gt;'[17]Khai báo'!$B$4,"","x")</f>
        <v>x</v>
      </c>
      <c r="V17" s="1463" t="str">
        <f>IF(WEEKDAY(DATE($C$11,$C$12,V$13),2)&gt;'[17]Khai báo'!$B$4,"","x")</f>
        <v/>
      </c>
      <c r="W17" s="1463" t="str">
        <f>IF(WEEKDAY(DATE($C$11,$C$12,W$13),2)&gt;'[17]Khai báo'!$B$4,"","x")</f>
        <v>x</v>
      </c>
      <c r="X17" s="1463" t="str">
        <f>IF(WEEKDAY(DATE($C$11,$C$12,X$13),2)&gt;'[17]Khai báo'!$B$4,"","x")</f>
        <v>x</v>
      </c>
      <c r="Y17" s="1463" t="s">
        <v>142</v>
      </c>
      <c r="Z17" s="1463" t="s">
        <v>142</v>
      </c>
      <c r="AA17" s="1463" t="s">
        <v>142</v>
      </c>
      <c r="AB17" s="1463" t="s">
        <v>142</v>
      </c>
      <c r="AC17" s="1463"/>
      <c r="AD17" s="1463" t="s">
        <v>142</v>
      </c>
      <c r="AE17" s="1463" t="s">
        <v>142</v>
      </c>
      <c r="AF17" s="1463" t="s">
        <v>142</v>
      </c>
      <c r="AG17" s="1463" t="s">
        <v>142</v>
      </c>
      <c r="AH17" s="1463" t="s">
        <v>142</v>
      </c>
      <c r="AI17" s="1467">
        <f t="shared" si="2"/>
        <v>27</v>
      </c>
      <c r="AJ17" s="1465"/>
      <c r="AK17" s="1465"/>
      <c r="AL17" s="1465"/>
      <c r="AM17" s="1465"/>
      <c r="AN17" s="1465"/>
      <c r="AO17" s="1465"/>
      <c r="AP17" s="1465"/>
      <c r="AQ17" s="1465"/>
      <c r="AR17" s="1465"/>
      <c r="AS17" s="1537">
        <f t="shared" si="3"/>
        <v>0</v>
      </c>
      <c r="AT17" s="1537">
        <f t="shared" si="4"/>
        <v>0</v>
      </c>
      <c r="AU17" s="1538">
        <f t="shared" si="1"/>
        <v>27</v>
      </c>
    </row>
    <row r="18" spans="1:47" ht="15.75" customHeight="1">
      <c r="A18" s="1465">
        <v>4</v>
      </c>
      <c r="B18" s="1466"/>
      <c r="C18" s="1465" t="s">
        <v>96</v>
      </c>
      <c r="D18" s="1463" t="str">
        <f>IF(WEEKDAY(DATE($C$11,$C$12,D$13),2)&gt;'[17]Khai báo'!$B$4,"","x")</f>
        <v>x</v>
      </c>
      <c r="E18" s="1463" t="str">
        <f>IF(WEEKDAY(DATE($C$11,$C$12,E$13),2)&gt;'[17]Khai báo'!$B$4,"","x")</f>
        <v>x</v>
      </c>
      <c r="F18" s="1466" t="str">
        <f>IF(WEEKDAY(DATE($C$11,$C$12,F$13),2)&gt;'[17]Khai báo'!$B$4,"","x")</f>
        <v>x</v>
      </c>
      <c r="G18" s="1463" t="str">
        <f>IF(WEEKDAY(DATE($C$11,$C$12,G$13),2)&gt;'[17]Khai báo'!$B$4,"","x")</f>
        <v>x</v>
      </c>
      <c r="H18" s="1463"/>
      <c r="I18" s="1463" t="str">
        <f>IF(WEEKDAY(DATE($C$11,$C$12,I$13),2)&gt;'[17]Khai báo'!$B$4,"","x")</f>
        <v>x</v>
      </c>
      <c r="J18" s="1463" t="str">
        <f>IF(WEEKDAY(DATE($C$11,$C$12,J$13),2)&gt;'[17]Khai báo'!$B$4,"","x")</f>
        <v>x</v>
      </c>
      <c r="K18" s="1463" t="str">
        <f>IF(WEEKDAY(DATE($C$11,$C$12,K$13),2)&gt;'[17]Khai báo'!$B$4,"","x")</f>
        <v>x</v>
      </c>
      <c r="L18" s="1463" t="str">
        <f>IF(WEEKDAY(DATE($C$11,$C$12,L$13),2)&gt;'[17]Khai báo'!$B$4,"","x")</f>
        <v>x</v>
      </c>
      <c r="M18" s="1463" t="str">
        <f>IF(WEEKDAY(DATE($C$11,$C$12,M$13),2)&gt;'[17]Khai báo'!$B$4,"","x")</f>
        <v>x</v>
      </c>
      <c r="N18" s="1463" t="str">
        <f>IF(WEEKDAY(DATE($C$11,$C$12,N$13),2)&gt;'[17]Khai báo'!$B$4,"","x")</f>
        <v>x</v>
      </c>
      <c r="O18" s="1463" t="str">
        <f>IF(WEEKDAY(DATE($C$11,$C$12,O$13),2)&gt;'[17]Khai báo'!$B$4,"","x")</f>
        <v/>
      </c>
      <c r="P18" s="1463" t="str">
        <f>IF(WEEKDAY(DATE($C$11,$C$12,P$13),2)&gt;'[17]Khai báo'!$B$4,"","x")</f>
        <v>x</v>
      </c>
      <c r="Q18" s="1463" t="str">
        <f>IF(WEEKDAY(DATE($C$11,$C$12,Q$13),2)&gt;'[17]Khai báo'!$B$4,"","x")</f>
        <v>x</v>
      </c>
      <c r="R18" s="1463" t="str">
        <f>IF(WEEKDAY(DATE($C$11,$C$12,R$13),2)&gt;'[17]Khai báo'!$B$4,"","x")</f>
        <v>x</v>
      </c>
      <c r="S18" s="1463" t="str">
        <f>IF(WEEKDAY(DATE($C$11,$C$12,S$13),2)&gt;'[17]Khai báo'!$B$4,"","x")</f>
        <v>x</v>
      </c>
      <c r="T18" s="1463" t="s">
        <v>142</v>
      </c>
      <c r="U18" s="1463" t="s">
        <v>142</v>
      </c>
      <c r="V18" s="1463"/>
      <c r="W18" s="1463" t="s">
        <v>142</v>
      </c>
      <c r="X18" s="1463" t="str">
        <f>IF(WEEKDAY(DATE($C$11,$C$12,X$13),2)&gt;'[17]Khai báo'!$B$4,"","x")</f>
        <v>x</v>
      </c>
      <c r="Y18" s="1463" t="str">
        <f>IF(WEEKDAY(DATE($C$11,$C$12,Y$13),2)&gt;'[17]Khai báo'!$B$4,"","x")</f>
        <v>x</v>
      </c>
      <c r="Z18" s="1463" t="s">
        <v>142</v>
      </c>
      <c r="AA18" s="1463" t="s">
        <v>142</v>
      </c>
      <c r="AB18" s="1463" t="s">
        <v>142</v>
      </c>
      <c r="AC18" s="1463" t="str">
        <f>IF(WEEKDAY(DATE($C$11,$C$12,AC$13),2)&gt;'[17]Khai báo'!$B$4,"","x")</f>
        <v/>
      </c>
      <c r="AD18" s="1463" t="s">
        <v>142</v>
      </c>
      <c r="AE18" s="1463" t="s">
        <v>142</v>
      </c>
      <c r="AF18" s="1463" t="s">
        <v>142</v>
      </c>
      <c r="AG18" s="1463" t="s">
        <v>142</v>
      </c>
      <c r="AH18" s="1463" t="s">
        <v>142</v>
      </c>
      <c r="AI18" s="1467">
        <f t="shared" si="2"/>
        <v>27</v>
      </c>
      <c r="AJ18" s="1465"/>
      <c r="AK18" s="1465"/>
      <c r="AL18" s="1465"/>
      <c r="AM18" s="1465"/>
      <c r="AN18" s="1465"/>
      <c r="AO18" s="1465"/>
      <c r="AP18" s="1465"/>
      <c r="AQ18" s="1465"/>
      <c r="AR18" s="1465"/>
      <c r="AS18" s="1537">
        <f t="shared" si="3"/>
        <v>0</v>
      </c>
      <c r="AT18" s="1537">
        <f t="shared" si="4"/>
        <v>0</v>
      </c>
      <c r="AU18" s="1538">
        <f t="shared" si="1"/>
        <v>27</v>
      </c>
    </row>
    <row r="19" spans="1:47" ht="15.75" customHeight="1">
      <c r="A19" s="1477">
        <v>5</v>
      </c>
      <c r="B19" s="1466"/>
      <c r="C19" s="1465" t="s">
        <v>1317</v>
      </c>
      <c r="D19" s="1463" t="s">
        <v>142</v>
      </c>
      <c r="E19" s="1463" t="s">
        <v>142</v>
      </c>
      <c r="F19" s="1466" t="s">
        <v>142</v>
      </c>
      <c r="G19" s="1463" t="s">
        <v>142</v>
      </c>
      <c r="H19" s="1463"/>
      <c r="I19" s="1463" t="s">
        <v>142</v>
      </c>
      <c r="J19" s="1463" t="str">
        <f>IF(WEEKDAY(DATE($C$11,$C$12,J$13),2)&gt;'[17]Khai báo'!$B$4,"","x")</f>
        <v>x</v>
      </c>
      <c r="K19" s="1463" t="str">
        <f>IF(WEEKDAY(DATE($C$11,$C$12,K$13),2)&gt;'[17]Khai báo'!$B$4,"","x")</f>
        <v>x</v>
      </c>
      <c r="L19" s="1463" t="str">
        <f>IF(WEEKDAY(DATE($C$11,$C$12,L$13),2)&gt;'[17]Khai báo'!$B$4,"","x")</f>
        <v>x</v>
      </c>
      <c r="M19" s="1463" t="str">
        <f>IF(WEEKDAY(DATE($C$11,$C$12,M$13),2)&gt;'[17]Khai báo'!$B$4,"","x")</f>
        <v>x</v>
      </c>
      <c r="N19" s="1463" t="str">
        <f>IF(WEEKDAY(DATE($C$11,$C$12,N$13),2)&gt;'[17]Khai báo'!$B$4,"","x")</f>
        <v>x</v>
      </c>
      <c r="O19" s="1463" t="str">
        <f>IF(WEEKDAY(DATE($C$11,$C$12,O$13),2)&gt;'[17]Khai báo'!$B$4,"","x")</f>
        <v/>
      </c>
      <c r="P19" s="1463" t="str">
        <f>IF(WEEKDAY(DATE($C$11,$C$12,P$13),2)&gt;'[17]Khai báo'!$B$4,"","x")</f>
        <v>x</v>
      </c>
      <c r="Q19" s="1463" t="str">
        <f>IF(WEEKDAY(DATE($C$11,$C$12,Q$13),2)&gt;'[17]Khai báo'!$B$4,"","x")</f>
        <v>x</v>
      </c>
      <c r="R19" s="1463" t="str">
        <f>IF(WEEKDAY(DATE($C$11,$C$12,R$13),2)&gt;'[17]Khai báo'!$B$4,"","x")</f>
        <v>x</v>
      </c>
      <c r="S19" s="1463" t="str">
        <f>IF(WEEKDAY(DATE($C$11,$C$12,S$13),2)&gt;'[17]Khai báo'!$B$4,"","x")</f>
        <v>x</v>
      </c>
      <c r="T19" s="1463" t="str">
        <f>IF(WEEKDAY(DATE($C$11,$C$12,T$13),2)&gt;'[17]Khai báo'!$B$4,"","x")</f>
        <v>x</v>
      </c>
      <c r="U19" s="1463" t="str">
        <f>IF(WEEKDAY(DATE($C$11,$C$12,U$13),2)&gt;'[17]Khai báo'!$B$4,"","x")</f>
        <v>x</v>
      </c>
      <c r="V19" s="1463"/>
      <c r="W19" s="1463" t="str">
        <f>IF(WEEKDAY(DATE($C$11,$C$12,W$13),2)&gt;'[17]Khai báo'!$B$4,"","x")</f>
        <v>x</v>
      </c>
      <c r="X19" s="1463" t="str">
        <f>IF(WEEKDAY(DATE($C$11,$C$12,X$13),2)&gt;'[17]Khai báo'!$B$4,"","x")</f>
        <v>x</v>
      </c>
      <c r="Y19" s="1463" t="str">
        <f>IF(WEEKDAY(DATE($C$11,$C$12,Y$13),2)&gt;'[17]Khai báo'!$B$4,"","x")</f>
        <v>x</v>
      </c>
      <c r="Z19" s="1463" t="s">
        <v>142</v>
      </c>
      <c r="AA19" s="1463" t="s">
        <v>142</v>
      </c>
      <c r="AB19" s="1463" t="s">
        <v>1769</v>
      </c>
      <c r="AC19" s="1463" t="s">
        <v>1769</v>
      </c>
      <c r="AD19" s="1463" t="s">
        <v>1769</v>
      </c>
      <c r="AE19" s="1463" t="s">
        <v>1769</v>
      </c>
      <c r="AF19" s="1463" t="s">
        <v>1769</v>
      </c>
      <c r="AG19" s="1463" t="s">
        <v>1769</v>
      </c>
      <c r="AH19" s="1463" t="s">
        <v>1769</v>
      </c>
      <c r="AI19" s="1467">
        <f t="shared" si="2"/>
        <v>21</v>
      </c>
      <c r="AJ19" s="1465"/>
      <c r="AK19" s="1465"/>
      <c r="AL19" s="1465"/>
      <c r="AM19" s="1465"/>
      <c r="AN19" s="1465"/>
      <c r="AO19" s="1465"/>
      <c r="AP19" s="1465"/>
      <c r="AQ19" s="1465"/>
      <c r="AR19" s="1465"/>
      <c r="AS19" s="1537">
        <f t="shared" si="3"/>
        <v>7</v>
      </c>
      <c r="AT19" s="1537">
        <f t="shared" si="4"/>
        <v>0</v>
      </c>
      <c r="AU19" s="1538">
        <f t="shared" si="1"/>
        <v>28</v>
      </c>
    </row>
    <row r="20" spans="1:47" ht="15.75" customHeight="1">
      <c r="A20" s="1465">
        <v>6</v>
      </c>
      <c r="B20" s="1476"/>
      <c r="C20" s="1475" t="s">
        <v>1318</v>
      </c>
      <c r="D20" s="1463" t="s">
        <v>142</v>
      </c>
      <c r="E20" s="1463" t="s">
        <v>142</v>
      </c>
      <c r="F20" s="1466" t="str">
        <f>IF(WEEKDAY(DATE($C$11,$C$12,F$13),2)&gt;'[17]Khai báo'!$B$4,"","x")</f>
        <v>x</v>
      </c>
      <c r="G20" s="1463" t="str">
        <f>IF(WEEKDAY(DATE($C$11,$C$12,G$13),2)&gt;'[17]Khai báo'!$B$4,"","x")</f>
        <v>x</v>
      </c>
      <c r="H20" s="1463" t="str">
        <f>IF(WEEKDAY(DATE($C$11,$C$12,H$13),2)&gt;'[17]Khai báo'!$B$4,"","x")</f>
        <v/>
      </c>
      <c r="I20" s="1463" t="str">
        <f>IF(WEEKDAY(DATE($C$11,$C$12,I$13),2)&gt;'[17]Khai báo'!$B$4,"","x")</f>
        <v>x</v>
      </c>
      <c r="J20" s="1463" t="str">
        <f>IF(WEEKDAY(DATE($C$11,$C$12,J$13),2)&gt;'[17]Khai báo'!$B$4,"","x")</f>
        <v>x</v>
      </c>
      <c r="K20" s="1463" t="str">
        <f>IF(WEEKDAY(DATE($C$11,$C$12,K$13),2)&gt;'[17]Khai báo'!$B$4,"","x")</f>
        <v>x</v>
      </c>
      <c r="L20" s="1463" t="s">
        <v>142</v>
      </c>
      <c r="M20" s="1463" t="s">
        <v>142</v>
      </c>
      <c r="N20" s="1463" t="str">
        <f>IF(WEEKDAY(DATE($C$11,$C$12,N$13),2)&gt;'[17]Khai báo'!$B$4,"","x")</f>
        <v>x</v>
      </c>
      <c r="O20" s="1463" t="str">
        <f>IF(WEEKDAY(DATE($C$11,$C$12,O$13),2)&gt;'[17]Khai báo'!$B$4,"","x")</f>
        <v/>
      </c>
      <c r="P20" s="1463" t="str">
        <f>IF(WEEKDAY(DATE($C$11,$C$12,P$13),2)&gt;'[17]Khai báo'!$B$4,"","x")</f>
        <v>x</v>
      </c>
      <c r="Q20" s="1463" t="str">
        <f>IF(WEEKDAY(DATE($C$11,$C$12,Q$13),2)&gt;'[17]Khai báo'!$B$4,"","x")</f>
        <v>x</v>
      </c>
      <c r="R20" s="1463" t="str">
        <f>IF(WEEKDAY(DATE($C$11,$C$12,R$13),2)&gt;'[17]Khai báo'!$B$4,"","x")</f>
        <v>x</v>
      </c>
      <c r="S20" s="1463" t="str">
        <f>IF(WEEKDAY(DATE($C$11,$C$12,S$13),2)&gt;'[17]Khai báo'!$B$4,"","x")</f>
        <v>x</v>
      </c>
      <c r="T20" s="1463" t="str">
        <f>IF(WEEKDAY(DATE($C$11,$C$12,T$13),2)&gt;'[17]Khai báo'!$B$4,"","x")</f>
        <v>x</v>
      </c>
      <c r="U20" s="1463" t="str">
        <f>IF(WEEKDAY(DATE($C$11,$C$12,U$13),2)&gt;'[17]Khai báo'!$B$4,"","x")</f>
        <v>x</v>
      </c>
      <c r="V20" s="1463" t="str">
        <f>IF(WEEKDAY(DATE($C$11,$C$12,V$13),2)&gt;'[17]Khai báo'!$B$4,"","x")</f>
        <v/>
      </c>
      <c r="W20" s="1463" t="str">
        <f>IF(WEEKDAY(DATE($C$11,$C$12,W$13),2)&gt;'[17]Khai báo'!$B$4,"","x")</f>
        <v>x</v>
      </c>
      <c r="X20" s="1463" t="s">
        <v>142</v>
      </c>
      <c r="Y20" s="1463" t="s">
        <v>142</v>
      </c>
      <c r="Z20" s="1463" t="str">
        <f>IF(WEEKDAY(DATE($C$11,$C$12,Z$13),2)&gt;'[17]Khai báo'!$B$4,"","x")</f>
        <v>x</v>
      </c>
      <c r="AA20" s="1463" t="str">
        <f>IF(WEEKDAY(DATE($C$11,$C$12,AA$13),2)&gt;'[17]Khai báo'!$B$4,"","x")</f>
        <v>x</v>
      </c>
      <c r="AB20" s="1463" t="s">
        <v>1769</v>
      </c>
      <c r="AC20" s="1463" t="s">
        <v>1769</v>
      </c>
      <c r="AD20" s="1463" t="s">
        <v>1769</v>
      </c>
      <c r="AE20" s="1463" t="s">
        <v>1769</v>
      </c>
      <c r="AF20" s="1463" t="s">
        <v>1769</v>
      </c>
      <c r="AG20" s="1463" t="s">
        <v>1769</v>
      </c>
      <c r="AH20" s="1463" t="s">
        <v>1769</v>
      </c>
      <c r="AI20" s="1467">
        <f t="shared" si="2"/>
        <v>21</v>
      </c>
      <c r="AJ20" s="1475"/>
      <c r="AK20" s="1475"/>
      <c r="AL20" s="1475"/>
      <c r="AM20" s="1475"/>
      <c r="AN20" s="1475"/>
      <c r="AO20" s="1475"/>
      <c r="AP20" s="1475"/>
      <c r="AQ20" s="1475"/>
      <c r="AR20" s="1475"/>
      <c r="AS20" s="1537">
        <f t="shared" si="3"/>
        <v>7</v>
      </c>
      <c r="AT20" s="1537">
        <f t="shared" si="4"/>
        <v>0</v>
      </c>
      <c r="AU20" s="1538">
        <f t="shared" si="1"/>
        <v>28</v>
      </c>
    </row>
    <row r="21" spans="1:47" ht="15.75" customHeight="1">
      <c r="A21" s="4140" t="s">
        <v>910</v>
      </c>
      <c r="B21" s="4140"/>
      <c r="C21" s="4140"/>
      <c r="D21" s="1469"/>
      <c r="E21" s="1469"/>
      <c r="F21" s="1469"/>
      <c r="G21" s="1469"/>
      <c r="H21" s="1469"/>
      <c r="I21" s="1469"/>
      <c r="J21" s="1469"/>
      <c r="K21" s="1469"/>
      <c r="L21" s="1469"/>
      <c r="M21" s="1469"/>
      <c r="N21" s="1469"/>
      <c r="O21" s="1469"/>
      <c r="P21" s="1469"/>
      <c r="Q21" s="1469"/>
      <c r="R21" s="1469"/>
      <c r="S21" s="1469"/>
      <c r="T21" s="1469"/>
      <c r="U21" s="1469"/>
      <c r="V21" s="1469"/>
      <c r="W21" s="1469"/>
      <c r="X21" s="1469"/>
      <c r="Y21" s="1469"/>
      <c r="Z21" s="1469"/>
      <c r="AA21" s="1469"/>
      <c r="AB21" s="1469"/>
      <c r="AC21" s="1469"/>
      <c r="AD21" s="1469"/>
      <c r="AE21" s="1469"/>
      <c r="AF21" s="1469"/>
      <c r="AG21" s="1469"/>
      <c r="AH21" s="1469"/>
      <c r="AI21" s="1469">
        <f>SUM(AI15:AI20)</f>
        <v>144</v>
      </c>
      <c r="AJ21" s="1469">
        <f t="shared" ref="AJ21:AU21" si="5">SUM(AJ15:AJ20)</f>
        <v>0</v>
      </c>
      <c r="AK21" s="1469">
        <f t="shared" si="5"/>
        <v>0</v>
      </c>
      <c r="AL21" s="1469">
        <f t="shared" si="5"/>
        <v>0</v>
      </c>
      <c r="AM21" s="1469">
        <f t="shared" si="5"/>
        <v>0</v>
      </c>
      <c r="AN21" s="1469">
        <f t="shared" si="5"/>
        <v>0</v>
      </c>
      <c r="AO21" s="1469">
        <f t="shared" si="5"/>
        <v>0</v>
      </c>
      <c r="AP21" s="1469">
        <f t="shared" si="5"/>
        <v>0</v>
      </c>
      <c r="AQ21" s="1469">
        <f t="shared" si="5"/>
        <v>0</v>
      </c>
      <c r="AR21" s="1469">
        <f t="shared" si="5"/>
        <v>0</v>
      </c>
      <c r="AS21" s="1469">
        <f t="shared" si="5"/>
        <v>21</v>
      </c>
      <c r="AT21" s="1469"/>
      <c r="AU21" s="1469">
        <f t="shared" si="5"/>
        <v>165</v>
      </c>
    </row>
    <row r="22" spans="1:47" ht="15.75" customHeight="1">
      <c r="A22" s="1474" t="s">
        <v>634</v>
      </c>
      <c r="AA22" s="2423"/>
      <c r="AB22" s="2423"/>
      <c r="AC22" s="2423"/>
      <c r="AD22" s="2423" t="s">
        <v>1770</v>
      </c>
      <c r="AF22" s="2423"/>
      <c r="AH22" s="2423"/>
      <c r="AI22" s="2423"/>
    </row>
    <row r="23" spans="1:47" ht="15.75" customHeight="1">
      <c r="A23" s="3534" t="s">
        <v>142</v>
      </c>
      <c r="B23" s="1459" t="s">
        <v>166</v>
      </c>
      <c r="C23" s="1459" t="s">
        <v>921</v>
      </c>
      <c r="G23" s="1470" t="s">
        <v>44</v>
      </c>
      <c r="M23" s="1470"/>
      <c r="N23" s="1470"/>
      <c r="O23" s="1470"/>
      <c r="P23" s="1470"/>
      <c r="Q23" s="1470"/>
      <c r="R23" s="1470"/>
      <c r="S23" s="1470"/>
      <c r="T23" s="1470"/>
      <c r="U23" s="1470"/>
      <c r="V23" s="1470"/>
      <c r="W23" s="1470"/>
      <c r="X23" s="1470"/>
      <c r="Y23" s="1470"/>
      <c r="Z23" s="1470"/>
      <c r="AA23" s="1470"/>
      <c r="AB23" s="1470"/>
      <c r="AC23" s="1470"/>
      <c r="AF23" s="1470" t="s">
        <v>615</v>
      </c>
      <c r="AG23" s="1470"/>
      <c r="AI23" s="1470"/>
    </row>
    <row r="24" spans="1:47" ht="15.75" customHeight="1">
      <c r="A24" s="3534" t="s">
        <v>1769</v>
      </c>
      <c r="B24" s="1472"/>
      <c r="C24" s="1459" t="s">
        <v>1771</v>
      </c>
    </row>
    <row r="25" spans="1:47" ht="15.75" customHeight="1">
      <c r="A25" s="3580" t="s">
        <v>1838</v>
      </c>
      <c r="C25" s="1459" t="s">
        <v>1839</v>
      </c>
      <c r="Z25" s="4147"/>
      <c r="AA25" s="4147"/>
      <c r="AB25" s="4147"/>
      <c r="AC25" s="4147"/>
      <c r="AD25" s="4147"/>
      <c r="AE25" s="4147"/>
      <c r="AF25" s="4147"/>
      <c r="AG25" s="4147"/>
      <c r="AH25" s="4147"/>
      <c r="AI25" s="4147"/>
    </row>
    <row r="26" spans="1:47" ht="15.75" customHeight="1">
      <c r="B26" s="3671"/>
      <c r="C26" s="3671"/>
      <c r="AA26" s="4137"/>
      <c r="AB26" s="4137"/>
      <c r="AC26" s="4137"/>
      <c r="AD26" s="4137"/>
      <c r="AE26" s="4137"/>
      <c r="AF26" s="4137"/>
      <c r="AG26" s="4137"/>
      <c r="AH26" s="4137"/>
      <c r="AI26" s="4137"/>
    </row>
    <row r="27" spans="1:47" s="1473" customFormat="1" ht="15.75" customHeight="1">
      <c r="K27" s="3671"/>
      <c r="L27" s="3671"/>
      <c r="M27" s="3671"/>
      <c r="N27" s="3671"/>
      <c r="O27" s="3671"/>
      <c r="P27" s="3671"/>
      <c r="Q27" s="3671"/>
      <c r="R27" s="3671"/>
      <c r="S27" s="3671"/>
      <c r="T27" s="3671"/>
      <c r="AC27" s="3671"/>
      <c r="AD27" s="3671"/>
      <c r="AE27" s="3671"/>
      <c r="AF27" s="3671"/>
      <c r="AG27" s="3671"/>
      <c r="AH27" s="3671"/>
      <c r="AI27" s="3671"/>
    </row>
    <row r="28" spans="1:47" ht="15.75" customHeight="1">
      <c r="B28" s="4138"/>
      <c r="C28" s="4137"/>
      <c r="K28" s="4138"/>
      <c r="L28" s="4138"/>
      <c r="M28" s="4138"/>
      <c r="N28" s="4138"/>
      <c r="O28" s="4138"/>
      <c r="P28" s="4138"/>
      <c r="Q28" s="4138"/>
      <c r="R28" s="4138"/>
      <c r="S28" s="4138"/>
      <c r="T28" s="4138"/>
      <c r="AC28" s="4138"/>
      <c r="AD28" s="4138"/>
      <c r="AE28" s="4138"/>
      <c r="AF28" s="4138"/>
      <c r="AG28" s="4138"/>
      <c r="AH28" s="4138"/>
      <c r="AI28" s="4138"/>
    </row>
  </sheetData>
  <mergeCells count="26">
    <mergeCell ref="A5:O5"/>
    <mergeCell ref="A6:O6"/>
    <mergeCell ref="A1:AU1"/>
    <mergeCell ref="A2:AU2"/>
    <mergeCell ref="A3:AU3"/>
    <mergeCell ref="Z25:AI25"/>
    <mergeCell ref="W7:AI7"/>
    <mergeCell ref="A8:F8"/>
    <mergeCell ref="W8:AI8"/>
    <mergeCell ref="D10:AH10"/>
    <mergeCell ref="D11:AH11"/>
    <mergeCell ref="AU13:AU14"/>
    <mergeCell ref="A21:C21"/>
    <mergeCell ref="A13:A14"/>
    <mergeCell ref="B13:B14"/>
    <mergeCell ref="C13:C14"/>
    <mergeCell ref="AI13:AI14"/>
    <mergeCell ref="AS13:AS14"/>
    <mergeCell ref="AT13:AT14"/>
    <mergeCell ref="B26:C26"/>
    <mergeCell ref="AA26:AI26"/>
    <mergeCell ref="K27:T27"/>
    <mergeCell ref="AC27:AI27"/>
    <mergeCell ref="B28:C28"/>
    <mergeCell ref="K28:T28"/>
    <mergeCell ref="AC28:AI28"/>
  </mergeCells>
  <conditionalFormatting sqref="AL7:AR8">
    <cfRule type="expression" dxfId="1" priority="1" stopIfTrue="1">
      <formula>#REF!=""</formula>
    </cfRule>
  </conditionalFormatting>
  <pageMargins left="0.62992125984251968" right="0.62992125984251968" top="0.39370078740157483" bottom="0.39370078740157483" header="0.39370078740157483" footer="0.39370078740157483"/>
  <pageSetup paperSize="9" scale="85" orientation="landscape" r:id="rId1"/>
  <colBreaks count="1" manualBreakCount="1">
    <brk id="48" max="1048575" man="1"/>
  </colBreaks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AT26"/>
  <sheetViews>
    <sheetView workbookViewId="0">
      <selection activeCell="O24" sqref="O24"/>
    </sheetView>
  </sheetViews>
  <sheetFormatPr defaultRowHeight="15"/>
  <cols>
    <col min="1" max="1" width="3.875" style="1459" customWidth="1"/>
    <col min="2" max="2" width="2.5" style="1459" hidden="1" customWidth="1"/>
    <col min="3" max="3" width="17.75" style="1459" customWidth="1"/>
    <col min="4" max="4" width="3.125" style="1459" customWidth="1"/>
    <col min="5" max="10" width="3.375" style="1459" customWidth="1"/>
    <col min="11" max="11" width="2.75" style="1459" customWidth="1"/>
    <col min="12" max="17" width="3.375" style="1459" customWidth="1"/>
    <col min="18" max="18" width="2.625" style="1459" customWidth="1"/>
    <col min="19" max="24" width="3.375" style="1459" customWidth="1"/>
    <col min="25" max="25" width="2.875" style="1459" customWidth="1"/>
    <col min="26" max="31" width="3.375" style="1459" customWidth="1"/>
    <col min="32" max="32" width="2.875" style="1459" customWidth="1"/>
    <col min="33" max="33" width="3.375" style="1459" customWidth="1"/>
    <col min="34" max="34" width="3.25" style="1459" customWidth="1"/>
    <col min="35" max="35" width="5.625" style="1459" customWidth="1"/>
    <col min="36" max="42" width="0" style="1459" hidden="1" customWidth="1"/>
    <col min="43" max="43" width="6.875" style="1459" hidden="1" customWidth="1"/>
    <col min="44" max="44" width="3.125" style="1459" hidden="1" customWidth="1"/>
    <col min="45" max="45" width="5.625" style="1459" customWidth="1"/>
    <col min="46" max="46" width="5.375" style="1459" customWidth="1"/>
    <col min="47" max="256" width="9" style="1459"/>
    <col min="257" max="257" width="9" style="1459" customWidth="1"/>
    <col min="258" max="258" width="24" style="1459" customWidth="1"/>
    <col min="259" max="289" width="4.25" style="1459" customWidth="1"/>
    <col min="290" max="290" width="9.25" style="1459" customWidth="1"/>
    <col min="291" max="300" width="0" style="1459" hidden="1" customWidth="1"/>
    <col min="301" max="512" width="9" style="1459"/>
    <col min="513" max="513" width="9" style="1459" customWidth="1"/>
    <col min="514" max="514" width="24" style="1459" customWidth="1"/>
    <col min="515" max="545" width="4.25" style="1459" customWidth="1"/>
    <col min="546" max="546" width="9.25" style="1459" customWidth="1"/>
    <col min="547" max="556" width="0" style="1459" hidden="1" customWidth="1"/>
    <col min="557" max="768" width="9" style="1459"/>
    <col min="769" max="769" width="9" style="1459" customWidth="1"/>
    <col min="770" max="770" width="24" style="1459" customWidth="1"/>
    <col min="771" max="801" width="4.25" style="1459" customWidth="1"/>
    <col min="802" max="802" width="9.25" style="1459" customWidth="1"/>
    <col min="803" max="812" width="0" style="1459" hidden="1" customWidth="1"/>
    <col min="813" max="1024" width="9" style="1459"/>
    <col min="1025" max="1025" width="9" style="1459" customWidth="1"/>
    <col min="1026" max="1026" width="24" style="1459" customWidth="1"/>
    <col min="1027" max="1057" width="4.25" style="1459" customWidth="1"/>
    <col min="1058" max="1058" width="9.25" style="1459" customWidth="1"/>
    <col min="1059" max="1068" width="0" style="1459" hidden="1" customWidth="1"/>
    <col min="1069" max="1280" width="9" style="1459"/>
    <col min="1281" max="1281" width="9" style="1459" customWidth="1"/>
    <col min="1282" max="1282" width="24" style="1459" customWidth="1"/>
    <col min="1283" max="1313" width="4.25" style="1459" customWidth="1"/>
    <col min="1314" max="1314" width="9.25" style="1459" customWidth="1"/>
    <col min="1315" max="1324" width="0" style="1459" hidden="1" customWidth="1"/>
    <col min="1325" max="1536" width="9" style="1459"/>
    <col min="1537" max="1537" width="9" style="1459" customWidth="1"/>
    <col min="1538" max="1538" width="24" style="1459" customWidth="1"/>
    <col min="1539" max="1569" width="4.25" style="1459" customWidth="1"/>
    <col min="1570" max="1570" width="9.25" style="1459" customWidth="1"/>
    <col min="1571" max="1580" width="0" style="1459" hidden="1" customWidth="1"/>
    <col min="1581" max="1792" width="9" style="1459"/>
    <col min="1793" max="1793" width="9" style="1459" customWidth="1"/>
    <col min="1794" max="1794" width="24" style="1459" customWidth="1"/>
    <col min="1795" max="1825" width="4.25" style="1459" customWidth="1"/>
    <col min="1826" max="1826" width="9.25" style="1459" customWidth="1"/>
    <col min="1827" max="1836" width="0" style="1459" hidden="1" customWidth="1"/>
    <col min="1837" max="2048" width="9" style="1459"/>
    <col min="2049" max="2049" width="9" style="1459" customWidth="1"/>
    <col min="2050" max="2050" width="24" style="1459" customWidth="1"/>
    <col min="2051" max="2081" width="4.25" style="1459" customWidth="1"/>
    <col min="2082" max="2082" width="9.25" style="1459" customWidth="1"/>
    <col min="2083" max="2092" width="0" style="1459" hidden="1" customWidth="1"/>
    <col min="2093" max="2304" width="9" style="1459"/>
    <col min="2305" max="2305" width="9" style="1459" customWidth="1"/>
    <col min="2306" max="2306" width="24" style="1459" customWidth="1"/>
    <col min="2307" max="2337" width="4.25" style="1459" customWidth="1"/>
    <col min="2338" max="2338" width="9.25" style="1459" customWidth="1"/>
    <col min="2339" max="2348" width="0" style="1459" hidden="1" customWidth="1"/>
    <col min="2349" max="2560" width="9" style="1459"/>
    <col min="2561" max="2561" width="9" style="1459" customWidth="1"/>
    <col min="2562" max="2562" width="24" style="1459" customWidth="1"/>
    <col min="2563" max="2593" width="4.25" style="1459" customWidth="1"/>
    <col min="2594" max="2594" width="9.25" style="1459" customWidth="1"/>
    <col min="2595" max="2604" width="0" style="1459" hidden="1" customWidth="1"/>
    <col min="2605" max="2816" width="9" style="1459"/>
    <col min="2817" max="2817" width="9" style="1459" customWidth="1"/>
    <col min="2818" max="2818" width="24" style="1459" customWidth="1"/>
    <col min="2819" max="2849" width="4.25" style="1459" customWidth="1"/>
    <col min="2850" max="2850" width="9.25" style="1459" customWidth="1"/>
    <col min="2851" max="2860" width="0" style="1459" hidden="1" customWidth="1"/>
    <col min="2861" max="3072" width="9" style="1459"/>
    <col min="3073" max="3073" width="9" style="1459" customWidth="1"/>
    <col min="3074" max="3074" width="24" style="1459" customWidth="1"/>
    <col min="3075" max="3105" width="4.25" style="1459" customWidth="1"/>
    <col min="3106" max="3106" width="9.25" style="1459" customWidth="1"/>
    <col min="3107" max="3116" width="0" style="1459" hidden="1" customWidth="1"/>
    <col min="3117" max="3328" width="9" style="1459"/>
    <col min="3329" max="3329" width="9" style="1459" customWidth="1"/>
    <col min="3330" max="3330" width="24" style="1459" customWidth="1"/>
    <col min="3331" max="3361" width="4.25" style="1459" customWidth="1"/>
    <col min="3362" max="3362" width="9.25" style="1459" customWidth="1"/>
    <col min="3363" max="3372" width="0" style="1459" hidden="1" customWidth="1"/>
    <col min="3373" max="3584" width="9" style="1459"/>
    <col min="3585" max="3585" width="9" style="1459" customWidth="1"/>
    <col min="3586" max="3586" width="24" style="1459" customWidth="1"/>
    <col min="3587" max="3617" width="4.25" style="1459" customWidth="1"/>
    <col min="3618" max="3618" width="9.25" style="1459" customWidth="1"/>
    <col min="3619" max="3628" width="0" style="1459" hidden="1" customWidth="1"/>
    <col min="3629" max="3840" width="9" style="1459"/>
    <col min="3841" max="3841" width="9" style="1459" customWidth="1"/>
    <col min="3842" max="3842" width="24" style="1459" customWidth="1"/>
    <col min="3843" max="3873" width="4.25" style="1459" customWidth="1"/>
    <col min="3874" max="3874" width="9.25" style="1459" customWidth="1"/>
    <col min="3875" max="3884" width="0" style="1459" hidden="1" customWidth="1"/>
    <col min="3885" max="4096" width="9" style="1459"/>
    <col min="4097" max="4097" width="9" style="1459" customWidth="1"/>
    <col min="4098" max="4098" width="24" style="1459" customWidth="1"/>
    <col min="4099" max="4129" width="4.25" style="1459" customWidth="1"/>
    <col min="4130" max="4130" width="9.25" style="1459" customWidth="1"/>
    <col min="4131" max="4140" width="0" style="1459" hidden="1" customWidth="1"/>
    <col min="4141" max="4352" width="9" style="1459"/>
    <col min="4353" max="4353" width="9" style="1459" customWidth="1"/>
    <col min="4354" max="4354" width="24" style="1459" customWidth="1"/>
    <col min="4355" max="4385" width="4.25" style="1459" customWidth="1"/>
    <col min="4386" max="4386" width="9.25" style="1459" customWidth="1"/>
    <col min="4387" max="4396" width="0" style="1459" hidden="1" customWidth="1"/>
    <col min="4397" max="4608" width="9" style="1459"/>
    <col min="4609" max="4609" width="9" style="1459" customWidth="1"/>
    <col min="4610" max="4610" width="24" style="1459" customWidth="1"/>
    <col min="4611" max="4641" width="4.25" style="1459" customWidth="1"/>
    <col min="4642" max="4642" width="9.25" style="1459" customWidth="1"/>
    <col min="4643" max="4652" width="0" style="1459" hidden="1" customWidth="1"/>
    <col min="4653" max="4864" width="9" style="1459"/>
    <col min="4865" max="4865" width="9" style="1459" customWidth="1"/>
    <col min="4866" max="4866" width="24" style="1459" customWidth="1"/>
    <col min="4867" max="4897" width="4.25" style="1459" customWidth="1"/>
    <col min="4898" max="4898" width="9.25" style="1459" customWidth="1"/>
    <col min="4899" max="4908" width="0" style="1459" hidden="1" customWidth="1"/>
    <col min="4909" max="5120" width="9" style="1459"/>
    <col min="5121" max="5121" width="9" style="1459" customWidth="1"/>
    <col min="5122" max="5122" width="24" style="1459" customWidth="1"/>
    <col min="5123" max="5153" width="4.25" style="1459" customWidth="1"/>
    <col min="5154" max="5154" width="9.25" style="1459" customWidth="1"/>
    <col min="5155" max="5164" width="0" style="1459" hidden="1" customWidth="1"/>
    <col min="5165" max="5376" width="9" style="1459"/>
    <col min="5377" max="5377" width="9" style="1459" customWidth="1"/>
    <col min="5378" max="5378" width="24" style="1459" customWidth="1"/>
    <col min="5379" max="5409" width="4.25" style="1459" customWidth="1"/>
    <col min="5410" max="5410" width="9.25" style="1459" customWidth="1"/>
    <col min="5411" max="5420" width="0" style="1459" hidden="1" customWidth="1"/>
    <col min="5421" max="5632" width="9" style="1459"/>
    <col min="5633" max="5633" width="9" style="1459" customWidth="1"/>
    <col min="5634" max="5634" width="24" style="1459" customWidth="1"/>
    <col min="5635" max="5665" width="4.25" style="1459" customWidth="1"/>
    <col min="5666" max="5666" width="9.25" style="1459" customWidth="1"/>
    <col min="5667" max="5676" width="0" style="1459" hidden="1" customWidth="1"/>
    <col min="5677" max="5888" width="9" style="1459"/>
    <col min="5889" max="5889" width="9" style="1459" customWidth="1"/>
    <col min="5890" max="5890" width="24" style="1459" customWidth="1"/>
    <col min="5891" max="5921" width="4.25" style="1459" customWidth="1"/>
    <col min="5922" max="5922" width="9.25" style="1459" customWidth="1"/>
    <col min="5923" max="5932" width="0" style="1459" hidden="1" customWidth="1"/>
    <col min="5933" max="6144" width="9" style="1459"/>
    <col min="6145" max="6145" width="9" style="1459" customWidth="1"/>
    <col min="6146" max="6146" width="24" style="1459" customWidth="1"/>
    <col min="6147" max="6177" width="4.25" style="1459" customWidth="1"/>
    <col min="6178" max="6178" width="9.25" style="1459" customWidth="1"/>
    <col min="6179" max="6188" width="0" style="1459" hidden="1" customWidth="1"/>
    <col min="6189" max="6400" width="9" style="1459"/>
    <col min="6401" max="6401" width="9" style="1459" customWidth="1"/>
    <col min="6402" max="6402" width="24" style="1459" customWidth="1"/>
    <col min="6403" max="6433" width="4.25" style="1459" customWidth="1"/>
    <col min="6434" max="6434" width="9.25" style="1459" customWidth="1"/>
    <col min="6435" max="6444" width="0" style="1459" hidden="1" customWidth="1"/>
    <col min="6445" max="6656" width="9" style="1459"/>
    <col min="6657" max="6657" width="9" style="1459" customWidth="1"/>
    <col min="6658" max="6658" width="24" style="1459" customWidth="1"/>
    <col min="6659" max="6689" width="4.25" style="1459" customWidth="1"/>
    <col min="6690" max="6690" width="9.25" style="1459" customWidth="1"/>
    <col min="6691" max="6700" width="0" style="1459" hidden="1" customWidth="1"/>
    <col min="6701" max="6912" width="9" style="1459"/>
    <col min="6913" max="6913" width="9" style="1459" customWidth="1"/>
    <col min="6914" max="6914" width="24" style="1459" customWidth="1"/>
    <col min="6915" max="6945" width="4.25" style="1459" customWidth="1"/>
    <col min="6946" max="6946" width="9.25" style="1459" customWidth="1"/>
    <col min="6947" max="6956" width="0" style="1459" hidden="1" customWidth="1"/>
    <col min="6957" max="7168" width="9" style="1459"/>
    <col min="7169" max="7169" width="9" style="1459" customWidth="1"/>
    <col min="7170" max="7170" width="24" style="1459" customWidth="1"/>
    <col min="7171" max="7201" width="4.25" style="1459" customWidth="1"/>
    <col min="7202" max="7202" width="9.25" style="1459" customWidth="1"/>
    <col min="7203" max="7212" width="0" style="1459" hidden="1" customWidth="1"/>
    <col min="7213" max="7424" width="9" style="1459"/>
    <col min="7425" max="7425" width="9" style="1459" customWidth="1"/>
    <col min="7426" max="7426" width="24" style="1459" customWidth="1"/>
    <col min="7427" max="7457" width="4.25" style="1459" customWidth="1"/>
    <col min="7458" max="7458" width="9.25" style="1459" customWidth="1"/>
    <col min="7459" max="7468" width="0" style="1459" hidden="1" customWidth="1"/>
    <col min="7469" max="7680" width="9" style="1459"/>
    <col min="7681" max="7681" width="9" style="1459" customWidth="1"/>
    <col min="7682" max="7682" width="24" style="1459" customWidth="1"/>
    <col min="7683" max="7713" width="4.25" style="1459" customWidth="1"/>
    <col min="7714" max="7714" width="9.25" style="1459" customWidth="1"/>
    <col min="7715" max="7724" width="0" style="1459" hidden="1" customWidth="1"/>
    <col min="7725" max="7936" width="9" style="1459"/>
    <col min="7937" max="7937" width="9" style="1459" customWidth="1"/>
    <col min="7938" max="7938" width="24" style="1459" customWidth="1"/>
    <col min="7939" max="7969" width="4.25" style="1459" customWidth="1"/>
    <col min="7970" max="7970" width="9.25" style="1459" customWidth="1"/>
    <col min="7971" max="7980" width="0" style="1459" hidden="1" customWidth="1"/>
    <col min="7981" max="8192" width="9" style="1459"/>
    <col min="8193" max="8193" width="9" style="1459" customWidth="1"/>
    <col min="8194" max="8194" width="24" style="1459" customWidth="1"/>
    <col min="8195" max="8225" width="4.25" style="1459" customWidth="1"/>
    <col min="8226" max="8226" width="9.25" style="1459" customWidth="1"/>
    <col min="8227" max="8236" width="0" style="1459" hidden="1" customWidth="1"/>
    <col min="8237" max="8448" width="9" style="1459"/>
    <col min="8449" max="8449" width="9" style="1459" customWidth="1"/>
    <col min="8450" max="8450" width="24" style="1459" customWidth="1"/>
    <col min="8451" max="8481" width="4.25" style="1459" customWidth="1"/>
    <col min="8482" max="8482" width="9.25" style="1459" customWidth="1"/>
    <col min="8483" max="8492" width="0" style="1459" hidden="1" customWidth="1"/>
    <col min="8493" max="8704" width="9" style="1459"/>
    <col min="8705" max="8705" width="9" style="1459" customWidth="1"/>
    <col min="8706" max="8706" width="24" style="1459" customWidth="1"/>
    <col min="8707" max="8737" width="4.25" style="1459" customWidth="1"/>
    <col min="8738" max="8738" width="9.25" style="1459" customWidth="1"/>
    <col min="8739" max="8748" width="0" style="1459" hidden="1" customWidth="1"/>
    <col min="8749" max="8960" width="9" style="1459"/>
    <col min="8961" max="8961" width="9" style="1459" customWidth="1"/>
    <col min="8962" max="8962" width="24" style="1459" customWidth="1"/>
    <col min="8963" max="8993" width="4.25" style="1459" customWidth="1"/>
    <col min="8994" max="8994" width="9.25" style="1459" customWidth="1"/>
    <col min="8995" max="9004" width="0" style="1459" hidden="1" customWidth="1"/>
    <col min="9005" max="9216" width="9" style="1459"/>
    <col min="9217" max="9217" width="9" style="1459" customWidth="1"/>
    <col min="9218" max="9218" width="24" style="1459" customWidth="1"/>
    <col min="9219" max="9249" width="4.25" style="1459" customWidth="1"/>
    <col min="9250" max="9250" width="9.25" style="1459" customWidth="1"/>
    <col min="9251" max="9260" width="0" style="1459" hidden="1" customWidth="1"/>
    <col min="9261" max="9472" width="9" style="1459"/>
    <col min="9473" max="9473" width="9" style="1459" customWidth="1"/>
    <col min="9474" max="9474" width="24" style="1459" customWidth="1"/>
    <col min="9475" max="9505" width="4.25" style="1459" customWidth="1"/>
    <col min="9506" max="9506" width="9.25" style="1459" customWidth="1"/>
    <col min="9507" max="9516" width="0" style="1459" hidden="1" customWidth="1"/>
    <col min="9517" max="9728" width="9" style="1459"/>
    <col min="9729" max="9729" width="9" style="1459" customWidth="1"/>
    <col min="9730" max="9730" width="24" style="1459" customWidth="1"/>
    <col min="9731" max="9761" width="4.25" style="1459" customWidth="1"/>
    <col min="9762" max="9762" width="9.25" style="1459" customWidth="1"/>
    <col min="9763" max="9772" width="0" style="1459" hidden="1" customWidth="1"/>
    <col min="9773" max="9984" width="9" style="1459"/>
    <col min="9985" max="9985" width="9" style="1459" customWidth="1"/>
    <col min="9986" max="9986" width="24" style="1459" customWidth="1"/>
    <col min="9987" max="10017" width="4.25" style="1459" customWidth="1"/>
    <col min="10018" max="10018" width="9.25" style="1459" customWidth="1"/>
    <col min="10019" max="10028" width="0" style="1459" hidden="1" customWidth="1"/>
    <col min="10029" max="10240" width="9" style="1459"/>
    <col min="10241" max="10241" width="9" style="1459" customWidth="1"/>
    <col min="10242" max="10242" width="24" style="1459" customWidth="1"/>
    <col min="10243" max="10273" width="4.25" style="1459" customWidth="1"/>
    <col min="10274" max="10274" width="9.25" style="1459" customWidth="1"/>
    <col min="10275" max="10284" width="0" style="1459" hidden="1" customWidth="1"/>
    <col min="10285" max="10496" width="9" style="1459"/>
    <col min="10497" max="10497" width="9" style="1459" customWidth="1"/>
    <col min="10498" max="10498" width="24" style="1459" customWidth="1"/>
    <col min="10499" max="10529" width="4.25" style="1459" customWidth="1"/>
    <col min="10530" max="10530" width="9.25" style="1459" customWidth="1"/>
    <col min="10531" max="10540" width="0" style="1459" hidden="1" customWidth="1"/>
    <col min="10541" max="10752" width="9" style="1459"/>
    <col min="10753" max="10753" width="9" style="1459" customWidth="1"/>
    <col min="10754" max="10754" width="24" style="1459" customWidth="1"/>
    <col min="10755" max="10785" width="4.25" style="1459" customWidth="1"/>
    <col min="10786" max="10786" width="9.25" style="1459" customWidth="1"/>
    <col min="10787" max="10796" width="0" style="1459" hidden="1" customWidth="1"/>
    <col min="10797" max="11008" width="9" style="1459"/>
    <col min="11009" max="11009" width="9" style="1459" customWidth="1"/>
    <col min="11010" max="11010" width="24" style="1459" customWidth="1"/>
    <col min="11011" max="11041" width="4.25" style="1459" customWidth="1"/>
    <col min="11042" max="11042" width="9.25" style="1459" customWidth="1"/>
    <col min="11043" max="11052" width="0" style="1459" hidden="1" customWidth="1"/>
    <col min="11053" max="11264" width="9" style="1459"/>
    <col min="11265" max="11265" width="9" style="1459" customWidth="1"/>
    <col min="11266" max="11266" width="24" style="1459" customWidth="1"/>
    <col min="11267" max="11297" width="4.25" style="1459" customWidth="1"/>
    <col min="11298" max="11298" width="9.25" style="1459" customWidth="1"/>
    <col min="11299" max="11308" width="0" style="1459" hidden="1" customWidth="1"/>
    <col min="11309" max="11520" width="9" style="1459"/>
    <col min="11521" max="11521" width="9" style="1459" customWidth="1"/>
    <col min="11522" max="11522" width="24" style="1459" customWidth="1"/>
    <col min="11523" max="11553" width="4.25" style="1459" customWidth="1"/>
    <col min="11554" max="11554" width="9.25" style="1459" customWidth="1"/>
    <col min="11555" max="11564" width="0" style="1459" hidden="1" customWidth="1"/>
    <col min="11565" max="11776" width="9" style="1459"/>
    <col min="11777" max="11777" width="9" style="1459" customWidth="1"/>
    <col min="11778" max="11778" width="24" style="1459" customWidth="1"/>
    <col min="11779" max="11809" width="4.25" style="1459" customWidth="1"/>
    <col min="11810" max="11810" width="9.25" style="1459" customWidth="1"/>
    <col min="11811" max="11820" width="0" style="1459" hidden="1" customWidth="1"/>
    <col min="11821" max="12032" width="9" style="1459"/>
    <col min="12033" max="12033" width="9" style="1459" customWidth="1"/>
    <col min="12034" max="12034" width="24" style="1459" customWidth="1"/>
    <col min="12035" max="12065" width="4.25" style="1459" customWidth="1"/>
    <col min="12066" max="12066" width="9.25" style="1459" customWidth="1"/>
    <col min="12067" max="12076" width="0" style="1459" hidden="1" customWidth="1"/>
    <col min="12077" max="12288" width="9" style="1459"/>
    <col min="12289" max="12289" width="9" style="1459" customWidth="1"/>
    <col min="12290" max="12290" width="24" style="1459" customWidth="1"/>
    <col min="12291" max="12321" width="4.25" style="1459" customWidth="1"/>
    <col min="12322" max="12322" width="9.25" style="1459" customWidth="1"/>
    <col min="12323" max="12332" width="0" style="1459" hidden="1" customWidth="1"/>
    <col min="12333" max="12544" width="9" style="1459"/>
    <col min="12545" max="12545" width="9" style="1459" customWidth="1"/>
    <col min="12546" max="12546" width="24" style="1459" customWidth="1"/>
    <col min="12547" max="12577" width="4.25" style="1459" customWidth="1"/>
    <col min="12578" max="12578" width="9.25" style="1459" customWidth="1"/>
    <col min="12579" max="12588" width="0" style="1459" hidden="1" customWidth="1"/>
    <col min="12589" max="12800" width="9" style="1459"/>
    <col min="12801" max="12801" width="9" style="1459" customWidth="1"/>
    <col min="12802" max="12802" width="24" style="1459" customWidth="1"/>
    <col min="12803" max="12833" width="4.25" style="1459" customWidth="1"/>
    <col min="12834" max="12834" width="9.25" style="1459" customWidth="1"/>
    <col min="12835" max="12844" width="0" style="1459" hidden="1" customWidth="1"/>
    <col min="12845" max="13056" width="9" style="1459"/>
    <col min="13057" max="13057" width="9" style="1459" customWidth="1"/>
    <col min="13058" max="13058" width="24" style="1459" customWidth="1"/>
    <col min="13059" max="13089" width="4.25" style="1459" customWidth="1"/>
    <col min="13090" max="13090" width="9.25" style="1459" customWidth="1"/>
    <col min="13091" max="13100" width="0" style="1459" hidden="1" customWidth="1"/>
    <col min="13101" max="13312" width="9" style="1459"/>
    <col min="13313" max="13313" width="9" style="1459" customWidth="1"/>
    <col min="13314" max="13314" width="24" style="1459" customWidth="1"/>
    <col min="13315" max="13345" width="4.25" style="1459" customWidth="1"/>
    <col min="13346" max="13346" width="9.25" style="1459" customWidth="1"/>
    <col min="13347" max="13356" width="0" style="1459" hidden="1" customWidth="1"/>
    <col min="13357" max="13568" width="9" style="1459"/>
    <col min="13569" max="13569" width="9" style="1459" customWidth="1"/>
    <col min="13570" max="13570" width="24" style="1459" customWidth="1"/>
    <col min="13571" max="13601" width="4.25" style="1459" customWidth="1"/>
    <col min="13602" max="13602" width="9.25" style="1459" customWidth="1"/>
    <col min="13603" max="13612" width="0" style="1459" hidden="1" customWidth="1"/>
    <col min="13613" max="13824" width="9" style="1459"/>
    <col min="13825" max="13825" width="9" style="1459" customWidth="1"/>
    <col min="13826" max="13826" width="24" style="1459" customWidth="1"/>
    <col min="13827" max="13857" width="4.25" style="1459" customWidth="1"/>
    <col min="13858" max="13858" width="9.25" style="1459" customWidth="1"/>
    <col min="13859" max="13868" width="0" style="1459" hidden="1" customWidth="1"/>
    <col min="13869" max="14080" width="9" style="1459"/>
    <col min="14081" max="14081" width="9" style="1459" customWidth="1"/>
    <col min="14082" max="14082" width="24" style="1459" customWidth="1"/>
    <col min="14083" max="14113" width="4.25" style="1459" customWidth="1"/>
    <col min="14114" max="14114" width="9.25" style="1459" customWidth="1"/>
    <col min="14115" max="14124" width="0" style="1459" hidden="1" customWidth="1"/>
    <col min="14125" max="14336" width="9" style="1459"/>
    <col min="14337" max="14337" width="9" style="1459" customWidth="1"/>
    <col min="14338" max="14338" width="24" style="1459" customWidth="1"/>
    <col min="14339" max="14369" width="4.25" style="1459" customWidth="1"/>
    <col min="14370" max="14370" width="9.25" style="1459" customWidth="1"/>
    <col min="14371" max="14380" width="0" style="1459" hidden="1" customWidth="1"/>
    <col min="14381" max="14592" width="9" style="1459"/>
    <col min="14593" max="14593" width="9" style="1459" customWidth="1"/>
    <col min="14594" max="14594" width="24" style="1459" customWidth="1"/>
    <col min="14595" max="14625" width="4.25" style="1459" customWidth="1"/>
    <col min="14626" max="14626" width="9.25" style="1459" customWidth="1"/>
    <col min="14627" max="14636" width="0" style="1459" hidden="1" customWidth="1"/>
    <col min="14637" max="14848" width="9" style="1459"/>
    <col min="14849" max="14849" width="9" style="1459" customWidth="1"/>
    <col min="14850" max="14850" width="24" style="1459" customWidth="1"/>
    <col min="14851" max="14881" width="4.25" style="1459" customWidth="1"/>
    <col min="14882" max="14882" width="9.25" style="1459" customWidth="1"/>
    <col min="14883" max="14892" width="0" style="1459" hidden="1" customWidth="1"/>
    <col min="14893" max="15104" width="9" style="1459"/>
    <col min="15105" max="15105" width="9" style="1459" customWidth="1"/>
    <col min="15106" max="15106" width="24" style="1459" customWidth="1"/>
    <col min="15107" max="15137" width="4.25" style="1459" customWidth="1"/>
    <col min="15138" max="15138" width="9.25" style="1459" customWidth="1"/>
    <col min="15139" max="15148" width="0" style="1459" hidden="1" customWidth="1"/>
    <col min="15149" max="15360" width="9" style="1459"/>
    <col min="15361" max="15361" width="9" style="1459" customWidth="1"/>
    <col min="15362" max="15362" width="24" style="1459" customWidth="1"/>
    <col min="15363" max="15393" width="4.25" style="1459" customWidth="1"/>
    <col min="15394" max="15394" width="9.25" style="1459" customWidth="1"/>
    <col min="15395" max="15404" width="0" style="1459" hidden="1" customWidth="1"/>
    <col min="15405" max="15616" width="9" style="1459"/>
    <col min="15617" max="15617" width="9" style="1459" customWidth="1"/>
    <col min="15618" max="15618" width="24" style="1459" customWidth="1"/>
    <col min="15619" max="15649" width="4.25" style="1459" customWidth="1"/>
    <col min="15650" max="15650" width="9.25" style="1459" customWidth="1"/>
    <col min="15651" max="15660" width="0" style="1459" hidden="1" customWidth="1"/>
    <col min="15661" max="15872" width="9" style="1459"/>
    <col min="15873" max="15873" width="9" style="1459" customWidth="1"/>
    <col min="15874" max="15874" width="24" style="1459" customWidth="1"/>
    <col min="15875" max="15905" width="4.25" style="1459" customWidth="1"/>
    <col min="15906" max="15906" width="9.25" style="1459" customWidth="1"/>
    <col min="15907" max="15916" width="0" style="1459" hidden="1" customWidth="1"/>
    <col min="15917" max="16128" width="9" style="1459"/>
    <col min="16129" max="16129" width="9" style="1459" customWidth="1"/>
    <col min="16130" max="16130" width="24" style="1459" customWidth="1"/>
    <col min="16131" max="16161" width="4.25" style="1459" customWidth="1"/>
    <col min="16162" max="16162" width="9.25" style="1459" customWidth="1"/>
    <col min="16163" max="16172" width="0" style="1459" hidden="1" customWidth="1"/>
    <col min="16173" max="16382" width="9" style="1459"/>
    <col min="16383" max="16383" width="9" style="1459" customWidth="1"/>
    <col min="16384" max="16384" width="9" style="1459"/>
  </cols>
  <sheetData>
    <row r="1" spans="1:46" s="1629" customFormat="1" ht="15" customHeight="1">
      <c r="A1" s="4152" t="s">
        <v>165</v>
      </c>
      <c r="B1" s="4152"/>
      <c r="C1" s="4152"/>
      <c r="D1" s="4152"/>
      <c r="E1" s="4152"/>
      <c r="F1" s="4152"/>
      <c r="G1" s="4152"/>
      <c r="H1" s="4152"/>
      <c r="I1" s="4152"/>
      <c r="J1" s="4152"/>
      <c r="K1" s="4152"/>
      <c r="L1" s="4152"/>
      <c r="M1" s="4152"/>
      <c r="N1" s="4152"/>
      <c r="O1" s="4152"/>
      <c r="P1" s="4152"/>
      <c r="Q1" s="4152"/>
      <c r="R1" s="4152"/>
      <c r="S1" s="4152"/>
      <c r="T1" s="4152"/>
      <c r="U1" s="4152"/>
      <c r="V1" s="4152"/>
      <c r="W1" s="4152"/>
      <c r="X1" s="4152"/>
      <c r="Y1" s="4152"/>
      <c r="Z1" s="4152"/>
      <c r="AA1" s="4152"/>
      <c r="AB1" s="4152"/>
      <c r="AC1" s="4152"/>
      <c r="AD1" s="4152"/>
      <c r="AE1" s="4152"/>
      <c r="AF1" s="4152"/>
      <c r="AG1" s="4152"/>
      <c r="AH1" s="4152"/>
      <c r="AI1" s="4152"/>
      <c r="AJ1" s="4152"/>
      <c r="AK1" s="4152"/>
      <c r="AL1" s="4152"/>
      <c r="AM1" s="4152"/>
      <c r="AN1" s="4152"/>
      <c r="AO1" s="4152"/>
      <c r="AP1" s="4152"/>
      <c r="AQ1" s="4152"/>
      <c r="AR1" s="4152"/>
      <c r="AS1" s="4152"/>
      <c r="AT1" s="4152"/>
    </row>
    <row r="2" spans="1:46" s="1629" customFormat="1" ht="15" customHeight="1">
      <c r="A2" s="4152" t="s">
        <v>994</v>
      </c>
      <c r="B2" s="4152"/>
      <c r="C2" s="4152"/>
      <c r="D2" s="4152"/>
      <c r="E2" s="4152"/>
      <c r="F2" s="4152"/>
      <c r="G2" s="4152"/>
      <c r="H2" s="4152"/>
      <c r="I2" s="4152"/>
      <c r="J2" s="4152"/>
      <c r="K2" s="4152"/>
      <c r="L2" s="4152"/>
      <c r="M2" s="4152"/>
      <c r="N2" s="4152"/>
      <c r="O2" s="4152"/>
      <c r="P2" s="4152"/>
      <c r="Q2" s="4152"/>
      <c r="R2" s="4152"/>
      <c r="S2" s="4152"/>
      <c r="T2" s="4152"/>
      <c r="U2" s="4152"/>
      <c r="V2" s="4152"/>
      <c r="W2" s="4152"/>
      <c r="X2" s="4152"/>
      <c r="Y2" s="4152"/>
      <c r="Z2" s="4152"/>
      <c r="AA2" s="4152"/>
      <c r="AB2" s="4152"/>
      <c r="AC2" s="4152"/>
      <c r="AD2" s="4152"/>
      <c r="AE2" s="4152"/>
      <c r="AF2" s="4152"/>
      <c r="AG2" s="4152"/>
      <c r="AH2" s="4152"/>
      <c r="AI2" s="4152"/>
      <c r="AJ2" s="4152"/>
      <c r="AK2" s="4152"/>
      <c r="AL2" s="4152"/>
      <c r="AM2" s="4152"/>
      <c r="AN2" s="4152"/>
      <c r="AO2" s="4152"/>
      <c r="AP2" s="4152"/>
      <c r="AQ2" s="4152"/>
      <c r="AR2" s="4152"/>
      <c r="AS2" s="4152"/>
      <c r="AT2" s="4152"/>
    </row>
    <row r="3" spans="1:46" s="1629" customFormat="1" ht="17.25" customHeight="1">
      <c r="A3" s="4153" t="s">
        <v>995</v>
      </c>
      <c r="B3" s="4153"/>
      <c r="C3" s="4153"/>
      <c r="D3" s="4153"/>
      <c r="E3" s="4153"/>
      <c r="F3" s="4153"/>
      <c r="G3" s="4153"/>
      <c r="H3" s="4153"/>
      <c r="I3" s="4153"/>
      <c r="J3" s="4153"/>
      <c r="K3" s="4153"/>
      <c r="L3" s="4153"/>
      <c r="M3" s="4153"/>
      <c r="N3" s="4153"/>
      <c r="O3" s="4153"/>
      <c r="P3" s="4153"/>
      <c r="Q3" s="4153"/>
      <c r="R3" s="4153"/>
      <c r="S3" s="4153"/>
      <c r="T3" s="4153"/>
      <c r="U3" s="4153"/>
      <c r="V3" s="4153"/>
      <c r="W3" s="4153"/>
      <c r="X3" s="4153"/>
      <c r="Y3" s="4153"/>
      <c r="Z3" s="4153"/>
      <c r="AA3" s="4153"/>
      <c r="AB3" s="4153"/>
      <c r="AC3" s="4153"/>
      <c r="AD3" s="4153"/>
      <c r="AE3" s="4153"/>
      <c r="AF3" s="4153"/>
      <c r="AG3" s="4153"/>
      <c r="AH3" s="4153"/>
      <c r="AI3" s="4153"/>
      <c r="AJ3" s="4153"/>
      <c r="AK3" s="4153"/>
      <c r="AL3" s="4153"/>
      <c r="AM3" s="4153"/>
      <c r="AN3" s="4153"/>
      <c r="AO3" s="4153"/>
      <c r="AP3" s="4153"/>
      <c r="AQ3" s="4153"/>
      <c r="AR3" s="4153"/>
      <c r="AS3" s="4153"/>
      <c r="AT3" s="4153"/>
    </row>
    <row r="4" spans="1:46" s="1629" customFormat="1" ht="9" customHeight="1">
      <c r="A4" s="1630"/>
      <c r="B4" s="1630"/>
      <c r="C4" s="1630"/>
      <c r="D4" s="1630"/>
      <c r="E4" s="1630"/>
      <c r="F4" s="1630"/>
      <c r="G4" s="1630"/>
      <c r="H4" s="1630"/>
      <c r="I4" s="1630"/>
      <c r="J4" s="1630"/>
      <c r="K4" s="1630"/>
      <c r="L4" s="1630"/>
      <c r="M4" s="1630"/>
      <c r="N4" s="1630"/>
      <c r="O4" s="1630"/>
      <c r="P4" s="1630"/>
      <c r="Q4" s="1630"/>
      <c r="R4" s="1630"/>
      <c r="S4" s="1630"/>
      <c r="T4" s="1630"/>
      <c r="U4" s="1630"/>
      <c r="V4" s="1630"/>
      <c r="W4" s="1630"/>
      <c r="X4" s="1630"/>
      <c r="Y4" s="1630"/>
      <c r="Z4" s="1630"/>
      <c r="AA4" s="1630"/>
      <c r="AB4" s="1630"/>
      <c r="AC4" s="1630"/>
      <c r="AD4" s="1630"/>
      <c r="AE4" s="1630"/>
      <c r="AF4" s="1630"/>
      <c r="AG4" s="1630"/>
      <c r="AH4" s="1630"/>
      <c r="AI4" s="1630"/>
      <c r="AJ4" s="1630"/>
    </row>
    <row r="5" spans="1:46" s="1629" customFormat="1" ht="23.25" customHeight="1">
      <c r="A5" s="4151" t="s">
        <v>574</v>
      </c>
      <c r="B5" s="4151"/>
      <c r="C5" s="4151"/>
      <c r="D5" s="4151"/>
      <c r="E5" s="4151"/>
      <c r="F5" s="4151"/>
      <c r="G5" s="4151"/>
      <c r="H5" s="4151"/>
      <c r="I5" s="4151"/>
      <c r="J5" s="4151"/>
      <c r="K5" s="4151"/>
      <c r="L5" s="4151"/>
      <c r="M5" s="4151"/>
      <c r="N5" s="4151"/>
      <c r="O5" s="4151"/>
      <c r="P5" s="1630"/>
      <c r="Q5" s="1630"/>
      <c r="R5" s="1630"/>
      <c r="S5" s="1630"/>
      <c r="T5" s="1630"/>
      <c r="U5" s="1630"/>
      <c r="V5" s="1630"/>
      <c r="W5" s="1630"/>
      <c r="X5" s="1630"/>
      <c r="Y5" s="1630"/>
      <c r="Z5" s="1630"/>
      <c r="AA5" s="1630"/>
      <c r="AB5" s="1630"/>
      <c r="AC5" s="1630"/>
      <c r="AD5" s="1630"/>
      <c r="AE5" s="1630"/>
      <c r="AF5" s="1630"/>
      <c r="AG5" s="1630"/>
      <c r="AH5" s="1630"/>
      <c r="AI5" s="1630"/>
      <c r="AJ5" s="1630"/>
    </row>
    <row r="6" spans="1:46" s="1629" customFormat="1" ht="18" customHeight="1">
      <c r="A6" s="4151" t="s">
        <v>1202</v>
      </c>
      <c r="B6" s="4151"/>
      <c r="C6" s="4151"/>
      <c r="D6" s="4151"/>
      <c r="E6" s="4151"/>
      <c r="F6" s="4151"/>
      <c r="G6" s="4151"/>
      <c r="H6" s="4151"/>
      <c r="I6" s="4151"/>
      <c r="J6" s="4151"/>
      <c r="K6" s="4151"/>
      <c r="L6" s="4151"/>
      <c r="M6" s="4151"/>
      <c r="N6" s="4151"/>
      <c r="O6" s="4151"/>
      <c r="P6" s="1630"/>
      <c r="Q6" s="1630"/>
      <c r="R6" s="1630"/>
      <c r="S6" s="1630"/>
      <c r="T6" s="1630"/>
      <c r="U6" s="1630"/>
      <c r="V6" s="1630"/>
      <c r="W6" s="1630"/>
      <c r="X6" s="1630"/>
      <c r="Y6" s="1630"/>
      <c r="Z6" s="1630"/>
      <c r="AA6" s="1630"/>
      <c r="AB6" s="1630"/>
      <c r="AC6" s="1630"/>
      <c r="AD6" s="1630"/>
      <c r="AE6" s="1630"/>
      <c r="AF6" s="1630"/>
      <c r="AG6" s="1630"/>
      <c r="AH6" s="1630"/>
      <c r="AI6" s="1630"/>
      <c r="AJ6" s="1630"/>
    </row>
    <row r="7" spans="1:46" ht="15" hidden="1" customHeight="1">
      <c r="W7" s="4137"/>
      <c r="X7" s="4137"/>
      <c r="Y7" s="4137"/>
      <c r="Z7" s="4137"/>
      <c r="AA7" s="4137"/>
      <c r="AB7" s="4137"/>
      <c r="AC7" s="4137"/>
      <c r="AD7" s="4137"/>
      <c r="AE7" s="4137"/>
      <c r="AF7" s="4137"/>
      <c r="AG7" s="4137"/>
      <c r="AH7" s="4137"/>
      <c r="AI7" s="4137"/>
      <c r="AL7" s="2293">
        <v>1</v>
      </c>
      <c r="AM7" s="2293">
        <v>2</v>
      </c>
      <c r="AN7" s="2293">
        <v>3</v>
      </c>
      <c r="AO7" s="2293">
        <v>4</v>
      </c>
      <c r="AP7" s="2293">
        <v>5</v>
      </c>
      <c r="AQ7" s="2294">
        <v>6</v>
      </c>
      <c r="AR7" s="2294">
        <v>7</v>
      </c>
    </row>
    <row r="8" spans="1:46" ht="15" hidden="1" customHeight="1">
      <c r="A8" s="4148"/>
      <c r="B8" s="4148"/>
      <c r="C8" s="4148"/>
      <c r="D8" s="4148"/>
      <c r="E8" s="4148"/>
      <c r="F8" s="4148"/>
      <c r="W8" s="4137"/>
      <c r="X8" s="4137"/>
      <c r="Y8" s="4137"/>
      <c r="Z8" s="4137"/>
      <c r="AA8" s="4137"/>
      <c r="AB8" s="4137"/>
      <c r="AC8" s="4137"/>
      <c r="AD8" s="4137"/>
      <c r="AE8" s="4137"/>
      <c r="AF8" s="4137"/>
      <c r="AG8" s="4137"/>
      <c r="AH8" s="4137"/>
      <c r="AI8" s="4137"/>
      <c r="AL8" s="2293" t="s">
        <v>237</v>
      </c>
      <c r="AM8" s="2293" t="s">
        <v>1203</v>
      </c>
      <c r="AN8" s="2293" t="s">
        <v>1204</v>
      </c>
      <c r="AO8" s="2293" t="s">
        <v>1205</v>
      </c>
      <c r="AP8" s="2293" t="s">
        <v>1206</v>
      </c>
      <c r="AQ8" s="2294" t="s">
        <v>1207</v>
      </c>
      <c r="AR8" s="2294" t="s">
        <v>1208</v>
      </c>
    </row>
    <row r="9" spans="1:46" ht="15" hidden="1" customHeight="1">
      <c r="AL9" s="2295"/>
      <c r="AM9" s="2295"/>
      <c r="AN9" s="2295"/>
      <c r="AO9" s="2295"/>
      <c r="AP9" s="2295"/>
    </row>
    <row r="10" spans="1:46" ht="18.75">
      <c r="D10" s="4149" t="s">
        <v>1840</v>
      </c>
      <c r="E10" s="4149"/>
      <c r="F10" s="4149"/>
      <c r="G10" s="4149"/>
      <c r="H10" s="4149"/>
      <c r="I10" s="4149"/>
      <c r="J10" s="4149"/>
      <c r="K10" s="4149"/>
      <c r="L10" s="4149"/>
      <c r="M10" s="4149"/>
      <c r="N10" s="4149"/>
      <c r="O10" s="4149"/>
      <c r="P10" s="4149"/>
      <c r="Q10" s="4149"/>
      <c r="R10" s="4149"/>
      <c r="S10" s="4149"/>
      <c r="T10" s="4149"/>
      <c r="U10" s="4149"/>
      <c r="V10" s="4149"/>
      <c r="W10" s="4149"/>
      <c r="X10" s="4149"/>
      <c r="Y10" s="4149"/>
      <c r="Z10" s="4149"/>
      <c r="AA10" s="4149"/>
      <c r="AB10" s="4149"/>
      <c r="AC10" s="4149"/>
      <c r="AD10" s="4149"/>
      <c r="AE10" s="4149"/>
      <c r="AF10" s="4149"/>
      <c r="AG10" s="4149"/>
      <c r="AH10" s="4149"/>
      <c r="AL10" s="2295"/>
      <c r="AM10" s="2295"/>
      <c r="AN10" s="2295"/>
      <c r="AO10" s="2295"/>
      <c r="AP10" s="2295"/>
    </row>
    <row r="11" spans="1:46" ht="15.75">
      <c r="B11" s="1460" t="s">
        <v>912</v>
      </c>
      <c r="C11" s="1460">
        <v>2025</v>
      </c>
      <c r="D11" s="4150" t="str">
        <f>"Tháng "&amp;IF(LEN($C$12)=1,"0"&amp;$C$12,$C$12)&amp;" năm "&amp;C11</f>
        <v>Tháng 01 năm 2025</v>
      </c>
      <c r="E11" s="4150"/>
      <c r="F11" s="4150"/>
      <c r="G11" s="4150"/>
      <c r="H11" s="4150"/>
      <c r="I11" s="4150"/>
      <c r="J11" s="4150"/>
      <c r="K11" s="4150"/>
      <c r="L11" s="4150"/>
      <c r="M11" s="4150"/>
      <c r="N11" s="4150"/>
      <c r="O11" s="4150"/>
      <c r="P11" s="4150"/>
      <c r="Q11" s="4150"/>
      <c r="R11" s="4150"/>
      <c r="S11" s="4150"/>
      <c r="T11" s="4150"/>
      <c r="U11" s="4150"/>
      <c r="V11" s="4150"/>
      <c r="W11" s="4150"/>
      <c r="X11" s="4150"/>
      <c r="Y11" s="4150"/>
      <c r="Z11" s="4150"/>
      <c r="AA11" s="4150"/>
      <c r="AB11" s="4150"/>
      <c r="AC11" s="4150"/>
      <c r="AD11" s="4150"/>
      <c r="AE11" s="4150"/>
      <c r="AF11" s="4150"/>
      <c r="AG11" s="4150"/>
      <c r="AH11" s="4150"/>
    </row>
    <row r="12" spans="1:46">
      <c r="B12" s="1460" t="s">
        <v>913</v>
      </c>
      <c r="C12" s="1460">
        <v>1</v>
      </c>
    </row>
    <row r="13" spans="1:46" ht="15" customHeight="1">
      <c r="A13" s="4141" t="s">
        <v>1</v>
      </c>
      <c r="B13" s="4142" t="s">
        <v>914</v>
      </c>
      <c r="C13" s="4143" t="s">
        <v>915</v>
      </c>
      <c r="D13" s="3581">
        <v>1</v>
      </c>
      <c r="E13" s="3581">
        <v>2</v>
      </c>
      <c r="F13" s="3581">
        <v>3</v>
      </c>
      <c r="G13" s="3581">
        <v>4</v>
      </c>
      <c r="H13" s="3581">
        <v>5</v>
      </c>
      <c r="I13" s="3581">
        <v>6</v>
      </c>
      <c r="J13" s="3581">
        <v>7</v>
      </c>
      <c r="K13" s="3581">
        <v>8</v>
      </c>
      <c r="L13" s="3581">
        <v>9</v>
      </c>
      <c r="M13" s="3581">
        <v>10</v>
      </c>
      <c r="N13" s="3581">
        <v>11</v>
      </c>
      <c r="O13" s="3581">
        <v>12</v>
      </c>
      <c r="P13" s="3581">
        <v>13</v>
      </c>
      <c r="Q13" s="3581">
        <v>14</v>
      </c>
      <c r="R13" s="3581">
        <v>15</v>
      </c>
      <c r="S13" s="3581">
        <v>16</v>
      </c>
      <c r="T13" s="3581">
        <v>17</v>
      </c>
      <c r="U13" s="3581">
        <v>18</v>
      </c>
      <c r="V13" s="3581">
        <v>19</v>
      </c>
      <c r="W13" s="3581">
        <v>20</v>
      </c>
      <c r="X13" s="3581">
        <v>21</v>
      </c>
      <c r="Y13" s="3581">
        <v>22</v>
      </c>
      <c r="Z13" s="3581">
        <v>23</v>
      </c>
      <c r="AA13" s="3581">
        <v>24</v>
      </c>
      <c r="AB13" s="3581">
        <v>25</v>
      </c>
      <c r="AC13" s="3581">
        <v>26</v>
      </c>
      <c r="AD13" s="3581">
        <v>27</v>
      </c>
      <c r="AE13" s="3581">
        <v>28</v>
      </c>
      <c r="AF13" s="3581">
        <f>IF(DAY(DATE(C11,C12+1,1)-1)&lt;29,"",29)</f>
        <v>29</v>
      </c>
      <c r="AG13" s="3581">
        <v>30</v>
      </c>
      <c r="AH13" s="3581">
        <f>IF(DAY(DATE(C11,C12+1,1)-1)&lt;31,"",31)</f>
        <v>31</v>
      </c>
      <c r="AI13" s="4139" t="s">
        <v>922</v>
      </c>
      <c r="AJ13" s="1539"/>
      <c r="AK13" s="1539"/>
      <c r="AL13" s="1539"/>
      <c r="AM13" s="1539"/>
      <c r="AN13" s="1539"/>
      <c r="AO13" s="1539"/>
      <c r="AP13" s="1539"/>
      <c r="AQ13" s="1539"/>
      <c r="AR13" s="1539"/>
      <c r="AS13" s="4139" t="s">
        <v>1841</v>
      </c>
      <c r="AT13" s="4139" t="s">
        <v>923</v>
      </c>
    </row>
    <row r="14" spans="1:46" ht="37.5" customHeight="1">
      <c r="A14" s="4141"/>
      <c r="B14" s="4142"/>
      <c r="C14" s="4144"/>
      <c r="D14" s="2424" t="str">
        <f t="shared" ref="D14:AH14" si="0">IF(D13="","",HLOOKUP(WEEKDAY(DATE($C$11,$C$12,D13)),$AL$7:$AR$8,2,0))</f>
        <v>Tư</v>
      </c>
      <c r="E14" s="2424" t="str">
        <f t="shared" si="0"/>
        <v>Năm</v>
      </c>
      <c r="F14" s="2424" t="str">
        <f t="shared" si="0"/>
        <v>Sáu</v>
      </c>
      <c r="G14" s="2424" t="str">
        <f t="shared" si="0"/>
        <v>Bảy</v>
      </c>
      <c r="H14" s="2424" t="str">
        <f t="shared" si="0"/>
        <v>CN</v>
      </c>
      <c r="I14" s="2424" t="str">
        <f t="shared" si="0"/>
        <v>Hai</v>
      </c>
      <c r="J14" s="2424" t="str">
        <f t="shared" si="0"/>
        <v>Ba</v>
      </c>
      <c r="K14" s="2424" t="str">
        <f t="shared" si="0"/>
        <v>Tư</v>
      </c>
      <c r="L14" s="2424" t="str">
        <f t="shared" si="0"/>
        <v>Năm</v>
      </c>
      <c r="M14" s="2424" t="str">
        <f t="shared" si="0"/>
        <v>Sáu</v>
      </c>
      <c r="N14" s="2424" t="str">
        <f t="shared" si="0"/>
        <v>Bảy</v>
      </c>
      <c r="O14" s="2424" t="str">
        <f t="shared" si="0"/>
        <v>CN</v>
      </c>
      <c r="P14" s="2424" t="str">
        <f t="shared" si="0"/>
        <v>Hai</v>
      </c>
      <c r="Q14" s="2424" t="str">
        <f t="shared" si="0"/>
        <v>Ba</v>
      </c>
      <c r="R14" s="2424" t="str">
        <f t="shared" si="0"/>
        <v>Tư</v>
      </c>
      <c r="S14" s="2424" t="str">
        <f t="shared" si="0"/>
        <v>Năm</v>
      </c>
      <c r="T14" s="2424" t="str">
        <f t="shared" si="0"/>
        <v>Sáu</v>
      </c>
      <c r="U14" s="2424" t="str">
        <f t="shared" si="0"/>
        <v>Bảy</v>
      </c>
      <c r="V14" s="2424" t="str">
        <f t="shared" si="0"/>
        <v>CN</v>
      </c>
      <c r="W14" s="2424" t="str">
        <f t="shared" si="0"/>
        <v>Hai</v>
      </c>
      <c r="X14" s="2424" t="str">
        <f t="shared" si="0"/>
        <v>Ba</v>
      </c>
      <c r="Y14" s="2424" t="str">
        <f t="shared" si="0"/>
        <v>Tư</v>
      </c>
      <c r="Z14" s="2424" t="str">
        <f t="shared" si="0"/>
        <v>Năm</v>
      </c>
      <c r="AA14" s="2424" t="str">
        <f t="shared" si="0"/>
        <v>Sáu</v>
      </c>
      <c r="AB14" s="2424" t="str">
        <f t="shared" si="0"/>
        <v>Bảy</v>
      </c>
      <c r="AC14" s="2424" t="str">
        <f t="shared" si="0"/>
        <v>CN</v>
      </c>
      <c r="AD14" s="2424" t="str">
        <f t="shared" si="0"/>
        <v>Hai</v>
      </c>
      <c r="AE14" s="2424" t="str">
        <f t="shared" si="0"/>
        <v>Ba</v>
      </c>
      <c r="AF14" s="2425" t="str">
        <f t="shared" si="0"/>
        <v>Tư</v>
      </c>
      <c r="AG14" s="2425" t="str">
        <f t="shared" si="0"/>
        <v>Năm</v>
      </c>
      <c r="AH14" s="2425" t="str">
        <f t="shared" si="0"/>
        <v>Sáu</v>
      </c>
      <c r="AI14" s="4139"/>
      <c r="AJ14" s="1539"/>
      <c r="AK14" s="1539"/>
      <c r="AL14" s="1539"/>
      <c r="AM14" s="1539"/>
      <c r="AN14" s="1539"/>
      <c r="AO14" s="1539"/>
      <c r="AP14" s="1539"/>
      <c r="AQ14" s="1539"/>
      <c r="AR14" s="1539"/>
      <c r="AS14" s="4139"/>
      <c r="AT14" s="4140"/>
    </row>
    <row r="15" spans="1:46">
      <c r="A15" s="1477">
        <v>1</v>
      </c>
      <c r="B15" s="1463"/>
      <c r="C15" s="1477" t="s">
        <v>1013</v>
      </c>
      <c r="D15" s="1463" t="str">
        <f>IF(WEEKDAY(DATE($C$11,$C$12,D$13),2)&gt;'[17]Khai báo'!$B$4,"","x")</f>
        <v>x</v>
      </c>
      <c r="E15" s="1463" t="str">
        <f>IF(WEEKDAY(DATE($C$11,$C$12,E$13),2)&gt;'[17]Khai báo'!$B$4,"","x")</f>
        <v>x</v>
      </c>
      <c r="F15" s="1463" t="str">
        <f>IF(WEEKDAY(DATE($C$11,$C$12,F$13),2)&gt;'[17]Khai báo'!$B$4,"","x")</f>
        <v>x</v>
      </c>
      <c r="G15" s="1463" t="str">
        <f>IF(WEEKDAY(DATE($C$11,$C$12,G$13),2)&gt;'[17]Khai báo'!$B$4,"","x")</f>
        <v>x</v>
      </c>
      <c r="H15" s="1463"/>
      <c r="I15" s="1463" t="s">
        <v>142</v>
      </c>
      <c r="J15" s="1463" t="str">
        <f>IF(WEEKDAY(DATE($C$11,$C$12,J$13),2)&gt;'[17]Khai báo'!$B$4,"","x")</f>
        <v>x</v>
      </c>
      <c r="K15" s="1463" t="s">
        <v>142</v>
      </c>
      <c r="L15" s="1463" t="s">
        <v>142</v>
      </c>
      <c r="M15" s="1463" t="str">
        <f>IF(WEEKDAY(DATE($C$11,$C$12,M$13),2)&gt;'[17]Khai báo'!$B$4,"","x")</f>
        <v>x</v>
      </c>
      <c r="N15" s="1463" t="str">
        <f>IF(WEEKDAY(DATE($C$11,$C$12,N$13),2)&gt;'[17]Khai báo'!$B$4,"","x")</f>
        <v>x</v>
      </c>
      <c r="O15" s="1463" t="str">
        <f>IF(WEEKDAY(DATE($C$11,$C$12,O$13),2)&gt;'[17]Khai báo'!$B$4,"","x")</f>
        <v/>
      </c>
      <c r="P15" s="1463" t="str">
        <f>IF(WEEKDAY(DATE($C$11,$C$12,P$13),2)&gt;'[17]Khai báo'!$B$4,"","x")</f>
        <v>x</v>
      </c>
      <c r="Q15" s="1463" t="str">
        <f>IF(WEEKDAY(DATE($C$11,$C$12,Q$13),2)&gt;'[17]Khai báo'!$B$4,"","x")</f>
        <v>x</v>
      </c>
      <c r="R15" s="1463" t="str">
        <f>IF(WEEKDAY(DATE($C$11,$C$12,R$13),2)&gt;'[17]Khai báo'!$B$4,"","x")</f>
        <v>x</v>
      </c>
      <c r="S15" s="1463" t="str">
        <f>IF(WEEKDAY(DATE($C$11,$C$12,S$13),2)&gt;'[17]Khai báo'!$B$4,"","x")</f>
        <v>x</v>
      </c>
      <c r="T15" s="1463" t="str">
        <f>IF(WEEKDAY(DATE($C$11,$C$12,T$13),2)&gt;'[17]Khai báo'!$B$4,"","x")</f>
        <v>x</v>
      </c>
      <c r="U15" s="1463" t="str">
        <f>IF(WEEKDAY(DATE($C$11,$C$12,U$13),2)&gt;'[17]Khai báo'!$B$4,"","x")</f>
        <v>x</v>
      </c>
      <c r="V15" s="1463" t="str">
        <f>IF(WEEKDAY(DATE($C$11,$C$12,V$13),2)&gt;'[17]Khai báo'!$B$4,"","x")</f>
        <v/>
      </c>
      <c r="W15" s="1463" t="str">
        <f>IF(WEEKDAY(DATE($C$11,$C$12,W$13),2)&gt;'[17]Khai báo'!$B$4,"","x")</f>
        <v>x</v>
      </c>
      <c r="X15" s="1463" t="s">
        <v>142</v>
      </c>
      <c r="Y15" s="1463" t="str">
        <f>IF(WEEKDAY(DATE($C$11,$C$12,Y$13),2)&gt;'[17]Khai báo'!$B$4,"","x")</f>
        <v>x</v>
      </c>
      <c r="Z15" s="3621"/>
      <c r="AA15" s="3621"/>
      <c r="AB15" s="3621"/>
      <c r="AC15" s="3621"/>
      <c r="AD15" s="3621"/>
      <c r="AE15" s="3621"/>
      <c r="AF15" s="3621"/>
      <c r="AG15" s="3621"/>
      <c r="AH15" s="3621"/>
      <c r="AI15" s="1537">
        <f>COUNTIF(D15:AH15,"X")</f>
        <v>19</v>
      </c>
      <c r="AJ15" s="1477"/>
      <c r="AK15" s="1477"/>
      <c r="AL15" s="1477"/>
      <c r="AM15" s="1477"/>
      <c r="AN15" s="1477"/>
      <c r="AO15" s="1477"/>
      <c r="AP15" s="1477"/>
      <c r="AQ15" s="1477"/>
      <c r="AR15" s="1477"/>
      <c r="AS15" s="1537">
        <f>COUNTIF(D15:AR15,"p")</f>
        <v>0</v>
      </c>
      <c r="AT15" s="1538">
        <f t="shared" ref="AT15:AT18" si="1">+AI15+AS15</f>
        <v>19</v>
      </c>
    </row>
    <row r="16" spans="1:46">
      <c r="A16" s="1477">
        <v>2</v>
      </c>
      <c r="B16" s="1466"/>
      <c r="C16" s="1465" t="s">
        <v>96</v>
      </c>
      <c r="D16" s="1463" t="str">
        <f>IF(WEEKDAY(DATE($C$11,$C$12,D$13),2)&gt;'[17]Khai báo'!$B$4,"","x")</f>
        <v>x</v>
      </c>
      <c r="E16" s="1463" t="str">
        <f>IF(WEEKDAY(DATE($C$11,$C$12,E$13),2)&gt;'[17]Khai báo'!$B$4,"","x")</f>
        <v>x</v>
      </c>
      <c r="F16" s="1466" t="str">
        <f>IF(WEEKDAY(DATE($C$11,$C$12,F$13),2)&gt;'[17]Khai báo'!$B$4,"","x")</f>
        <v>x</v>
      </c>
      <c r="G16" s="1463" t="str">
        <f>IF(WEEKDAY(DATE($C$11,$C$12,G$13),2)&gt;'[17]Khai báo'!$B$4,"","x")</f>
        <v>x</v>
      </c>
      <c r="H16" s="1463"/>
      <c r="I16" s="1463" t="str">
        <f>IF(WEEKDAY(DATE($C$11,$C$12,I$13),2)&gt;'[17]Khai báo'!$B$4,"","x")</f>
        <v>x</v>
      </c>
      <c r="J16" s="1463" t="str">
        <f>IF(WEEKDAY(DATE($C$11,$C$12,J$13),2)&gt;'[17]Khai báo'!$B$4,"","x")</f>
        <v>x</v>
      </c>
      <c r="K16" s="1463" t="str">
        <f>IF(WEEKDAY(DATE($C$11,$C$12,K$13),2)&gt;'[17]Khai báo'!$B$4,"","x")</f>
        <v>x</v>
      </c>
      <c r="L16" s="1463" t="str">
        <f>IF(WEEKDAY(DATE($C$11,$C$12,L$13),2)&gt;'[17]Khai báo'!$B$4,"","x")</f>
        <v>x</v>
      </c>
      <c r="M16" s="1463" t="str">
        <f>IF(WEEKDAY(DATE($C$11,$C$12,M$13),2)&gt;'[17]Khai báo'!$B$4,"","x")</f>
        <v>x</v>
      </c>
      <c r="N16" s="1463" t="str">
        <f>IF(WEEKDAY(DATE($C$11,$C$12,N$13),2)&gt;'[17]Khai báo'!$B$4,"","x")</f>
        <v>x</v>
      </c>
      <c r="O16" s="1463" t="str">
        <f>IF(WEEKDAY(DATE($C$11,$C$12,O$13),2)&gt;'[17]Khai báo'!$B$4,"","x")</f>
        <v/>
      </c>
      <c r="P16" s="1463" t="str">
        <f>IF(WEEKDAY(DATE($C$11,$C$12,P$13),2)&gt;'[17]Khai báo'!$B$4,"","x")</f>
        <v>x</v>
      </c>
      <c r="Q16" s="1463" t="str">
        <f>IF(WEEKDAY(DATE($C$11,$C$12,Q$13),2)&gt;'[17]Khai báo'!$B$4,"","x")</f>
        <v>x</v>
      </c>
      <c r="R16" s="1463" t="str">
        <f>IF(WEEKDAY(DATE($C$11,$C$12,R$13),2)&gt;'[17]Khai báo'!$B$4,"","x")</f>
        <v>x</v>
      </c>
      <c r="S16" s="1463" t="str">
        <f>IF(WEEKDAY(DATE($C$11,$C$12,S$13),2)&gt;'[17]Khai báo'!$B$4,"","x")</f>
        <v>x</v>
      </c>
      <c r="T16" s="1463" t="s">
        <v>142</v>
      </c>
      <c r="U16" s="1463" t="s">
        <v>142</v>
      </c>
      <c r="V16" s="1463"/>
      <c r="W16" s="1463" t="s">
        <v>142</v>
      </c>
      <c r="X16" s="1463" t="str">
        <f>IF(WEEKDAY(DATE($C$11,$C$12,X$13),2)&gt;'[17]Khai báo'!$B$4,"","x")</f>
        <v>x</v>
      </c>
      <c r="Y16" s="1463" t="str">
        <f>IF(WEEKDAY(DATE($C$11,$C$12,Y$13),2)&gt;'[17]Khai báo'!$B$4,"","x")</f>
        <v>x</v>
      </c>
      <c r="Z16" s="3621"/>
      <c r="AA16" s="3621"/>
      <c r="AB16" s="3621"/>
      <c r="AC16" s="3621"/>
      <c r="AD16" s="3621"/>
      <c r="AE16" s="3621"/>
      <c r="AF16" s="3621"/>
      <c r="AG16" s="3621"/>
      <c r="AH16" s="3621"/>
      <c r="AI16" s="1467">
        <f t="shared" ref="AI16:AI18" si="2">COUNTIF(D16:AH16,"X")</f>
        <v>19</v>
      </c>
      <c r="AJ16" s="1465"/>
      <c r="AK16" s="1465"/>
      <c r="AL16" s="1465"/>
      <c r="AM16" s="1465"/>
      <c r="AN16" s="1465"/>
      <c r="AO16" s="1465"/>
      <c r="AP16" s="1465"/>
      <c r="AQ16" s="1465"/>
      <c r="AR16" s="1465"/>
      <c r="AS16" s="1537">
        <f t="shared" ref="AS16:AS18" si="3">COUNTIF(D16:AR16,"p")</f>
        <v>0</v>
      </c>
      <c r="AT16" s="1538">
        <f t="shared" si="1"/>
        <v>19</v>
      </c>
    </row>
    <row r="17" spans="1:46">
      <c r="A17" s="1465">
        <v>3</v>
      </c>
      <c r="B17" s="1466"/>
      <c r="C17" s="1465" t="s">
        <v>1317</v>
      </c>
      <c r="D17" s="1463" t="s">
        <v>142</v>
      </c>
      <c r="E17" s="1463" t="s">
        <v>142</v>
      </c>
      <c r="F17" s="1466" t="s">
        <v>142</v>
      </c>
      <c r="G17" s="1463" t="s">
        <v>142</v>
      </c>
      <c r="H17" s="1463"/>
      <c r="I17" s="1463" t="s">
        <v>142</v>
      </c>
      <c r="J17" s="1463" t="str">
        <f>IF(WEEKDAY(DATE($C$11,$C$12,J$13),2)&gt;'[17]Khai báo'!$B$4,"","x")</f>
        <v>x</v>
      </c>
      <c r="K17" s="3621"/>
      <c r="L17" s="3621"/>
      <c r="M17" s="3621"/>
      <c r="N17" s="3621"/>
      <c r="O17" s="3620"/>
      <c r="P17" s="3621"/>
      <c r="Q17" s="3621"/>
      <c r="R17" s="3621"/>
      <c r="S17" s="3621"/>
      <c r="T17" s="3621"/>
      <c r="U17" s="3621"/>
      <c r="V17" s="3620"/>
      <c r="W17" s="3621"/>
      <c r="X17" s="3621"/>
      <c r="Y17" s="3621"/>
      <c r="Z17" s="1463" t="s">
        <v>142</v>
      </c>
      <c r="AA17" s="1463" t="s">
        <v>142</v>
      </c>
      <c r="AB17" s="3619" t="s">
        <v>142</v>
      </c>
      <c r="AC17" s="3619" t="s">
        <v>142</v>
      </c>
      <c r="AD17" s="3619" t="s">
        <v>142</v>
      </c>
      <c r="AE17" s="3619" t="s">
        <v>142</v>
      </c>
      <c r="AF17" s="3619" t="s">
        <v>142</v>
      </c>
      <c r="AG17" s="3619" t="s">
        <v>142</v>
      </c>
      <c r="AH17" s="3619" t="s">
        <v>142</v>
      </c>
      <c r="AI17" s="1467">
        <f t="shared" si="2"/>
        <v>15</v>
      </c>
      <c r="AJ17" s="1465"/>
      <c r="AK17" s="1465"/>
      <c r="AL17" s="1465"/>
      <c r="AM17" s="1465"/>
      <c r="AN17" s="1465"/>
      <c r="AO17" s="1465"/>
      <c r="AP17" s="1465"/>
      <c r="AQ17" s="1465"/>
      <c r="AR17" s="1465"/>
      <c r="AS17" s="1537">
        <f t="shared" si="3"/>
        <v>0</v>
      </c>
      <c r="AT17" s="1538">
        <f>+AI17</f>
        <v>15</v>
      </c>
    </row>
    <row r="18" spans="1:46">
      <c r="A18" s="1477">
        <v>4</v>
      </c>
      <c r="B18" s="1476"/>
      <c r="C18" s="1475" t="s">
        <v>1318</v>
      </c>
      <c r="D18" s="1463" t="s">
        <v>142</v>
      </c>
      <c r="E18" s="1463" t="s">
        <v>142</v>
      </c>
      <c r="F18" s="1466" t="str">
        <f>IF(WEEKDAY(DATE($C$11,$C$12,F$13),2)&gt;'[17]Khai báo'!$B$4,"","x")</f>
        <v>x</v>
      </c>
      <c r="G18" s="1463" t="str">
        <f>IF(WEEKDAY(DATE($C$11,$C$12,G$13),2)&gt;'[17]Khai báo'!$B$4,"","x")</f>
        <v>x</v>
      </c>
      <c r="H18" s="1463" t="str">
        <f>IF(WEEKDAY(DATE($C$11,$C$12,H$13),2)&gt;'[17]Khai báo'!$B$4,"","x")</f>
        <v/>
      </c>
      <c r="I18" s="1463" t="str">
        <f>IF(WEEKDAY(DATE($C$11,$C$12,I$13),2)&gt;'[17]Khai báo'!$B$4,"","x")</f>
        <v>x</v>
      </c>
      <c r="J18" s="1463" t="str">
        <f>IF(WEEKDAY(DATE($C$11,$C$12,J$13),2)&gt;'[17]Khai báo'!$B$4,"","x")</f>
        <v>x</v>
      </c>
      <c r="K18" s="1463" t="str">
        <f>IF(WEEKDAY(DATE($C$11,$C$12,K$13),2)&gt;'[17]Khai báo'!$B$4,"","x")</f>
        <v>x</v>
      </c>
      <c r="L18" s="1463" t="s">
        <v>142</v>
      </c>
      <c r="M18" s="1463" t="s">
        <v>142</v>
      </c>
      <c r="N18" s="1463" t="str">
        <f>IF(WEEKDAY(DATE($C$11,$C$12,N$13),2)&gt;'[17]Khai báo'!$B$4,"","x")</f>
        <v>x</v>
      </c>
      <c r="O18" s="1463" t="str">
        <f>IF(WEEKDAY(DATE($C$11,$C$12,O$13),2)&gt;'[17]Khai báo'!$B$4,"","x")</f>
        <v/>
      </c>
      <c r="P18" s="1463" t="str">
        <f>IF(WEEKDAY(DATE($C$11,$C$12,P$13),2)&gt;'[17]Khai báo'!$B$4,"","x")</f>
        <v>x</v>
      </c>
      <c r="Q18" s="1463" t="str">
        <f>IF(WEEKDAY(DATE($C$11,$C$12,Q$13),2)&gt;'[17]Khai báo'!$B$4,"","x")</f>
        <v>x</v>
      </c>
      <c r="R18" s="1463" t="str">
        <f>IF(WEEKDAY(DATE($C$11,$C$12,R$13),2)&gt;'[17]Khai báo'!$B$4,"","x")</f>
        <v>x</v>
      </c>
      <c r="S18" s="1463" t="str">
        <f>IF(WEEKDAY(DATE($C$11,$C$12,S$13),2)&gt;'[17]Khai báo'!$B$4,"","x")</f>
        <v>x</v>
      </c>
      <c r="T18" s="1463" t="str">
        <f>IF(WEEKDAY(DATE($C$11,$C$12,T$13),2)&gt;'[17]Khai báo'!$B$4,"","x")</f>
        <v>x</v>
      </c>
      <c r="U18" s="1463" t="str">
        <f>IF(WEEKDAY(DATE($C$11,$C$12,U$13),2)&gt;'[17]Khai báo'!$B$4,"","x")</f>
        <v>x</v>
      </c>
      <c r="V18" s="1463" t="str">
        <f>IF(WEEKDAY(DATE($C$11,$C$12,V$13),2)&gt;'[17]Khai báo'!$B$4,"","x")</f>
        <v/>
      </c>
      <c r="W18" s="1463" t="str">
        <f>IF(WEEKDAY(DATE($C$11,$C$12,W$13),2)&gt;'[17]Khai báo'!$B$4,"","x")</f>
        <v>x</v>
      </c>
      <c r="X18" s="1463" t="s">
        <v>142</v>
      </c>
      <c r="Y18" s="1463" t="s">
        <v>142</v>
      </c>
      <c r="Z18" s="1463" t="str">
        <f>IF(WEEKDAY(DATE($C$11,$C$12,Z$13),2)&gt;'[17]Khai báo'!$B$4,"","x")</f>
        <v>x</v>
      </c>
      <c r="AA18" s="1463" t="str">
        <f>IF(WEEKDAY(DATE($C$11,$C$12,AA$13),2)&gt;'[17]Khai báo'!$B$4,"","x")</f>
        <v>x</v>
      </c>
      <c r="AB18" s="3619" t="s">
        <v>142</v>
      </c>
      <c r="AC18" s="3619" t="s">
        <v>142</v>
      </c>
      <c r="AD18" s="3619" t="s">
        <v>142</v>
      </c>
      <c r="AE18" s="3619" t="s">
        <v>142</v>
      </c>
      <c r="AF18" s="3619" t="s">
        <v>142</v>
      </c>
      <c r="AG18" s="3619" t="s">
        <v>142</v>
      </c>
      <c r="AH18" s="3619" t="s">
        <v>142</v>
      </c>
      <c r="AI18" s="1467">
        <f t="shared" si="2"/>
        <v>28</v>
      </c>
      <c r="AJ18" s="1475"/>
      <c r="AK18" s="1475"/>
      <c r="AL18" s="1475"/>
      <c r="AM18" s="1475"/>
      <c r="AN18" s="1475"/>
      <c r="AO18" s="1475"/>
      <c r="AP18" s="1475"/>
      <c r="AQ18" s="1475"/>
      <c r="AR18" s="1475"/>
      <c r="AS18" s="1537">
        <f t="shared" si="3"/>
        <v>0</v>
      </c>
      <c r="AT18" s="1538">
        <f t="shared" si="1"/>
        <v>28</v>
      </c>
    </row>
    <row r="19" spans="1:46">
      <c r="A19" s="4140" t="s">
        <v>910</v>
      </c>
      <c r="B19" s="4140"/>
      <c r="C19" s="4140"/>
      <c r="D19" s="1469"/>
      <c r="E19" s="1469"/>
      <c r="F19" s="1469"/>
      <c r="G19" s="1469"/>
      <c r="H19" s="1469"/>
      <c r="I19" s="1469"/>
      <c r="J19" s="1469"/>
      <c r="K19" s="1469"/>
      <c r="L19" s="1469"/>
      <c r="M19" s="1469"/>
      <c r="N19" s="1469"/>
      <c r="O19" s="1469"/>
      <c r="P19" s="1469"/>
      <c r="Q19" s="1469"/>
      <c r="R19" s="1469"/>
      <c r="S19" s="1469"/>
      <c r="T19" s="1469"/>
      <c r="U19" s="1469"/>
      <c r="V19" s="1469"/>
      <c r="W19" s="1469"/>
      <c r="X19" s="1469"/>
      <c r="Y19" s="1469"/>
      <c r="Z19" s="1469"/>
      <c r="AA19" s="1469"/>
      <c r="AB19" s="1469"/>
      <c r="AC19" s="1469"/>
      <c r="AD19" s="1469"/>
      <c r="AE19" s="1469"/>
      <c r="AF19" s="1469"/>
      <c r="AG19" s="1469"/>
      <c r="AH19" s="1469"/>
      <c r="AI19" s="1469">
        <f>SUM(AI15:AI18)</f>
        <v>81</v>
      </c>
      <c r="AJ19" s="1469">
        <f t="shared" ref="AJ19:AT19" si="4">SUM(AJ15:AJ18)</f>
        <v>0</v>
      </c>
      <c r="AK19" s="1469">
        <f t="shared" si="4"/>
        <v>0</v>
      </c>
      <c r="AL19" s="1469">
        <f t="shared" si="4"/>
        <v>0</v>
      </c>
      <c r="AM19" s="1469">
        <f t="shared" si="4"/>
        <v>0</v>
      </c>
      <c r="AN19" s="1469">
        <f t="shared" si="4"/>
        <v>0</v>
      </c>
      <c r="AO19" s="1469">
        <f t="shared" si="4"/>
        <v>0</v>
      </c>
      <c r="AP19" s="1469">
        <f t="shared" si="4"/>
        <v>0</v>
      </c>
      <c r="AQ19" s="1469">
        <f t="shared" si="4"/>
        <v>0</v>
      </c>
      <c r="AR19" s="1469">
        <f t="shared" si="4"/>
        <v>0</v>
      </c>
      <c r="AS19" s="1469">
        <f t="shared" si="4"/>
        <v>0</v>
      </c>
      <c r="AT19" s="1469">
        <f t="shared" si="4"/>
        <v>81</v>
      </c>
    </row>
    <row r="20" spans="1:46">
      <c r="A20" s="1474" t="s">
        <v>634</v>
      </c>
      <c r="AA20" s="2423"/>
      <c r="AB20" s="2423"/>
      <c r="AC20" s="2423"/>
      <c r="AD20" s="2423" t="s">
        <v>1770</v>
      </c>
      <c r="AF20" s="2423"/>
      <c r="AH20" s="2423"/>
      <c r="AI20" s="2423"/>
    </row>
    <row r="21" spans="1:46" ht="23.25" customHeight="1">
      <c r="A21" s="3580" t="s">
        <v>142</v>
      </c>
      <c r="B21" s="1459" t="s">
        <v>166</v>
      </c>
      <c r="C21" s="1459" t="s">
        <v>921</v>
      </c>
      <c r="G21" s="1470" t="s">
        <v>44</v>
      </c>
      <c r="M21" s="1470"/>
      <c r="N21" s="1470"/>
      <c r="O21" s="1470"/>
      <c r="P21" s="1470"/>
      <c r="Q21" s="1470"/>
      <c r="R21" s="1470"/>
      <c r="S21" s="1470"/>
      <c r="T21" s="1470"/>
      <c r="U21" s="1470"/>
      <c r="V21" s="1470"/>
      <c r="W21" s="1470"/>
      <c r="X21" s="1470"/>
      <c r="Y21" s="1470"/>
      <c r="Z21" s="1470"/>
      <c r="AA21" s="1470"/>
      <c r="AB21" s="1470"/>
      <c r="AC21" s="1470"/>
      <c r="AF21" s="1470" t="s">
        <v>615</v>
      </c>
      <c r="AG21" s="1470"/>
      <c r="AI21" s="1470"/>
    </row>
    <row r="22" spans="1:46">
      <c r="A22" s="3580" t="s">
        <v>1838</v>
      </c>
      <c r="B22" s="1472"/>
      <c r="C22" s="1459" t="s">
        <v>1839</v>
      </c>
    </row>
    <row r="23" spans="1:46" ht="15.75">
      <c r="A23" s="3580"/>
      <c r="Z23" s="4147"/>
      <c r="AA23" s="4147"/>
      <c r="AB23" s="4147"/>
      <c r="AC23" s="4147"/>
      <c r="AD23" s="4147"/>
      <c r="AE23" s="4147"/>
      <c r="AF23" s="4147"/>
      <c r="AG23" s="4147"/>
      <c r="AH23" s="4147"/>
      <c r="AI23" s="4147"/>
    </row>
    <row r="24" spans="1:46">
      <c r="B24" s="3671"/>
      <c r="C24" s="3671"/>
      <c r="AA24" s="4137"/>
      <c r="AB24" s="4137"/>
      <c r="AC24" s="4137"/>
      <c r="AD24" s="4137"/>
      <c r="AE24" s="4137"/>
      <c r="AF24" s="4137"/>
      <c r="AG24" s="4137"/>
      <c r="AH24" s="4137"/>
      <c r="AI24" s="4137"/>
    </row>
    <row r="25" spans="1:46" s="1473" customFormat="1" ht="14.25">
      <c r="K25" s="3671"/>
      <c r="L25" s="3671"/>
      <c r="M25" s="3671"/>
      <c r="N25" s="3671"/>
      <c r="O25" s="3671"/>
      <c r="P25" s="3671"/>
      <c r="Q25" s="3671"/>
      <c r="R25" s="3671"/>
      <c r="S25" s="3671"/>
      <c r="T25" s="3671"/>
      <c r="AC25" s="3671"/>
      <c r="AD25" s="3671"/>
      <c r="AE25" s="3671"/>
      <c r="AF25" s="3671"/>
      <c r="AG25" s="3671"/>
      <c r="AH25" s="3671"/>
      <c r="AI25" s="3671"/>
    </row>
    <row r="26" spans="1:46">
      <c r="B26" s="4138"/>
      <c r="C26" s="4137"/>
      <c r="K26" s="4138"/>
      <c r="L26" s="4138"/>
      <c r="M26" s="4138"/>
      <c r="N26" s="4138"/>
      <c r="O26" s="4138"/>
      <c r="P26" s="4138"/>
      <c r="Q26" s="4138"/>
      <c r="R26" s="4138"/>
      <c r="S26" s="4138"/>
      <c r="T26" s="4138"/>
      <c r="AC26" s="4138"/>
      <c r="AD26" s="4138"/>
      <c r="AE26" s="4138"/>
      <c r="AF26" s="4138"/>
      <c r="AG26" s="4138"/>
      <c r="AH26" s="4138"/>
      <c r="AI26" s="4138"/>
    </row>
  </sheetData>
  <mergeCells count="25">
    <mergeCell ref="W7:AI7"/>
    <mergeCell ref="A1:AT1"/>
    <mergeCell ref="A2:AT2"/>
    <mergeCell ref="A3:AT3"/>
    <mergeCell ref="A5:O5"/>
    <mergeCell ref="A6:O6"/>
    <mergeCell ref="A8:F8"/>
    <mergeCell ref="W8:AI8"/>
    <mergeCell ref="D10:AH10"/>
    <mergeCell ref="D11:AH11"/>
    <mergeCell ref="A13:A14"/>
    <mergeCell ref="B13:B14"/>
    <mergeCell ref="C13:C14"/>
    <mergeCell ref="AI13:AI14"/>
    <mergeCell ref="AS13:AS14"/>
    <mergeCell ref="AT13:AT14"/>
    <mergeCell ref="A19:C19"/>
    <mergeCell ref="Z23:AI23"/>
    <mergeCell ref="B24:C24"/>
    <mergeCell ref="AA24:AI24"/>
    <mergeCell ref="K25:T25"/>
    <mergeCell ref="AC25:AI25"/>
    <mergeCell ref="B26:C26"/>
    <mergeCell ref="K26:T26"/>
    <mergeCell ref="AC26:AI26"/>
  </mergeCells>
  <conditionalFormatting sqref="AL7:AR8">
    <cfRule type="expression" dxfId="0" priority="1" stopIfTrue="1">
      <formula>#REF!=""</formula>
    </cfRule>
  </conditionalFormatting>
  <pageMargins left="0.7" right="0.7" top="0.75" bottom="0.75" header="0.3" footer="0.3"/>
  <drawing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25"/>
  <sheetViews>
    <sheetView workbookViewId="0">
      <selection activeCell="A16" sqref="A16:S16"/>
    </sheetView>
  </sheetViews>
  <sheetFormatPr defaultColWidth="8" defaultRowHeight="15"/>
  <cols>
    <col min="1" max="1" width="7.375" style="3622" customWidth="1"/>
    <col min="2" max="2" width="6.125" style="3622" hidden="1" customWidth="1"/>
    <col min="3" max="3" width="6" style="3622" customWidth="1"/>
    <col min="4" max="4" width="17.75" style="3622" customWidth="1"/>
    <col min="5" max="5" width="16.75" style="3622" customWidth="1"/>
    <col min="6" max="6" width="7.75" style="3622" customWidth="1"/>
    <col min="7" max="7" width="11" style="3622" customWidth="1"/>
    <col min="8" max="8" width="3.375" style="3622" hidden="1" customWidth="1"/>
    <col min="9" max="9" width="8.875" style="3622" customWidth="1"/>
    <col min="10" max="10" width="11.625" style="3632" customWidth="1"/>
    <col min="11" max="11" width="11.5" style="3622" hidden="1" customWidth="1"/>
    <col min="12" max="12" width="9.75" style="3622" hidden="1" customWidth="1"/>
    <col min="13" max="13" width="11.5" style="3622" hidden="1" customWidth="1"/>
    <col min="14" max="14" width="6" style="3622" hidden="1" customWidth="1"/>
    <col min="15" max="15" width="8" style="3622" hidden="1" customWidth="1"/>
    <col min="16" max="16" width="10" style="3622" hidden="1" customWidth="1"/>
    <col min="17" max="17" width="12.125" style="3622" hidden="1" customWidth="1"/>
    <col min="18" max="18" width="11.875" style="3622" customWidth="1"/>
    <col min="19" max="19" width="14.75" style="3622" customWidth="1"/>
    <col min="20" max="20" width="9" style="3622" customWidth="1"/>
    <col min="21" max="21" width="6.5" style="3622" customWidth="1"/>
    <col min="22" max="22" width="8.75" style="3622" bestFit="1" customWidth="1"/>
    <col min="23" max="23" width="15.625" style="3622" customWidth="1"/>
    <col min="24" max="24" width="13.75" style="3622" bestFit="1" customWidth="1"/>
    <col min="25" max="16384" width="8" style="3622"/>
  </cols>
  <sheetData>
    <row r="1" spans="1:24">
      <c r="A1" s="4154" t="s">
        <v>1842</v>
      </c>
      <c r="B1" s="4154"/>
      <c r="C1" s="4154"/>
      <c r="D1" s="4154"/>
      <c r="E1" s="4154"/>
      <c r="F1" s="4154"/>
      <c r="G1" s="4154"/>
      <c r="H1" s="4154"/>
      <c r="I1" s="4154"/>
      <c r="J1" s="4154"/>
      <c r="K1" s="4154"/>
      <c r="L1" s="4154"/>
      <c r="M1" s="4154"/>
      <c r="N1" s="4154"/>
      <c r="O1" s="4154"/>
      <c r="P1" s="4154"/>
      <c r="Q1" s="4154"/>
      <c r="R1" s="4154"/>
      <c r="S1" s="4154"/>
      <c r="T1" s="4154"/>
      <c r="U1" s="4154"/>
    </row>
    <row r="2" spans="1:24" s="3623" customFormat="1" ht="14.25">
      <c r="A2" s="4154" t="s">
        <v>1843</v>
      </c>
      <c r="B2" s="4154"/>
      <c r="C2" s="4154"/>
      <c r="D2" s="4154"/>
      <c r="E2" s="4154"/>
      <c r="F2" s="4154"/>
      <c r="G2" s="4154"/>
      <c r="H2" s="4154"/>
      <c r="I2" s="4154"/>
      <c r="J2" s="4154"/>
      <c r="K2" s="4154"/>
      <c r="L2" s="4154"/>
      <c r="M2" s="4154"/>
      <c r="N2" s="4154"/>
      <c r="O2" s="4154"/>
      <c r="P2" s="4154"/>
      <c r="Q2" s="4154"/>
      <c r="R2" s="4154"/>
      <c r="S2" s="4154"/>
      <c r="T2" s="4154"/>
      <c r="U2" s="4154"/>
    </row>
    <row r="3" spans="1:24" s="3623" customFormat="1" ht="14.25">
      <c r="A3" s="4170" t="s">
        <v>1844</v>
      </c>
      <c r="B3" s="4170"/>
      <c r="C3" s="4170"/>
      <c r="D3" s="4170"/>
      <c r="E3" s="4170"/>
      <c r="F3" s="4170"/>
      <c r="G3" s="4170"/>
      <c r="H3" s="4170"/>
      <c r="I3" s="4170"/>
      <c r="J3" s="4170"/>
      <c r="K3" s="4170"/>
      <c r="L3" s="4170"/>
      <c r="M3" s="4170"/>
      <c r="N3" s="4170"/>
      <c r="O3" s="4170"/>
      <c r="P3" s="4170"/>
      <c r="Q3" s="4170"/>
      <c r="R3" s="4170"/>
      <c r="S3" s="4170"/>
      <c r="T3" s="4170"/>
      <c r="U3" s="4170"/>
    </row>
    <row r="4" spans="1:24" s="3623" customFormat="1">
      <c r="A4" s="4165" t="s">
        <v>574</v>
      </c>
      <c r="B4" s="4165"/>
      <c r="C4" s="4165"/>
      <c r="D4" s="4165"/>
      <c r="E4" s="4165"/>
      <c r="F4" s="4165"/>
      <c r="G4" s="4165"/>
      <c r="H4" s="4165"/>
      <c r="I4" s="4165"/>
      <c r="J4" s="4165"/>
      <c r="K4" s="4165"/>
      <c r="L4" s="4165"/>
      <c r="M4" s="4165"/>
      <c r="N4" s="4165"/>
      <c r="O4" s="4165"/>
      <c r="P4" s="4165"/>
      <c r="Q4" s="4165"/>
      <c r="R4" s="4165"/>
      <c r="S4" s="4165"/>
    </row>
    <row r="5" spans="1:24" s="3623" customFormat="1" ht="14.25">
      <c r="A5" s="4154" t="s">
        <v>1202</v>
      </c>
      <c r="B5" s="4154"/>
      <c r="C5" s="4154"/>
      <c r="D5" s="4154"/>
      <c r="E5" s="4154"/>
      <c r="F5" s="4154"/>
      <c r="G5" s="3624"/>
      <c r="H5" s="3624"/>
      <c r="I5" s="3624"/>
      <c r="J5" s="3624"/>
      <c r="K5" s="3624"/>
      <c r="L5" s="3624"/>
      <c r="M5" s="3624"/>
      <c r="N5" s="3624"/>
      <c r="O5" s="3624"/>
      <c r="P5" s="3624"/>
      <c r="Q5" s="3624"/>
      <c r="R5" s="3624"/>
      <c r="S5" s="3624"/>
    </row>
    <row r="6" spans="1:24" s="3623" customFormat="1" ht="14.25">
      <c r="A6" s="4154"/>
      <c r="B6" s="4154"/>
      <c r="C6" s="4154"/>
      <c r="D6" s="4154"/>
      <c r="E6" s="4154"/>
      <c r="F6" s="4154"/>
      <c r="G6" s="4154"/>
      <c r="H6" s="4154"/>
      <c r="I6" s="4154"/>
      <c r="J6" s="4154"/>
      <c r="K6" s="4154"/>
      <c r="L6" s="4154"/>
      <c r="M6" s="4154"/>
      <c r="N6" s="4154"/>
      <c r="O6" s="4154"/>
      <c r="P6" s="4154"/>
      <c r="Q6" s="4154"/>
      <c r="R6" s="4154"/>
      <c r="S6" s="4154"/>
    </row>
    <row r="7" spans="1:24" ht="18.75">
      <c r="A7" s="4171" t="s">
        <v>1850</v>
      </c>
      <c r="B7" s="4171"/>
      <c r="C7" s="4171"/>
      <c r="D7" s="4171"/>
      <c r="E7" s="4171"/>
      <c r="F7" s="4171"/>
      <c r="G7" s="4171"/>
      <c r="H7" s="4171"/>
      <c r="I7" s="4171"/>
      <c r="J7" s="4171"/>
      <c r="K7" s="4171"/>
      <c r="L7" s="4171"/>
      <c r="M7" s="4171"/>
      <c r="N7" s="4171"/>
      <c r="O7" s="4171"/>
      <c r="P7" s="4171"/>
      <c r="Q7" s="4171"/>
      <c r="R7" s="4171"/>
      <c r="S7" s="4171"/>
      <c r="T7" s="4171"/>
      <c r="U7" s="4171"/>
    </row>
    <row r="8" spans="1:24" s="3623" customFormat="1" ht="11.25">
      <c r="J8" s="3625"/>
      <c r="S8" s="3626"/>
      <c r="T8" s="3626"/>
      <c r="U8" s="3626"/>
    </row>
    <row r="9" spans="1:24" ht="15.75" customHeight="1">
      <c r="A9" s="4156" t="s">
        <v>1</v>
      </c>
      <c r="B9" s="4155" t="s">
        <v>1845</v>
      </c>
      <c r="C9" s="4166" t="s">
        <v>2</v>
      </c>
      <c r="D9" s="4167"/>
      <c r="E9" s="4155" t="s">
        <v>5</v>
      </c>
      <c r="F9" s="4156" t="s">
        <v>781</v>
      </c>
      <c r="G9" s="4156"/>
      <c r="H9" s="4156"/>
      <c r="I9" s="4156"/>
      <c r="J9" s="4156"/>
      <c r="K9" s="4156"/>
      <c r="L9" s="4160" t="s">
        <v>1173</v>
      </c>
      <c r="M9" s="4155" t="s">
        <v>10</v>
      </c>
      <c r="N9" s="4155" t="s">
        <v>11</v>
      </c>
      <c r="O9" s="4162" t="s">
        <v>619</v>
      </c>
      <c r="P9" s="4155" t="s">
        <v>12</v>
      </c>
      <c r="Q9" s="4155" t="s">
        <v>16</v>
      </c>
      <c r="R9" s="4155" t="s">
        <v>17</v>
      </c>
      <c r="S9" s="4155" t="s">
        <v>1846</v>
      </c>
      <c r="T9" s="3627"/>
    </row>
    <row r="10" spans="1:24" ht="50.25" customHeight="1">
      <c r="A10" s="4156"/>
      <c r="B10" s="4155"/>
      <c r="C10" s="4168"/>
      <c r="D10" s="4169"/>
      <c r="E10" s="4155"/>
      <c r="F10" s="3628" t="s">
        <v>13</v>
      </c>
      <c r="G10" s="3628" t="s">
        <v>14</v>
      </c>
      <c r="H10" s="3628" t="s">
        <v>1847</v>
      </c>
      <c r="I10" s="3629" t="s">
        <v>7</v>
      </c>
      <c r="J10" s="3630" t="s">
        <v>15</v>
      </c>
      <c r="K10" s="3628" t="s">
        <v>25</v>
      </c>
      <c r="L10" s="4161"/>
      <c r="M10" s="4155"/>
      <c r="N10" s="4156"/>
      <c r="O10" s="4162"/>
      <c r="P10" s="4156"/>
      <c r="Q10" s="4156"/>
      <c r="R10" s="4156"/>
      <c r="S10" s="4156"/>
      <c r="T10" s="3631"/>
      <c r="U10" s="3632"/>
      <c r="W10" s="3633"/>
    </row>
    <row r="11" spans="1:24" s="3645" customFormat="1" ht="29.25" customHeight="1">
      <c r="A11" s="3634">
        <v>1</v>
      </c>
      <c r="B11" s="3635"/>
      <c r="C11" s="4163" t="s">
        <v>1013</v>
      </c>
      <c r="D11" s="4164"/>
      <c r="E11" s="3636" t="s">
        <v>680</v>
      </c>
      <c r="F11" s="3637">
        <f>VLOOKUP(C11,'CHẤM CÔNG XĂNG XE'!C15:AT15,44,0)</f>
        <v>19</v>
      </c>
      <c r="G11" s="3638">
        <v>20000</v>
      </c>
      <c r="H11" s="3637"/>
      <c r="I11" s="3637" t="s">
        <v>1848</v>
      </c>
      <c r="J11" s="3639">
        <f>F11*G11</f>
        <v>380000</v>
      </c>
      <c r="K11" s="3639"/>
      <c r="L11" s="3639"/>
      <c r="M11" s="3639">
        <f>+K11+L11</f>
        <v>0</v>
      </c>
      <c r="N11" s="3639"/>
      <c r="O11" s="3639"/>
      <c r="P11" s="3639"/>
      <c r="Q11" s="3639">
        <f>M11-N11-P11</f>
        <v>0</v>
      </c>
      <c r="R11" s="3640"/>
      <c r="S11" s="3641"/>
      <c r="T11" s="3642"/>
      <c r="U11" s="3643"/>
      <c r="V11" s="3644"/>
      <c r="W11" s="3643"/>
      <c r="X11" s="3644"/>
    </row>
    <row r="12" spans="1:24" s="3645" customFormat="1" ht="29.25" customHeight="1">
      <c r="A12" s="3634">
        <v>2</v>
      </c>
      <c r="B12" s="3635"/>
      <c r="C12" s="4163" t="s">
        <v>96</v>
      </c>
      <c r="D12" s="4164"/>
      <c r="E12" s="3636" t="s">
        <v>1851</v>
      </c>
      <c r="F12" s="3637">
        <f>VLOOKUP(C12,'CHẤM CÔNG XĂNG XE'!C16:AT16,44,0)</f>
        <v>19</v>
      </c>
      <c r="G12" s="3638">
        <v>20000</v>
      </c>
      <c r="H12" s="3637"/>
      <c r="I12" s="3637" t="s">
        <v>1848</v>
      </c>
      <c r="J12" s="3639">
        <f t="shared" ref="J12:J14" si="0">F12*G12</f>
        <v>380000</v>
      </c>
      <c r="K12" s="3639"/>
      <c r="L12" s="3639"/>
      <c r="M12" s="3639">
        <f t="shared" ref="M12:M14" si="1">+K12+L12</f>
        <v>0</v>
      </c>
      <c r="N12" s="3639"/>
      <c r="O12" s="3639"/>
      <c r="P12" s="3639"/>
      <c r="Q12" s="3639">
        <f t="shared" ref="Q12:Q14" si="2">M12-N12-P12</f>
        <v>0</v>
      </c>
      <c r="R12" s="3646"/>
      <c r="S12" s="3641"/>
      <c r="T12" s="3642"/>
      <c r="U12" s="3643"/>
      <c r="V12" s="3644"/>
      <c r="W12" s="3643"/>
      <c r="X12" s="3644"/>
    </row>
    <row r="13" spans="1:24" s="3645" customFormat="1" ht="29.25" customHeight="1">
      <c r="A13" s="3634">
        <v>3</v>
      </c>
      <c r="B13" s="3635"/>
      <c r="C13" s="4163" t="s">
        <v>1317</v>
      </c>
      <c r="D13" s="4164"/>
      <c r="E13" s="3636" t="s">
        <v>1852</v>
      </c>
      <c r="F13" s="3637">
        <f>VLOOKUP(C13,'CHẤM CÔNG XĂNG XE'!C17:AT17,44,0)</f>
        <v>15</v>
      </c>
      <c r="G13" s="3638">
        <v>20000</v>
      </c>
      <c r="H13" s="3637"/>
      <c r="I13" s="3637" t="s">
        <v>1848</v>
      </c>
      <c r="J13" s="3639">
        <f t="shared" si="0"/>
        <v>300000</v>
      </c>
      <c r="K13" s="3639"/>
      <c r="L13" s="3639"/>
      <c r="M13" s="3639">
        <f t="shared" si="1"/>
        <v>0</v>
      </c>
      <c r="N13" s="3639"/>
      <c r="O13" s="3639"/>
      <c r="P13" s="3639"/>
      <c r="Q13" s="3639">
        <f t="shared" si="2"/>
        <v>0</v>
      </c>
      <c r="R13" s="3646"/>
      <c r="S13" s="3641"/>
      <c r="T13" s="3642"/>
      <c r="U13" s="3643"/>
      <c r="V13" s="3644"/>
      <c r="W13" s="3643"/>
      <c r="X13" s="3644"/>
    </row>
    <row r="14" spans="1:24" s="3645" customFormat="1" ht="29.25" customHeight="1">
      <c r="A14" s="3634">
        <v>4</v>
      </c>
      <c r="B14" s="3635"/>
      <c r="C14" s="4163" t="s">
        <v>1318</v>
      </c>
      <c r="D14" s="4164"/>
      <c r="E14" s="3636" t="s">
        <v>1370</v>
      </c>
      <c r="F14" s="3637">
        <f>VLOOKUP(C14,'CHẤM CÔNG XĂNG XE'!C18:AT18,44,0)</f>
        <v>28</v>
      </c>
      <c r="G14" s="3638">
        <v>20000</v>
      </c>
      <c r="H14" s="3637"/>
      <c r="I14" s="3637" t="s">
        <v>1848</v>
      </c>
      <c r="J14" s="3639">
        <f t="shared" si="0"/>
        <v>560000</v>
      </c>
      <c r="K14" s="3639"/>
      <c r="L14" s="3639"/>
      <c r="M14" s="3639">
        <f t="shared" si="1"/>
        <v>0</v>
      </c>
      <c r="N14" s="3639"/>
      <c r="O14" s="3639"/>
      <c r="P14" s="3639"/>
      <c r="Q14" s="3639">
        <f t="shared" si="2"/>
        <v>0</v>
      </c>
      <c r="R14" s="3646"/>
      <c r="S14" s="3641"/>
      <c r="T14" s="3642"/>
      <c r="U14" s="3643"/>
      <c r="V14" s="3644"/>
      <c r="W14" s="3643"/>
      <c r="X14" s="3644"/>
    </row>
    <row r="15" spans="1:24" s="3645" customFormat="1" ht="29.25" customHeight="1">
      <c r="A15" s="4156" t="s">
        <v>187</v>
      </c>
      <c r="B15" s="4156"/>
      <c r="C15" s="4156"/>
      <c r="D15" s="4156"/>
      <c r="E15" s="4156"/>
      <c r="F15" s="3647">
        <f>SUM(F11:F14)</f>
        <v>81</v>
      </c>
      <c r="G15" s="3647"/>
      <c r="H15" s="3629"/>
      <c r="I15" s="3629"/>
      <c r="J15" s="3648">
        <f t="shared" ref="J15:Q15" si="3">SUM(J11:J14)</f>
        <v>1620000</v>
      </c>
      <c r="K15" s="3648">
        <f t="shared" si="3"/>
        <v>0</v>
      </c>
      <c r="L15" s="3648">
        <f t="shared" si="3"/>
        <v>0</v>
      </c>
      <c r="M15" s="3648">
        <f t="shared" si="3"/>
        <v>0</v>
      </c>
      <c r="N15" s="3648">
        <f t="shared" si="3"/>
        <v>0</v>
      </c>
      <c r="O15" s="3648">
        <f t="shared" si="3"/>
        <v>0</v>
      </c>
      <c r="P15" s="3648">
        <f t="shared" si="3"/>
        <v>0</v>
      </c>
      <c r="Q15" s="3648">
        <f t="shared" si="3"/>
        <v>0</v>
      </c>
      <c r="R15" s="3629"/>
      <c r="S15" s="3629"/>
      <c r="T15" s="3649"/>
      <c r="U15" s="3650"/>
      <c r="V15" s="3644"/>
      <c r="W15" s="3651"/>
      <c r="X15" s="3644"/>
    </row>
    <row r="16" spans="1:24" s="3624" customFormat="1" ht="15.75" customHeight="1">
      <c r="A16" s="4159" t="s">
        <v>1849</v>
      </c>
      <c r="B16" s="4159"/>
      <c r="C16" s="4159"/>
      <c r="D16" s="4159"/>
      <c r="E16" s="4159"/>
      <c r="F16" s="4159"/>
      <c r="G16" s="4159"/>
      <c r="H16" s="4159"/>
      <c r="I16" s="4159"/>
      <c r="J16" s="4159"/>
      <c r="K16" s="4159"/>
      <c r="L16" s="4159"/>
      <c r="M16" s="4159"/>
      <c r="N16" s="4159"/>
      <c r="O16" s="4159"/>
      <c r="P16" s="4159"/>
      <c r="Q16" s="4159"/>
      <c r="R16" s="4159"/>
      <c r="S16" s="4159"/>
      <c r="T16" s="3652"/>
      <c r="U16" s="3653"/>
      <c r="W16" s="3654"/>
    </row>
    <row r="17" spans="1:22" s="3624" customFormat="1" ht="14.25">
      <c r="E17" s="3655"/>
      <c r="F17" s="3655"/>
      <c r="G17" s="3655"/>
      <c r="H17" s="3655"/>
      <c r="I17" s="3655"/>
      <c r="J17" s="3655"/>
      <c r="K17" s="3655"/>
      <c r="L17" s="3655"/>
      <c r="M17" s="3655"/>
      <c r="N17" s="3655"/>
      <c r="O17" s="3655"/>
      <c r="P17" s="3655"/>
      <c r="Q17" s="3655"/>
      <c r="U17" s="3653"/>
    </row>
    <row r="18" spans="1:22" ht="15" customHeight="1">
      <c r="A18" s="3656"/>
      <c r="B18" s="3656"/>
      <c r="D18" s="3657"/>
      <c r="F18" s="3658"/>
      <c r="J18" s="4157" t="s">
        <v>1773</v>
      </c>
      <c r="K18" s="4157"/>
      <c r="L18" s="4157"/>
      <c r="M18" s="4157"/>
      <c r="N18" s="4157"/>
      <c r="O18" s="4157"/>
      <c r="P18" s="4157"/>
      <c r="Q18" s="4157"/>
      <c r="R18" s="4157"/>
      <c r="S18" s="4157"/>
      <c r="T18" s="3659"/>
      <c r="U18" s="3660"/>
      <c r="V18" s="3661"/>
    </row>
    <row r="19" spans="1:22" ht="15.75">
      <c r="A19" s="4158" t="s">
        <v>45</v>
      </c>
      <c r="B19" s="4158"/>
      <c r="C19" s="4158"/>
      <c r="D19" s="4158"/>
      <c r="E19" s="4158" t="s">
        <v>44</v>
      </c>
      <c r="F19" s="4158"/>
      <c r="G19" s="3662"/>
      <c r="H19" s="3662"/>
      <c r="I19" s="3662" t="s">
        <v>615</v>
      </c>
      <c r="J19" s="3662"/>
      <c r="K19" s="3662"/>
      <c r="L19" s="3662"/>
      <c r="M19" s="3662"/>
      <c r="N19" s="4158" t="s">
        <v>614</v>
      </c>
      <c r="O19" s="4158"/>
      <c r="P19" s="4158"/>
      <c r="Q19" s="4158"/>
      <c r="R19" s="4158"/>
      <c r="S19" s="4158"/>
      <c r="T19" s="3663"/>
      <c r="U19" s="3662"/>
    </row>
    <row r="22" spans="1:22" ht="57.75" customHeight="1"/>
    <row r="24" spans="1:22" s="3624" customFormat="1" ht="14.25">
      <c r="A24" s="4154"/>
      <c r="B24" s="4154"/>
      <c r="C24" s="4154"/>
      <c r="D24" s="4154"/>
      <c r="E24" s="4154"/>
      <c r="F24" s="4154"/>
      <c r="J24" s="3664"/>
      <c r="Q24" s="4154"/>
      <c r="R24" s="4154"/>
      <c r="S24" s="4154"/>
    </row>
    <row r="25" spans="1:22">
      <c r="Q25" s="4154"/>
      <c r="R25" s="4154"/>
      <c r="S25" s="4154"/>
      <c r="T25" s="3665"/>
    </row>
  </sheetData>
  <mergeCells count="34">
    <mergeCell ref="A1:U1"/>
    <mergeCell ref="A3:U3"/>
    <mergeCell ref="A2:U2"/>
    <mergeCell ref="A7:U7"/>
    <mergeCell ref="C14:D14"/>
    <mergeCell ref="C13:D13"/>
    <mergeCell ref="C12:D12"/>
    <mergeCell ref="C11:D11"/>
    <mergeCell ref="A4:S4"/>
    <mergeCell ref="A5:F5"/>
    <mergeCell ref="A6:S6"/>
    <mergeCell ref="A9:A10"/>
    <mergeCell ref="B9:B10"/>
    <mergeCell ref="C9:D10"/>
    <mergeCell ref="E9:E10"/>
    <mergeCell ref="F9:K9"/>
    <mergeCell ref="Q9:Q10"/>
    <mergeCell ref="R9:R10"/>
    <mergeCell ref="E24:F24"/>
    <mergeCell ref="Q24:S24"/>
    <mergeCell ref="S9:S10"/>
    <mergeCell ref="A15:E15"/>
    <mergeCell ref="Q25:S25"/>
    <mergeCell ref="J18:S18"/>
    <mergeCell ref="A19:D19"/>
    <mergeCell ref="E19:F19"/>
    <mergeCell ref="N19:S19"/>
    <mergeCell ref="A24:D24"/>
    <mergeCell ref="A16:S16"/>
    <mergeCell ref="L9:L10"/>
    <mergeCell ref="M9:M10"/>
    <mergeCell ref="N9:N10"/>
    <mergeCell ref="O9:O10"/>
    <mergeCell ref="P9:P10"/>
  </mergeCells>
  <pageMargins left="0.98425196850393704" right="0.98425196850393704" top="0.59055118110236227" bottom="0.59055118110236227" header="0.59055118110236227" footer="0.59055118110236227"/>
  <pageSetup paperSize="9" orientation="landscape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AI24"/>
  <sheetViews>
    <sheetView zoomScaleNormal="100" workbookViewId="0">
      <selection activeCell="D11" sqref="D11:L15"/>
    </sheetView>
  </sheetViews>
  <sheetFormatPr defaultRowHeight="15"/>
  <cols>
    <col min="1" max="1" width="5.375" style="1459" customWidth="1"/>
    <col min="2" max="2" width="9" style="1459" hidden="1" customWidth="1"/>
    <col min="3" max="3" width="18.875" style="1459" customWidth="1"/>
    <col min="4" max="6" width="4.25" style="1459" customWidth="1"/>
    <col min="7" max="7" width="5.25" style="1459" customWidth="1"/>
    <col min="8" max="13" width="4.25" style="1459" customWidth="1"/>
    <col min="14" max="14" width="4.875" style="1459" customWidth="1"/>
    <col min="15" max="27" width="4.25" style="1459" customWidth="1"/>
    <col min="28" max="28" width="4.625" style="1459" customWidth="1"/>
    <col min="29" max="31" width="4.25" style="1459" customWidth="1"/>
    <col min="32" max="33" width="5.375" style="1459" customWidth="1"/>
    <col min="34" max="34" width="4.25" style="1459" customWidth="1"/>
    <col min="35" max="35" width="7.75" style="1459" customWidth="1"/>
    <col min="36" max="242" width="9" style="1459"/>
    <col min="243" max="243" width="9" style="1459" customWidth="1"/>
    <col min="244" max="244" width="24" style="1459" customWidth="1"/>
    <col min="245" max="275" width="4.25" style="1459" customWidth="1"/>
    <col min="276" max="276" width="9.25" style="1459" customWidth="1"/>
    <col min="277" max="286" width="0" style="1459" hidden="1" customWidth="1"/>
    <col min="287" max="498" width="9" style="1459"/>
    <col min="499" max="499" width="9" style="1459" customWidth="1"/>
    <col min="500" max="500" width="24" style="1459" customWidth="1"/>
    <col min="501" max="531" width="4.25" style="1459" customWidth="1"/>
    <col min="532" max="532" width="9.25" style="1459" customWidth="1"/>
    <col min="533" max="542" width="0" style="1459" hidden="1" customWidth="1"/>
    <col min="543" max="754" width="9" style="1459"/>
    <col min="755" max="755" width="9" style="1459" customWidth="1"/>
    <col min="756" max="756" width="24" style="1459" customWidth="1"/>
    <col min="757" max="787" width="4.25" style="1459" customWidth="1"/>
    <col min="788" max="788" width="9.25" style="1459" customWidth="1"/>
    <col min="789" max="798" width="0" style="1459" hidden="1" customWidth="1"/>
    <col min="799" max="1010" width="9" style="1459"/>
    <col min="1011" max="1011" width="9" style="1459" customWidth="1"/>
    <col min="1012" max="1012" width="24" style="1459" customWidth="1"/>
    <col min="1013" max="1043" width="4.25" style="1459" customWidth="1"/>
    <col min="1044" max="1044" width="9.25" style="1459" customWidth="1"/>
    <col min="1045" max="1054" width="0" style="1459" hidden="1" customWidth="1"/>
    <col min="1055" max="1266" width="9" style="1459"/>
    <col min="1267" max="1267" width="9" style="1459" customWidth="1"/>
    <col min="1268" max="1268" width="24" style="1459" customWidth="1"/>
    <col min="1269" max="1299" width="4.25" style="1459" customWidth="1"/>
    <col min="1300" max="1300" width="9.25" style="1459" customWidth="1"/>
    <col min="1301" max="1310" width="0" style="1459" hidden="1" customWidth="1"/>
    <col min="1311" max="1522" width="9" style="1459"/>
    <col min="1523" max="1523" width="9" style="1459" customWidth="1"/>
    <col min="1524" max="1524" width="24" style="1459" customWidth="1"/>
    <col min="1525" max="1555" width="4.25" style="1459" customWidth="1"/>
    <col min="1556" max="1556" width="9.25" style="1459" customWidth="1"/>
    <col min="1557" max="1566" width="0" style="1459" hidden="1" customWidth="1"/>
    <col min="1567" max="1778" width="9" style="1459"/>
    <col min="1779" max="1779" width="9" style="1459" customWidth="1"/>
    <col min="1780" max="1780" width="24" style="1459" customWidth="1"/>
    <col min="1781" max="1811" width="4.25" style="1459" customWidth="1"/>
    <col min="1812" max="1812" width="9.25" style="1459" customWidth="1"/>
    <col min="1813" max="1822" width="0" style="1459" hidden="1" customWidth="1"/>
    <col min="1823" max="2034" width="9" style="1459"/>
    <col min="2035" max="2035" width="9" style="1459" customWidth="1"/>
    <col min="2036" max="2036" width="24" style="1459" customWidth="1"/>
    <col min="2037" max="2067" width="4.25" style="1459" customWidth="1"/>
    <col min="2068" max="2068" width="9.25" style="1459" customWidth="1"/>
    <col min="2069" max="2078" width="0" style="1459" hidden="1" customWidth="1"/>
    <col min="2079" max="2290" width="9" style="1459"/>
    <col min="2291" max="2291" width="9" style="1459" customWidth="1"/>
    <col min="2292" max="2292" width="24" style="1459" customWidth="1"/>
    <col min="2293" max="2323" width="4.25" style="1459" customWidth="1"/>
    <col min="2324" max="2324" width="9.25" style="1459" customWidth="1"/>
    <col min="2325" max="2334" width="0" style="1459" hidden="1" customWidth="1"/>
    <col min="2335" max="2546" width="9" style="1459"/>
    <col min="2547" max="2547" width="9" style="1459" customWidth="1"/>
    <col min="2548" max="2548" width="24" style="1459" customWidth="1"/>
    <col min="2549" max="2579" width="4.25" style="1459" customWidth="1"/>
    <col min="2580" max="2580" width="9.25" style="1459" customWidth="1"/>
    <col min="2581" max="2590" width="0" style="1459" hidden="1" customWidth="1"/>
    <col min="2591" max="2802" width="9" style="1459"/>
    <col min="2803" max="2803" width="9" style="1459" customWidth="1"/>
    <col min="2804" max="2804" width="24" style="1459" customWidth="1"/>
    <col min="2805" max="2835" width="4.25" style="1459" customWidth="1"/>
    <col min="2836" max="2836" width="9.25" style="1459" customWidth="1"/>
    <col min="2837" max="2846" width="0" style="1459" hidden="1" customWidth="1"/>
    <col min="2847" max="3058" width="9" style="1459"/>
    <col min="3059" max="3059" width="9" style="1459" customWidth="1"/>
    <col min="3060" max="3060" width="24" style="1459" customWidth="1"/>
    <col min="3061" max="3091" width="4.25" style="1459" customWidth="1"/>
    <col min="3092" max="3092" width="9.25" style="1459" customWidth="1"/>
    <col min="3093" max="3102" width="0" style="1459" hidden="1" customWidth="1"/>
    <col min="3103" max="3314" width="9" style="1459"/>
    <col min="3315" max="3315" width="9" style="1459" customWidth="1"/>
    <col min="3316" max="3316" width="24" style="1459" customWidth="1"/>
    <col min="3317" max="3347" width="4.25" style="1459" customWidth="1"/>
    <col min="3348" max="3348" width="9.25" style="1459" customWidth="1"/>
    <col min="3349" max="3358" width="0" style="1459" hidden="1" customWidth="1"/>
    <col min="3359" max="3570" width="9" style="1459"/>
    <col min="3571" max="3571" width="9" style="1459" customWidth="1"/>
    <col min="3572" max="3572" width="24" style="1459" customWidth="1"/>
    <col min="3573" max="3603" width="4.25" style="1459" customWidth="1"/>
    <col min="3604" max="3604" width="9.25" style="1459" customWidth="1"/>
    <col min="3605" max="3614" width="0" style="1459" hidden="1" customWidth="1"/>
    <col min="3615" max="3826" width="9" style="1459"/>
    <col min="3827" max="3827" width="9" style="1459" customWidth="1"/>
    <col min="3828" max="3828" width="24" style="1459" customWidth="1"/>
    <col min="3829" max="3859" width="4.25" style="1459" customWidth="1"/>
    <col min="3860" max="3860" width="9.25" style="1459" customWidth="1"/>
    <col min="3861" max="3870" width="0" style="1459" hidden="1" customWidth="1"/>
    <col min="3871" max="4082" width="9" style="1459"/>
    <col min="4083" max="4083" width="9" style="1459" customWidth="1"/>
    <col min="4084" max="4084" width="24" style="1459" customWidth="1"/>
    <col min="4085" max="4115" width="4.25" style="1459" customWidth="1"/>
    <col min="4116" max="4116" width="9.25" style="1459" customWidth="1"/>
    <col min="4117" max="4126" width="0" style="1459" hidden="1" customWidth="1"/>
    <col min="4127" max="4338" width="9" style="1459"/>
    <col min="4339" max="4339" width="9" style="1459" customWidth="1"/>
    <col min="4340" max="4340" width="24" style="1459" customWidth="1"/>
    <col min="4341" max="4371" width="4.25" style="1459" customWidth="1"/>
    <col min="4372" max="4372" width="9.25" style="1459" customWidth="1"/>
    <col min="4373" max="4382" width="0" style="1459" hidden="1" customWidth="1"/>
    <col min="4383" max="4594" width="9" style="1459"/>
    <col min="4595" max="4595" width="9" style="1459" customWidth="1"/>
    <col min="4596" max="4596" width="24" style="1459" customWidth="1"/>
    <col min="4597" max="4627" width="4.25" style="1459" customWidth="1"/>
    <col min="4628" max="4628" width="9.25" style="1459" customWidth="1"/>
    <col min="4629" max="4638" width="0" style="1459" hidden="1" customWidth="1"/>
    <col min="4639" max="4850" width="9" style="1459"/>
    <col min="4851" max="4851" width="9" style="1459" customWidth="1"/>
    <col min="4852" max="4852" width="24" style="1459" customWidth="1"/>
    <col min="4853" max="4883" width="4.25" style="1459" customWidth="1"/>
    <col min="4884" max="4884" width="9.25" style="1459" customWidth="1"/>
    <col min="4885" max="4894" width="0" style="1459" hidden="1" customWidth="1"/>
    <col min="4895" max="5106" width="9" style="1459"/>
    <col min="5107" max="5107" width="9" style="1459" customWidth="1"/>
    <col min="5108" max="5108" width="24" style="1459" customWidth="1"/>
    <col min="5109" max="5139" width="4.25" style="1459" customWidth="1"/>
    <col min="5140" max="5140" width="9.25" style="1459" customWidth="1"/>
    <col min="5141" max="5150" width="0" style="1459" hidden="1" customWidth="1"/>
    <col min="5151" max="5362" width="9" style="1459"/>
    <col min="5363" max="5363" width="9" style="1459" customWidth="1"/>
    <col min="5364" max="5364" width="24" style="1459" customWidth="1"/>
    <col min="5365" max="5395" width="4.25" style="1459" customWidth="1"/>
    <col min="5396" max="5396" width="9.25" style="1459" customWidth="1"/>
    <col min="5397" max="5406" width="0" style="1459" hidden="1" customWidth="1"/>
    <col min="5407" max="5618" width="9" style="1459"/>
    <col min="5619" max="5619" width="9" style="1459" customWidth="1"/>
    <col min="5620" max="5620" width="24" style="1459" customWidth="1"/>
    <col min="5621" max="5651" width="4.25" style="1459" customWidth="1"/>
    <col min="5652" max="5652" width="9.25" style="1459" customWidth="1"/>
    <col min="5653" max="5662" width="0" style="1459" hidden="1" customWidth="1"/>
    <col min="5663" max="5874" width="9" style="1459"/>
    <col min="5875" max="5875" width="9" style="1459" customWidth="1"/>
    <col min="5876" max="5876" width="24" style="1459" customWidth="1"/>
    <col min="5877" max="5907" width="4.25" style="1459" customWidth="1"/>
    <col min="5908" max="5908" width="9.25" style="1459" customWidth="1"/>
    <col min="5909" max="5918" width="0" style="1459" hidden="1" customWidth="1"/>
    <col min="5919" max="6130" width="9" style="1459"/>
    <col min="6131" max="6131" width="9" style="1459" customWidth="1"/>
    <col min="6132" max="6132" width="24" style="1459" customWidth="1"/>
    <col min="6133" max="6163" width="4.25" style="1459" customWidth="1"/>
    <col min="6164" max="6164" width="9.25" style="1459" customWidth="1"/>
    <col min="6165" max="6174" width="0" style="1459" hidden="1" customWidth="1"/>
    <col min="6175" max="6386" width="9" style="1459"/>
    <col min="6387" max="6387" width="9" style="1459" customWidth="1"/>
    <col min="6388" max="6388" width="24" style="1459" customWidth="1"/>
    <col min="6389" max="6419" width="4.25" style="1459" customWidth="1"/>
    <col min="6420" max="6420" width="9.25" style="1459" customWidth="1"/>
    <col min="6421" max="6430" width="0" style="1459" hidden="1" customWidth="1"/>
    <col min="6431" max="6642" width="9" style="1459"/>
    <col min="6643" max="6643" width="9" style="1459" customWidth="1"/>
    <col min="6644" max="6644" width="24" style="1459" customWidth="1"/>
    <col min="6645" max="6675" width="4.25" style="1459" customWidth="1"/>
    <col min="6676" max="6676" width="9.25" style="1459" customWidth="1"/>
    <col min="6677" max="6686" width="0" style="1459" hidden="1" customWidth="1"/>
    <col min="6687" max="6898" width="9" style="1459"/>
    <col min="6899" max="6899" width="9" style="1459" customWidth="1"/>
    <col min="6900" max="6900" width="24" style="1459" customWidth="1"/>
    <col min="6901" max="6931" width="4.25" style="1459" customWidth="1"/>
    <col min="6932" max="6932" width="9.25" style="1459" customWidth="1"/>
    <col min="6933" max="6942" width="0" style="1459" hidden="1" customWidth="1"/>
    <col min="6943" max="7154" width="9" style="1459"/>
    <col min="7155" max="7155" width="9" style="1459" customWidth="1"/>
    <col min="7156" max="7156" width="24" style="1459" customWidth="1"/>
    <col min="7157" max="7187" width="4.25" style="1459" customWidth="1"/>
    <col min="7188" max="7188" width="9.25" style="1459" customWidth="1"/>
    <col min="7189" max="7198" width="0" style="1459" hidden="1" customWidth="1"/>
    <col min="7199" max="7410" width="9" style="1459"/>
    <col min="7411" max="7411" width="9" style="1459" customWidth="1"/>
    <col min="7412" max="7412" width="24" style="1459" customWidth="1"/>
    <col min="7413" max="7443" width="4.25" style="1459" customWidth="1"/>
    <col min="7444" max="7444" width="9.25" style="1459" customWidth="1"/>
    <col min="7445" max="7454" width="0" style="1459" hidden="1" customWidth="1"/>
    <col min="7455" max="7666" width="9" style="1459"/>
    <col min="7667" max="7667" width="9" style="1459" customWidth="1"/>
    <col min="7668" max="7668" width="24" style="1459" customWidth="1"/>
    <col min="7669" max="7699" width="4.25" style="1459" customWidth="1"/>
    <col min="7700" max="7700" width="9.25" style="1459" customWidth="1"/>
    <col min="7701" max="7710" width="0" style="1459" hidden="1" customWidth="1"/>
    <col min="7711" max="7922" width="9" style="1459"/>
    <col min="7923" max="7923" width="9" style="1459" customWidth="1"/>
    <col min="7924" max="7924" width="24" style="1459" customWidth="1"/>
    <col min="7925" max="7955" width="4.25" style="1459" customWidth="1"/>
    <col min="7956" max="7956" width="9.25" style="1459" customWidth="1"/>
    <col min="7957" max="7966" width="0" style="1459" hidden="1" customWidth="1"/>
    <col min="7967" max="8178" width="9" style="1459"/>
    <col min="8179" max="8179" width="9" style="1459" customWidth="1"/>
    <col min="8180" max="8180" width="24" style="1459" customWidth="1"/>
    <col min="8181" max="8211" width="4.25" style="1459" customWidth="1"/>
    <col min="8212" max="8212" width="9.25" style="1459" customWidth="1"/>
    <col min="8213" max="8222" width="0" style="1459" hidden="1" customWidth="1"/>
    <col min="8223" max="8434" width="9" style="1459"/>
    <col min="8435" max="8435" width="9" style="1459" customWidth="1"/>
    <col min="8436" max="8436" width="24" style="1459" customWidth="1"/>
    <col min="8437" max="8467" width="4.25" style="1459" customWidth="1"/>
    <col min="8468" max="8468" width="9.25" style="1459" customWidth="1"/>
    <col min="8469" max="8478" width="0" style="1459" hidden="1" customWidth="1"/>
    <col min="8479" max="8690" width="9" style="1459"/>
    <col min="8691" max="8691" width="9" style="1459" customWidth="1"/>
    <col min="8692" max="8692" width="24" style="1459" customWidth="1"/>
    <col min="8693" max="8723" width="4.25" style="1459" customWidth="1"/>
    <col min="8724" max="8724" width="9.25" style="1459" customWidth="1"/>
    <col min="8725" max="8734" width="0" style="1459" hidden="1" customWidth="1"/>
    <col min="8735" max="8946" width="9" style="1459"/>
    <col min="8947" max="8947" width="9" style="1459" customWidth="1"/>
    <col min="8948" max="8948" width="24" style="1459" customWidth="1"/>
    <col min="8949" max="8979" width="4.25" style="1459" customWidth="1"/>
    <col min="8980" max="8980" width="9.25" style="1459" customWidth="1"/>
    <col min="8981" max="8990" width="0" style="1459" hidden="1" customWidth="1"/>
    <col min="8991" max="9202" width="9" style="1459"/>
    <col min="9203" max="9203" width="9" style="1459" customWidth="1"/>
    <col min="9204" max="9204" width="24" style="1459" customWidth="1"/>
    <col min="9205" max="9235" width="4.25" style="1459" customWidth="1"/>
    <col min="9236" max="9236" width="9.25" style="1459" customWidth="1"/>
    <col min="9237" max="9246" width="0" style="1459" hidden="1" customWidth="1"/>
    <col min="9247" max="9458" width="9" style="1459"/>
    <col min="9459" max="9459" width="9" style="1459" customWidth="1"/>
    <col min="9460" max="9460" width="24" style="1459" customWidth="1"/>
    <col min="9461" max="9491" width="4.25" style="1459" customWidth="1"/>
    <col min="9492" max="9492" width="9.25" style="1459" customWidth="1"/>
    <col min="9493" max="9502" width="0" style="1459" hidden="1" customWidth="1"/>
    <col min="9503" max="9714" width="9" style="1459"/>
    <col min="9715" max="9715" width="9" style="1459" customWidth="1"/>
    <col min="9716" max="9716" width="24" style="1459" customWidth="1"/>
    <col min="9717" max="9747" width="4.25" style="1459" customWidth="1"/>
    <col min="9748" max="9748" width="9.25" style="1459" customWidth="1"/>
    <col min="9749" max="9758" width="0" style="1459" hidden="1" customWidth="1"/>
    <col min="9759" max="9970" width="9" style="1459"/>
    <col min="9971" max="9971" width="9" style="1459" customWidth="1"/>
    <col min="9972" max="9972" width="24" style="1459" customWidth="1"/>
    <col min="9973" max="10003" width="4.25" style="1459" customWidth="1"/>
    <col min="10004" max="10004" width="9.25" style="1459" customWidth="1"/>
    <col min="10005" max="10014" width="0" style="1459" hidden="1" customWidth="1"/>
    <col min="10015" max="10226" width="9" style="1459"/>
    <col min="10227" max="10227" width="9" style="1459" customWidth="1"/>
    <col min="10228" max="10228" width="24" style="1459" customWidth="1"/>
    <col min="10229" max="10259" width="4.25" style="1459" customWidth="1"/>
    <col min="10260" max="10260" width="9.25" style="1459" customWidth="1"/>
    <col min="10261" max="10270" width="0" style="1459" hidden="1" customWidth="1"/>
    <col min="10271" max="10482" width="9" style="1459"/>
    <col min="10483" max="10483" width="9" style="1459" customWidth="1"/>
    <col min="10484" max="10484" width="24" style="1459" customWidth="1"/>
    <col min="10485" max="10515" width="4.25" style="1459" customWidth="1"/>
    <col min="10516" max="10516" width="9.25" style="1459" customWidth="1"/>
    <col min="10517" max="10526" width="0" style="1459" hidden="1" customWidth="1"/>
    <col min="10527" max="10738" width="9" style="1459"/>
    <col min="10739" max="10739" width="9" style="1459" customWidth="1"/>
    <col min="10740" max="10740" width="24" style="1459" customWidth="1"/>
    <col min="10741" max="10771" width="4.25" style="1459" customWidth="1"/>
    <col min="10772" max="10772" width="9.25" style="1459" customWidth="1"/>
    <col min="10773" max="10782" width="0" style="1459" hidden="1" customWidth="1"/>
    <col min="10783" max="10994" width="9" style="1459"/>
    <col min="10995" max="10995" width="9" style="1459" customWidth="1"/>
    <col min="10996" max="10996" width="24" style="1459" customWidth="1"/>
    <col min="10997" max="11027" width="4.25" style="1459" customWidth="1"/>
    <col min="11028" max="11028" width="9.25" style="1459" customWidth="1"/>
    <col min="11029" max="11038" width="0" style="1459" hidden="1" customWidth="1"/>
    <col min="11039" max="11250" width="9" style="1459"/>
    <col min="11251" max="11251" width="9" style="1459" customWidth="1"/>
    <col min="11252" max="11252" width="24" style="1459" customWidth="1"/>
    <col min="11253" max="11283" width="4.25" style="1459" customWidth="1"/>
    <col min="11284" max="11284" width="9.25" style="1459" customWidth="1"/>
    <col min="11285" max="11294" width="0" style="1459" hidden="1" customWidth="1"/>
    <col min="11295" max="11506" width="9" style="1459"/>
    <col min="11507" max="11507" width="9" style="1459" customWidth="1"/>
    <col min="11508" max="11508" width="24" style="1459" customWidth="1"/>
    <col min="11509" max="11539" width="4.25" style="1459" customWidth="1"/>
    <col min="11540" max="11540" width="9.25" style="1459" customWidth="1"/>
    <col min="11541" max="11550" width="0" style="1459" hidden="1" customWidth="1"/>
    <col min="11551" max="11762" width="9" style="1459"/>
    <col min="11763" max="11763" width="9" style="1459" customWidth="1"/>
    <col min="11764" max="11764" width="24" style="1459" customWidth="1"/>
    <col min="11765" max="11795" width="4.25" style="1459" customWidth="1"/>
    <col min="11796" max="11796" width="9.25" style="1459" customWidth="1"/>
    <col min="11797" max="11806" width="0" style="1459" hidden="1" customWidth="1"/>
    <col min="11807" max="12018" width="9" style="1459"/>
    <col min="12019" max="12019" width="9" style="1459" customWidth="1"/>
    <col min="12020" max="12020" width="24" style="1459" customWidth="1"/>
    <col min="12021" max="12051" width="4.25" style="1459" customWidth="1"/>
    <col min="12052" max="12052" width="9.25" style="1459" customWidth="1"/>
    <col min="12053" max="12062" width="0" style="1459" hidden="1" customWidth="1"/>
    <col min="12063" max="12274" width="9" style="1459"/>
    <col min="12275" max="12275" width="9" style="1459" customWidth="1"/>
    <col min="12276" max="12276" width="24" style="1459" customWidth="1"/>
    <col min="12277" max="12307" width="4.25" style="1459" customWidth="1"/>
    <col min="12308" max="12308" width="9.25" style="1459" customWidth="1"/>
    <col min="12309" max="12318" width="0" style="1459" hidden="1" customWidth="1"/>
    <col min="12319" max="12530" width="9" style="1459"/>
    <col min="12531" max="12531" width="9" style="1459" customWidth="1"/>
    <col min="12532" max="12532" width="24" style="1459" customWidth="1"/>
    <col min="12533" max="12563" width="4.25" style="1459" customWidth="1"/>
    <col min="12564" max="12564" width="9.25" style="1459" customWidth="1"/>
    <col min="12565" max="12574" width="0" style="1459" hidden="1" customWidth="1"/>
    <col min="12575" max="12786" width="9" style="1459"/>
    <col min="12787" max="12787" width="9" style="1459" customWidth="1"/>
    <col min="12788" max="12788" width="24" style="1459" customWidth="1"/>
    <col min="12789" max="12819" width="4.25" style="1459" customWidth="1"/>
    <col min="12820" max="12820" width="9.25" style="1459" customWidth="1"/>
    <col min="12821" max="12830" width="0" style="1459" hidden="1" customWidth="1"/>
    <col min="12831" max="13042" width="9" style="1459"/>
    <col min="13043" max="13043" width="9" style="1459" customWidth="1"/>
    <col min="13044" max="13044" width="24" style="1459" customWidth="1"/>
    <col min="13045" max="13075" width="4.25" style="1459" customWidth="1"/>
    <col min="13076" max="13076" width="9.25" style="1459" customWidth="1"/>
    <col min="13077" max="13086" width="0" style="1459" hidden="1" customWidth="1"/>
    <col min="13087" max="13298" width="9" style="1459"/>
    <col min="13299" max="13299" width="9" style="1459" customWidth="1"/>
    <col min="13300" max="13300" width="24" style="1459" customWidth="1"/>
    <col min="13301" max="13331" width="4.25" style="1459" customWidth="1"/>
    <col min="13332" max="13332" width="9.25" style="1459" customWidth="1"/>
    <col min="13333" max="13342" width="0" style="1459" hidden="1" customWidth="1"/>
    <col min="13343" max="13554" width="9" style="1459"/>
    <col min="13555" max="13555" width="9" style="1459" customWidth="1"/>
    <col min="13556" max="13556" width="24" style="1459" customWidth="1"/>
    <col min="13557" max="13587" width="4.25" style="1459" customWidth="1"/>
    <col min="13588" max="13588" width="9.25" style="1459" customWidth="1"/>
    <col min="13589" max="13598" width="0" style="1459" hidden="1" customWidth="1"/>
    <col min="13599" max="13810" width="9" style="1459"/>
    <col min="13811" max="13811" width="9" style="1459" customWidth="1"/>
    <col min="13812" max="13812" width="24" style="1459" customWidth="1"/>
    <col min="13813" max="13843" width="4.25" style="1459" customWidth="1"/>
    <col min="13844" max="13844" width="9.25" style="1459" customWidth="1"/>
    <col min="13845" max="13854" width="0" style="1459" hidden="1" customWidth="1"/>
    <col min="13855" max="14066" width="9" style="1459"/>
    <col min="14067" max="14067" width="9" style="1459" customWidth="1"/>
    <col min="14068" max="14068" width="24" style="1459" customWidth="1"/>
    <col min="14069" max="14099" width="4.25" style="1459" customWidth="1"/>
    <col min="14100" max="14100" width="9.25" style="1459" customWidth="1"/>
    <col min="14101" max="14110" width="0" style="1459" hidden="1" customWidth="1"/>
    <col min="14111" max="14322" width="9" style="1459"/>
    <col min="14323" max="14323" width="9" style="1459" customWidth="1"/>
    <col min="14324" max="14324" width="24" style="1459" customWidth="1"/>
    <col min="14325" max="14355" width="4.25" style="1459" customWidth="1"/>
    <col min="14356" max="14356" width="9.25" style="1459" customWidth="1"/>
    <col min="14357" max="14366" width="0" style="1459" hidden="1" customWidth="1"/>
    <col min="14367" max="14578" width="9" style="1459"/>
    <col min="14579" max="14579" width="9" style="1459" customWidth="1"/>
    <col min="14580" max="14580" width="24" style="1459" customWidth="1"/>
    <col min="14581" max="14611" width="4.25" style="1459" customWidth="1"/>
    <col min="14612" max="14612" width="9.25" style="1459" customWidth="1"/>
    <col min="14613" max="14622" width="0" style="1459" hidden="1" customWidth="1"/>
    <col min="14623" max="14834" width="9" style="1459"/>
    <col min="14835" max="14835" width="9" style="1459" customWidth="1"/>
    <col min="14836" max="14836" width="24" style="1459" customWidth="1"/>
    <col min="14837" max="14867" width="4.25" style="1459" customWidth="1"/>
    <col min="14868" max="14868" width="9.25" style="1459" customWidth="1"/>
    <col min="14869" max="14878" width="0" style="1459" hidden="1" customWidth="1"/>
    <col min="14879" max="15090" width="9" style="1459"/>
    <col min="15091" max="15091" width="9" style="1459" customWidth="1"/>
    <col min="15092" max="15092" width="24" style="1459" customWidth="1"/>
    <col min="15093" max="15123" width="4.25" style="1459" customWidth="1"/>
    <col min="15124" max="15124" width="9.25" style="1459" customWidth="1"/>
    <col min="15125" max="15134" width="0" style="1459" hidden="1" customWidth="1"/>
    <col min="15135" max="15346" width="9" style="1459"/>
    <col min="15347" max="15347" width="9" style="1459" customWidth="1"/>
    <col min="15348" max="15348" width="24" style="1459" customWidth="1"/>
    <col min="15349" max="15379" width="4.25" style="1459" customWidth="1"/>
    <col min="15380" max="15380" width="9.25" style="1459" customWidth="1"/>
    <col min="15381" max="15390" width="0" style="1459" hidden="1" customWidth="1"/>
    <col min="15391" max="15602" width="9" style="1459"/>
    <col min="15603" max="15603" width="9" style="1459" customWidth="1"/>
    <col min="15604" max="15604" width="24" style="1459" customWidth="1"/>
    <col min="15605" max="15635" width="4.25" style="1459" customWidth="1"/>
    <col min="15636" max="15636" width="9.25" style="1459" customWidth="1"/>
    <col min="15637" max="15646" width="0" style="1459" hidden="1" customWidth="1"/>
    <col min="15647" max="15858" width="9" style="1459"/>
    <col min="15859" max="15859" width="9" style="1459" customWidth="1"/>
    <col min="15860" max="15860" width="24" style="1459" customWidth="1"/>
    <col min="15861" max="15891" width="4.25" style="1459" customWidth="1"/>
    <col min="15892" max="15892" width="9.25" style="1459" customWidth="1"/>
    <col min="15893" max="15902" width="0" style="1459" hidden="1" customWidth="1"/>
    <col min="15903" max="16114" width="9" style="1459"/>
    <col min="16115" max="16115" width="9" style="1459" customWidth="1"/>
    <col min="16116" max="16116" width="24" style="1459" customWidth="1"/>
    <col min="16117" max="16147" width="4.25" style="1459" customWidth="1"/>
    <col min="16148" max="16148" width="9.25" style="1459" customWidth="1"/>
    <col min="16149" max="16158" width="0" style="1459" hidden="1" customWidth="1"/>
    <col min="16159" max="16368" width="9" style="1459"/>
    <col min="16369" max="16384" width="9" style="1459" customWidth="1"/>
  </cols>
  <sheetData>
    <row r="1" spans="1:35">
      <c r="A1" s="3671" t="s">
        <v>165</v>
      </c>
      <c r="B1" s="3671"/>
      <c r="C1" s="3671"/>
      <c r="D1" s="3671"/>
      <c r="E1" s="3671"/>
      <c r="F1" s="3671"/>
      <c r="G1" s="3671"/>
      <c r="H1" s="3671"/>
      <c r="I1" s="3671"/>
      <c r="J1" s="3671"/>
      <c r="K1" s="3671"/>
      <c r="L1" s="3671"/>
      <c r="M1" s="3671"/>
      <c r="N1" s="3671"/>
      <c r="O1" s="3671"/>
      <c r="P1" s="3671"/>
      <c r="Q1" s="3671"/>
      <c r="R1" s="3671"/>
      <c r="S1" s="3671"/>
      <c r="T1" s="3671"/>
      <c r="U1" s="3671"/>
      <c r="V1" s="3671"/>
      <c r="W1" s="3671"/>
      <c r="X1" s="3671"/>
      <c r="Y1" s="3671"/>
      <c r="Z1" s="3671"/>
      <c r="AA1" s="3671"/>
      <c r="AB1" s="3671"/>
      <c r="AC1" s="3671"/>
      <c r="AD1" s="3671"/>
      <c r="AE1" s="3671"/>
      <c r="AF1" s="3671"/>
      <c r="AG1" s="3671"/>
      <c r="AH1" s="3671"/>
      <c r="AI1" s="3671"/>
    </row>
    <row r="2" spans="1:35">
      <c r="A2" s="3671" t="s">
        <v>55</v>
      </c>
      <c r="B2" s="3671"/>
      <c r="C2" s="3671"/>
      <c r="D2" s="3671"/>
      <c r="E2" s="3671"/>
      <c r="F2" s="3671"/>
      <c r="G2" s="3671"/>
      <c r="H2" s="3671"/>
      <c r="I2" s="3671"/>
      <c r="J2" s="3671"/>
      <c r="K2" s="3671"/>
      <c r="L2" s="3671"/>
      <c r="M2" s="3671"/>
      <c r="N2" s="3671"/>
      <c r="O2" s="3671"/>
      <c r="P2" s="3671"/>
      <c r="Q2" s="3671"/>
      <c r="R2" s="3671"/>
      <c r="S2" s="3671"/>
      <c r="T2" s="3671"/>
      <c r="U2" s="3671"/>
      <c r="V2" s="3671"/>
      <c r="W2" s="3671"/>
      <c r="X2" s="3671"/>
      <c r="Y2" s="3671"/>
      <c r="Z2" s="3671"/>
      <c r="AA2" s="3671"/>
      <c r="AB2" s="3671"/>
      <c r="AC2" s="3671"/>
      <c r="AD2" s="3671"/>
      <c r="AE2" s="3671"/>
      <c r="AF2" s="3671"/>
      <c r="AG2" s="3671"/>
      <c r="AH2" s="3671"/>
      <c r="AI2" s="3671"/>
    </row>
    <row r="3" spans="1:35">
      <c r="A3" s="3671" t="s">
        <v>726</v>
      </c>
      <c r="B3" s="3671"/>
      <c r="C3" s="3671"/>
      <c r="D3" s="3671"/>
      <c r="E3" s="3671"/>
      <c r="F3" s="3671"/>
      <c r="G3" s="3671"/>
      <c r="H3" s="3671"/>
      <c r="I3" s="3671"/>
      <c r="J3" s="3671"/>
      <c r="K3" s="3671"/>
      <c r="L3" s="3671"/>
      <c r="M3" s="3671"/>
      <c r="N3" s="3671"/>
      <c r="O3" s="3671"/>
      <c r="P3" s="3671"/>
      <c r="Q3" s="3671"/>
      <c r="R3" s="3671"/>
      <c r="S3" s="3671"/>
      <c r="T3" s="3671"/>
      <c r="U3" s="3671"/>
      <c r="V3" s="3671"/>
      <c r="W3" s="3671"/>
      <c r="X3" s="3671"/>
      <c r="Y3" s="3671"/>
      <c r="Z3" s="3671"/>
      <c r="AA3" s="3671"/>
      <c r="AB3" s="3671"/>
      <c r="AC3" s="3671"/>
      <c r="AD3" s="3671"/>
      <c r="AE3" s="3671"/>
      <c r="AF3" s="3671"/>
      <c r="AG3" s="3671"/>
      <c r="AH3" s="3671"/>
      <c r="AI3" s="3671"/>
    </row>
    <row r="4" spans="1:35" ht="16.5">
      <c r="A4" s="1532" t="s">
        <v>574</v>
      </c>
      <c r="B4" s="1532"/>
      <c r="C4" s="1532"/>
      <c r="D4" s="1532"/>
    </row>
    <row r="5" spans="1:35" ht="16.5">
      <c r="A5" s="4173" t="s">
        <v>541</v>
      </c>
      <c r="B5" s="4173"/>
      <c r="C5" s="4173"/>
      <c r="D5" s="4173"/>
      <c r="E5" s="4173"/>
      <c r="F5" s="4173"/>
      <c r="G5" s="4173"/>
      <c r="H5" s="4173"/>
      <c r="I5" s="4173"/>
      <c r="J5" s="4173"/>
    </row>
    <row r="6" spans="1:35" ht="16.5">
      <c r="A6" s="1521"/>
      <c r="B6" s="1521"/>
      <c r="C6" s="1521"/>
      <c r="D6" s="1521"/>
      <c r="E6" s="1521"/>
      <c r="F6" s="1521"/>
      <c r="G6" s="1521"/>
      <c r="H6" s="1521"/>
      <c r="I6" s="1521"/>
      <c r="J6" s="1521"/>
    </row>
    <row r="7" spans="1:35" ht="18.75">
      <c r="D7" s="4149" t="s">
        <v>924</v>
      </c>
      <c r="E7" s="4149"/>
      <c r="F7" s="4149"/>
      <c r="G7" s="4149"/>
      <c r="H7" s="4149"/>
      <c r="I7" s="4149"/>
      <c r="J7" s="4149"/>
      <c r="K7" s="4149"/>
      <c r="L7" s="4149"/>
      <c r="M7" s="4149"/>
      <c r="N7" s="4149"/>
      <c r="O7" s="4149"/>
      <c r="P7" s="4149"/>
      <c r="Q7" s="4149"/>
      <c r="R7" s="4149"/>
      <c r="S7" s="4149"/>
      <c r="T7" s="4149"/>
      <c r="U7" s="4149"/>
      <c r="V7" s="4149"/>
      <c r="W7" s="4149"/>
      <c r="X7" s="4149"/>
      <c r="Y7" s="4149"/>
      <c r="Z7" s="4149"/>
      <c r="AA7" s="4149"/>
      <c r="AB7" s="4149"/>
      <c r="AC7" s="4149"/>
      <c r="AD7" s="4149"/>
      <c r="AE7" s="4149"/>
      <c r="AF7" s="4149"/>
      <c r="AG7" s="4149"/>
      <c r="AH7" s="4149"/>
    </row>
    <row r="8" spans="1:35" ht="15.75">
      <c r="B8" s="1460" t="s">
        <v>912</v>
      </c>
      <c r="C8" s="1460">
        <v>2024</v>
      </c>
      <c r="D8" s="4150" t="str">
        <f>"Tháng "&amp;IF(LEN($C$9)=1,"0"&amp;$C$9,$C$9)&amp;" năm "&amp;C8</f>
        <v>Tháng 05 năm 2024</v>
      </c>
      <c r="E8" s="4150"/>
      <c r="F8" s="4150"/>
      <c r="G8" s="4150"/>
      <c r="H8" s="4150"/>
      <c r="I8" s="4150"/>
      <c r="J8" s="4150"/>
      <c r="K8" s="4150"/>
      <c r="L8" s="4150"/>
      <c r="M8" s="4150"/>
      <c r="N8" s="4150"/>
      <c r="O8" s="4150"/>
      <c r="P8" s="4150"/>
      <c r="Q8" s="4150"/>
      <c r="R8" s="4150"/>
      <c r="S8" s="4150"/>
      <c r="T8" s="4150"/>
      <c r="U8" s="4150"/>
      <c r="V8" s="4150"/>
      <c r="W8" s="4150"/>
      <c r="X8" s="4150"/>
      <c r="Y8" s="4150"/>
      <c r="Z8" s="4150"/>
      <c r="AA8" s="4150"/>
      <c r="AB8" s="4150"/>
      <c r="AC8" s="4150"/>
      <c r="AD8" s="4150"/>
      <c r="AE8" s="4150"/>
      <c r="AF8" s="4150"/>
      <c r="AG8" s="4150"/>
      <c r="AH8" s="4150"/>
    </row>
    <row r="9" spans="1:35" ht="30.75" customHeight="1">
      <c r="B9" s="1460" t="s">
        <v>913</v>
      </c>
      <c r="C9" s="1460">
        <v>5</v>
      </c>
    </row>
    <row r="10" spans="1:35" ht="39" customHeight="1">
      <c r="A10" s="1525" t="s">
        <v>1</v>
      </c>
      <c r="B10" s="1526" t="s">
        <v>914</v>
      </c>
      <c r="C10" s="1527" t="s">
        <v>915</v>
      </c>
      <c r="D10" s="1468">
        <v>1</v>
      </c>
      <c r="E10" s="1468">
        <v>2</v>
      </c>
      <c r="F10" s="1529">
        <v>3</v>
      </c>
      <c r="G10" s="1529">
        <v>4</v>
      </c>
      <c r="H10" s="1529">
        <v>5</v>
      </c>
      <c r="I10" s="1529">
        <v>6</v>
      </c>
      <c r="J10" s="1529">
        <v>7</v>
      </c>
      <c r="K10" s="1529">
        <v>8</v>
      </c>
      <c r="L10" s="1529">
        <v>9</v>
      </c>
      <c r="M10" s="1529">
        <v>10</v>
      </c>
      <c r="N10" s="1529">
        <v>11</v>
      </c>
      <c r="O10" s="1529">
        <v>12</v>
      </c>
      <c r="P10" s="1529">
        <v>13</v>
      </c>
      <c r="Q10" s="1529">
        <v>14</v>
      </c>
      <c r="R10" s="1529">
        <v>15</v>
      </c>
      <c r="S10" s="1529">
        <v>16</v>
      </c>
      <c r="T10" s="1529">
        <v>17</v>
      </c>
      <c r="U10" s="1529">
        <v>18</v>
      </c>
      <c r="V10" s="1529">
        <v>19</v>
      </c>
      <c r="W10" s="1529">
        <v>20</v>
      </c>
      <c r="X10" s="1529">
        <v>21</v>
      </c>
      <c r="Y10" s="1529">
        <v>22</v>
      </c>
      <c r="Z10" s="1529">
        <v>23</v>
      </c>
      <c r="AA10" s="1529">
        <v>24</v>
      </c>
      <c r="AB10" s="1529">
        <v>25</v>
      </c>
      <c r="AC10" s="1529">
        <v>26</v>
      </c>
      <c r="AD10" s="1529">
        <v>27</v>
      </c>
      <c r="AE10" s="1529">
        <v>28</v>
      </c>
      <c r="AF10" s="1529">
        <v>29</v>
      </c>
      <c r="AG10" s="1529">
        <v>30</v>
      </c>
      <c r="AH10" s="1529">
        <v>31</v>
      </c>
      <c r="AI10" s="1528" t="s">
        <v>922</v>
      </c>
    </row>
    <row r="11" spans="1:35" ht="21" customHeight="1">
      <c r="A11" s="1461">
        <v>1</v>
      </c>
      <c r="B11" s="1462"/>
      <c r="C11" s="1461" t="s">
        <v>336</v>
      </c>
      <c r="D11" s="1462"/>
      <c r="E11" s="1462"/>
      <c r="F11" s="1462"/>
      <c r="G11" s="1462"/>
      <c r="H11" s="1462"/>
      <c r="I11" s="1462"/>
      <c r="J11" s="1462"/>
      <c r="K11" s="1462"/>
      <c r="L11" s="1462"/>
      <c r="M11" s="1462"/>
      <c r="N11" s="1462"/>
      <c r="O11" s="1462"/>
      <c r="P11" s="1462"/>
      <c r="Q11" s="1462"/>
      <c r="R11" s="1462"/>
      <c r="S11" s="1462"/>
      <c r="T11" s="1462"/>
      <c r="U11" s="1462"/>
      <c r="V11" s="1462"/>
      <c r="W11" s="1462"/>
      <c r="X11" s="1462"/>
      <c r="Y11" s="1462"/>
      <c r="Z11" s="1462"/>
      <c r="AA11" s="1462"/>
      <c r="AB11" s="1462"/>
      <c r="AC11" s="1462"/>
      <c r="AD11" s="1462"/>
      <c r="AE11" s="1462"/>
      <c r="AF11" s="1462"/>
      <c r="AG11" s="1462"/>
      <c r="AH11" s="1462"/>
      <c r="AI11" s="1464">
        <f>COUNTIF(D11:AH11,"X")</f>
        <v>0</v>
      </c>
    </row>
    <row r="12" spans="1:35" ht="21" customHeight="1">
      <c r="A12" s="1465">
        <v>2</v>
      </c>
      <c r="B12" s="1466"/>
      <c r="C12" s="1465" t="s">
        <v>917</v>
      </c>
      <c r="D12" s="1466"/>
      <c r="E12" s="1466"/>
      <c r="F12" s="1466"/>
      <c r="G12" s="1466"/>
      <c r="H12" s="1466"/>
      <c r="I12" s="1466"/>
      <c r="J12" s="1466"/>
      <c r="K12" s="1466"/>
      <c r="L12" s="1466"/>
      <c r="M12" s="1466"/>
      <c r="N12" s="1466"/>
      <c r="O12" s="1466"/>
      <c r="P12" s="1466"/>
      <c r="Q12" s="1466"/>
      <c r="R12" s="1466"/>
      <c r="S12" s="1466"/>
      <c r="T12" s="1466"/>
      <c r="U12" s="1466"/>
      <c r="V12" s="1466"/>
      <c r="W12" s="1466"/>
      <c r="X12" s="1466"/>
      <c r="Y12" s="1466"/>
      <c r="Z12" s="1466"/>
      <c r="AA12" s="1466"/>
      <c r="AB12" s="1466"/>
      <c r="AC12" s="1466"/>
      <c r="AD12" s="1466"/>
      <c r="AE12" s="1466"/>
      <c r="AF12" s="1466"/>
      <c r="AG12" s="1466"/>
      <c r="AH12" s="1466"/>
      <c r="AI12" s="1467">
        <f t="shared" ref="AI12:AI15" si="0">COUNTIF(D12:AH12,"X")</f>
        <v>0</v>
      </c>
    </row>
    <row r="13" spans="1:35" ht="21" customHeight="1">
      <c r="A13" s="1461">
        <v>3</v>
      </c>
      <c r="B13" s="1466"/>
      <c r="C13" s="1465" t="s">
        <v>96</v>
      </c>
      <c r="D13" s="1466"/>
      <c r="E13" s="1466"/>
      <c r="F13" s="1466"/>
      <c r="G13" s="1466"/>
      <c r="H13" s="1466"/>
      <c r="I13" s="1466"/>
      <c r="J13" s="1466"/>
      <c r="K13" s="1466"/>
      <c r="L13" s="1466"/>
      <c r="M13" s="1466"/>
      <c r="N13" s="1466"/>
      <c r="O13" s="1466"/>
      <c r="P13" s="1466"/>
      <c r="Q13" s="1466"/>
      <c r="R13" s="1466"/>
      <c r="S13" s="1466"/>
      <c r="T13" s="1466"/>
      <c r="U13" s="1466"/>
      <c r="V13" s="1466"/>
      <c r="W13" s="1466"/>
      <c r="X13" s="1466"/>
      <c r="Y13" s="1466"/>
      <c r="Z13" s="1466"/>
      <c r="AA13" s="1466"/>
      <c r="AB13" s="1466"/>
      <c r="AC13" s="1466"/>
      <c r="AD13" s="1466"/>
      <c r="AE13" s="1466"/>
      <c r="AF13" s="1466"/>
      <c r="AG13" s="1466"/>
      <c r="AH13" s="1466"/>
      <c r="AI13" s="1467">
        <f t="shared" si="0"/>
        <v>0</v>
      </c>
    </row>
    <row r="14" spans="1:35" ht="21" customHeight="1">
      <c r="A14" s="1465">
        <v>4</v>
      </c>
      <c r="B14" s="1466"/>
      <c r="C14" s="1465" t="s">
        <v>918</v>
      </c>
      <c r="D14" s="1466"/>
      <c r="E14" s="1466"/>
      <c r="F14" s="1466"/>
      <c r="G14" s="1466"/>
      <c r="H14" s="1466"/>
      <c r="I14" s="1466"/>
      <c r="J14" s="1466"/>
      <c r="K14" s="1466"/>
      <c r="L14" s="1466"/>
      <c r="M14" s="1466"/>
      <c r="N14" s="1466"/>
      <c r="O14" s="1466"/>
      <c r="P14" s="1466"/>
      <c r="Q14" s="1466"/>
      <c r="R14" s="1466"/>
      <c r="S14" s="1466"/>
      <c r="T14" s="1466"/>
      <c r="U14" s="1466"/>
      <c r="V14" s="1466"/>
      <c r="W14" s="1466"/>
      <c r="X14" s="1466"/>
      <c r="Y14" s="1466"/>
      <c r="Z14" s="1466"/>
      <c r="AA14" s="1466"/>
      <c r="AB14" s="1466"/>
      <c r="AC14" s="1466"/>
      <c r="AD14" s="1466"/>
      <c r="AE14" s="1466"/>
      <c r="AF14" s="1466"/>
      <c r="AG14" s="1466"/>
      <c r="AH14" s="1466"/>
      <c r="AI14" s="1467">
        <f t="shared" si="0"/>
        <v>0</v>
      </c>
    </row>
    <row r="15" spans="1:35" ht="20.25" customHeight="1">
      <c r="A15" s="1461">
        <v>5</v>
      </c>
      <c r="B15" s="1476"/>
      <c r="C15" s="1475" t="s">
        <v>919</v>
      </c>
      <c r="D15" s="1476"/>
      <c r="E15" s="1476"/>
      <c r="F15" s="1476"/>
      <c r="G15" s="1476"/>
      <c r="H15" s="1476"/>
      <c r="I15" s="1476"/>
      <c r="J15" s="1476"/>
      <c r="K15" s="1476"/>
      <c r="L15" s="1476"/>
      <c r="M15" s="1476"/>
      <c r="N15" s="1476"/>
      <c r="O15" s="1476"/>
      <c r="P15" s="1476"/>
      <c r="Q15" s="1476"/>
      <c r="R15" s="1476"/>
      <c r="S15" s="1476"/>
      <c r="T15" s="1476"/>
      <c r="U15" s="1476"/>
      <c r="V15" s="1476"/>
      <c r="W15" s="1476"/>
      <c r="X15" s="1476"/>
      <c r="Y15" s="1476"/>
      <c r="Z15" s="1476"/>
      <c r="AA15" s="1476"/>
      <c r="AB15" s="1476"/>
      <c r="AC15" s="1476"/>
      <c r="AD15" s="1476"/>
      <c r="AE15" s="1476"/>
      <c r="AF15" s="1476"/>
      <c r="AG15" s="1476"/>
      <c r="AH15" s="1476"/>
      <c r="AI15" s="1478">
        <f t="shared" si="0"/>
        <v>0</v>
      </c>
    </row>
    <row r="16" spans="1:35">
      <c r="A16" s="4140" t="s">
        <v>910</v>
      </c>
      <c r="B16" s="4140"/>
      <c r="C16" s="4140"/>
      <c r="D16" s="1615">
        <f>COUNTIF(D11:D15,"X")</f>
        <v>0</v>
      </c>
      <c r="E16" s="1615">
        <f t="shared" ref="E16:AH16" si="1">COUNTIF(E11:E15,"X")</f>
        <v>0</v>
      </c>
      <c r="F16" s="1615">
        <f t="shared" si="1"/>
        <v>0</v>
      </c>
      <c r="G16" s="1615">
        <f t="shared" si="1"/>
        <v>0</v>
      </c>
      <c r="H16" s="1615">
        <f t="shared" si="1"/>
        <v>0</v>
      </c>
      <c r="I16" s="1615">
        <f t="shared" si="1"/>
        <v>0</v>
      </c>
      <c r="J16" s="1615">
        <f t="shared" si="1"/>
        <v>0</v>
      </c>
      <c r="K16" s="1615">
        <f t="shared" si="1"/>
        <v>0</v>
      </c>
      <c r="L16" s="1615">
        <f t="shared" si="1"/>
        <v>0</v>
      </c>
      <c r="M16" s="1615">
        <f t="shared" si="1"/>
        <v>0</v>
      </c>
      <c r="N16" s="1615">
        <f t="shared" si="1"/>
        <v>0</v>
      </c>
      <c r="O16" s="1615">
        <f t="shared" si="1"/>
        <v>0</v>
      </c>
      <c r="P16" s="1615">
        <f t="shared" si="1"/>
        <v>0</v>
      </c>
      <c r="Q16" s="1615">
        <f t="shared" si="1"/>
        <v>0</v>
      </c>
      <c r="R16" s="1615">
        <f t="shared" si="1"/>
        <v>0</v>
      </c>
      <c r="S16" s="1615">
        <f t="shared" si="1"/>
        <v>0</v>
      </c>
      <c r="T16" s="1615">
        <f t="shared" si="1"/>
        <v>0</v>
      </c>
      <c r="U16" s="1615">
        <f t="shared" si="1"/>
        <v>0</v>
      </c>
      <c r="V16" s="1615">
        <f t="shared" si="1"/>
        <v>0</v>
      </c>
      <c r="W16" s="1615">
        <f t="shared" si="1"/>
        <v>0</v>
      </c>
      <c r="X16" s="1615">
        <f t="shared" si="1"/>
        <v>0</v>
      </c>
      <c r="Y16" s="1615">
        <f t="shared" si="1"/>
        <v>0</v>
      </c>
      <c r="Z16" s="1615">
        <f t="shared" si="1"/>
        <v>0</v>
      </c>
      <c r="AA16" s="1615">
        <f t="shared" si="1"/>
        <v>0</v>
      </c>
      <c r="AB16" s="1615">
        <f t="shared" si="1"/>
        <v>0</v>
      </c>
      <c r="AC16" s="1615">
        <f t="shared" si="1"/>
        <v>0</v>
      </c>
      <c r="AD16" s="1615">
        <f t="shared" si="1"/>
        <v>0</v>
      </c>
      <c r="AE16" s="1615">
        <f t="shared" si="1"/>
        <v>0</v>
      </c>
      <c r="AF16" s="1615">
        <f t="shared" si="1"/>
        <v>0</v>
      </c>
      <c r="AG16" s="1615">
        <f t="shared" si="1"/>
        <v>0</v>
      </c>
      <c r="AH16" s="1615">
        <f t="shared" si="1"/>
        <v>0</v>
      </c>
      <c r="AI16" s="1469">
        <f>SUM(AI11:AI15)</f>
        <v>0</v>
      </c>
    </row>
    <row r="17" spans="1:35">
      <c r="A17" s="1474" t="s">
        <v>634</v>
      </c>
      <c r="Z17" s="4172" t="s">
        <v>975</v>
      </c>
      <c r="AA17" s="4172"/>
      <c r="AB17" s="4172"/>
      <c r="AC17" s="4172"/>
      <c r="AD17" s="4172"/>
      <c r="AE17" s="4172"/>
      <c r="AF17" s="4172"/>
      <c r="AG17" s="4172"/>
      <c r="AH17" s="4172"/>
      <c r="AI17" s="4172"/>
    </row>
    <row r="18" spans="1:35">
      <c r="A18" s="1459" t="s">
        <v>142</v>
      </c>
      <c r="B18" s="1459" t="s">
        <v>166</v>
      </c>
      <c r="C18" s="1459" t="s">
        <v>921</v>
      </c>
      <c r="M18" s="4148" t="s">
        <v>167</v>
      </c>
      <c r="N18" s="4148"/>
      <c r="O18" s="4148"/>
      <c r="P18" s="4148"/>
      <c r="Q18" s="4148"/>
      <c r="R18" s="4148"/>
      <c r="S18" s="4148"/>
      <c r="T18" s="4148"/>
      <c r="U18" s="1470"/>
      <c r="V18" s="1470"/>
      <c r="W18" s="1470"/>
      <c r="X18" s="1470"/>
      <c r="Y18" s="1470"/>
      <c r="Z18" s="4148" t="s">
        <v>916</v>
      </c>
      <c r="AA18" s="4148"/>
      <c r="AB18" s="4148"/>
      <c r="AC18" s="4148"/>
      <c r="AD18" s="4148"/>
      <c r="AE18" s="4148"/>
      <c r="AF18" s="4148"/>
      <c r="AG18" s="4148"/>
      <c r="AH18" s="4148"/>
      <c r="AI18" s="4148"/>
    </row>
    <row r="19" spans="1:35">
      <c r="AI19" s="1471"/>
    </row>
    <row r="20" spans="1:35">
      <c r="B20" s="1472"/>
    </row>
    <row r="21" spans="1:35" ht="15.75">
      <c r="Z21" s="4147"/>
      <c r="AA21" s="4147"/>
      <c r="AB21" s="4147"/>
      <c r="AC21" s="4147"/>
      <c r="AD21" s="4147"/>
      <c r="AE21" s="4147"/>
      <c r="AF21" s="4147"/>
      <c r="AG21" s="4147"/>
      <c r="AH21" s="4147"/>
      <c r="AI21" s="4147"/>
    </row>
    <row r="22" spans="1:35">
      <c r="B22" s="3671"/>
      <c r="C22" s="3671"/>
      <c r="AA22" s="4137"/>
      <c r="AB22" s="4137"/>
      <c r="AC22" s="4137"/>
      <c r="AD22" s="4137"/>
      <c r="AE22" s="4137"/>
      <c r="AF22" s="4137"/>
      <c r="AG22" s="4137"/>
      <c r="AH22" s="4137"/>
      <c r="AI22" s="4137"/>
    </row>
    <row r="23" spans="1:35" s="1473" customFormat="1" ht="14.25">
      <c r="K23" s="3671"/>
      <c r="L23" s="3671"/>
      <c r="M23" s="3671"/>
      <c r="N23" s="3671"/>
      <c r="O23" s="3671"/>
      <c r="P23" s="3671"/>
      <c r="Q23" s="3671"/>
      <c r="R23" s="3671"/>
      <c r="S23" s="3671"/>
      <c r="T23" s="3671"/>
      <c r="AC23" s="3671"/>
      <c r="AD23" s="3671"/>
      <c r="AE23" s="3671"/>
      <c r="AF23" s="3671"/>
      <c r="AG23" s="3671"/>
      <c r="AH23" s="3671"/>
      <c r="AI23" s="3671"/>
    </row>
    <row r="24" spans="1:35">
      <c r="B24" s="4138"/>
      <c r="C24" s="4137"/>
      <c r="K24" s="4138"/>
      <c r="L24" s="4138"/>
      <c r="M24" s="4138"/>
      <c r="N24" s="4138"/>
      <c r="O24" s="4138"/>
      <c r="P24" s="4138"/>
      <c r="Q24" s="4138"/>
      <c r="R24" s="4138"/>
      <c r="S24" s="4138"/>
      <c r="T24" s="4138"/>
      <c r="AC24" s="4138"/>
      <c r="AD24" s="4138"/>
      <c r="AE24" s="4138"/>
      <c r="AF24" s="4138"/>
      <c r="AG24" s="4138"/>
      <c r="AH24" s="4138"/>
      <c r="AI24" s="4138"/>
    </row>
  </sheetData>
  <mergeCells count="18">
    <mergeCell ref="B24:C24"/>
    <mergeCell ref="K24:T24"/>
    <mergeCell ref="AC24:AI24"/>
    <mergeCell ref="Z18:AI18"/>
    <mergeCell ref="Z21:AI21"/>
    <mergeCell ref="B22:C22"/>
    <mergeCell ref="AA22:AI22"/>
    <mergeCell ref="K23:T23"/>
    <mergeCell ref="AC23:AI23"/>
    <mergeCell ref="M18:T18"/>
    <mergeCell ref="D7:AH7"/>
    <mergeCell ref="D8:AH8"/>
    <mergeCell ref="A1:AI1"/>
    <mergeCell ref="A2:AI2"/>
    <mergeCell ref="Z17:AI17"/>
    <mergeCell ref="A5:J5"/>
    <mergeCell ref="A3:AI3"/>
    <mergeCell ref="A16:C16"/>
  </mergeCells>
  <printOptions horizontalCentered="1"/>
  <pageMargins left="0.19685039370078741" right="0.19685039370078741" top="0.51181102362204722" bottom="0.74803149606299213" header="0.31496062992125984" footer="0.31496062992125984"/>
  <pageSetup paperSize="9" scale="70" orientation="landscape" r:id="rId1"/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workbookViewId="0">
      <selection activeCell="E13" sqref="E13"/>
    </sheetView>
  </sheetViews>
  <sheetFormatPr defaultRowHeight="16.5"/>
  <cols>
    <col min="1" max="1" width="6" style="1388" customWidth="1"/>
    <col min="2" max="2" width="22" style="1388" customWidth="1"/>
    <col min="3" max="3" width="9.375" style="1388" customWidth="1"/>
    <col min="4" max="4" width="14.875" style="1388" customWidth="1"/>
    <col min="5" max="5" width="13.375" style="1388" customWidth="1"/>
    <col min="6" max="6" width="12.375" style="1388" customWidth="1"/>
    <col min="7" max="7" width="11.125" style="1388" customWidth="1"/>
  </cols>
  <sheetData>
    <row r="1" spans="1:12">
      <c r="A1" s="4180" t="s">
        <v>165</v>
      </c>
      <c r="B1" s="4180"/>
      <c r="C1" s="4180"/>
      <c r="D1" s="4180"/>
      <c r="E1" s="4180"/>
      <c r="F1" s="4180"/>
      <c r="G1" s="4180"/>
    </row>
    <row r="2" spans="1:12">
      <c r="A2" s="4180" t="s">
        <v>55</v>
      </c>
      <c r="B2" s="4180"/>
      <c r="C2" s="4180"/>
      <c r="D2" s="4180"/>
      <c r="E2" s="4180"/>
      <c r="F2" s="4180"/>
      <c r="G2" s="4180"/>
    </row>
    <row r="3" spans="1:12" ht="18.75">
      <c r="A3" s="4183" t="s">
        <v>726</v>
      </c>
      <c r="B3" s="4183"/>
      <c r="C3" s="4183"/>
      <c r="D3" s="4183"/>
      <c r="E3" s="4183"/>
      <c r="F3" s="4183"/>
      <c r="G3" s="4183"/>
      <c r="H3" s="1531"/>
      <c r="I3" s="1531"/>
      <c r="J3" s="1531"/>
      <c r="K3" s="1531"/>
      <c r="L3" s="1531"/>
    </row>
    <row r="4" spans="1:12">
      <c r="A4" s="4181" t="s">
        <v>574</v>
      </c>
      <c r="B4" s="4181"/>
      <c r="C4" s="4181"/>
      <c r="D4" s="4181"/>
      <c r="E4" s="1449"/>
      <c r="F4" s="1449"/>
      <c r="G4" s="1449"/>
    </row>
    <row r="5" spans="1:12">
      <c r="A5" s="4173" t="s">
        <v>541</v>
      </c>
      <c r="B5" s="4173"/>
      <c r="C5" s="4173"/>
      <c r="D5" s="4173"/>
      <c r="E5" s="1450"/>
      <c r="F5" s="1450"/>
      <c r="G5" s="1450"/>
    </row>
    <row r="6" spans="1:12">
      <c r="A6" s="4182"/>
      <c r="B6" s="4182"/>
      <c r="C6" s="4182"/>
      <c r="D6" s="4182"/>
      <c r="E6" s="4182"/>
      <c r="F6" s="4182"/>
      <c r="G6" s="4182"/>
    </row>
    <row r="7" spans="1:12" ht="36" customHeight="1">
      <c r="A7" s="4179" t="s">
        <v>984</v>
      </c>
      <c r="B7" s="4179"/>
      <c r="C7" s="4179"/>
      <c r="D7" s="4179"/>
      <c r="E7" s="4179"/>
      <c r="F7" s="4179"/>
      <c r="G7" s="4179"/>
    </row>
    <row r="8" spans="1:12" ht="33">
      <c r="A8" s="1451" t="s">
        <v>1</v>
      </c>
      <c r="B8" s="1451" t="s">
        <v>20</v>
      </c>
      <c r="C8" s="1451" t="s">
        <v>907</v>
      </c>
      <c r="D8" s="1452" t="s">
        <v>908</v>
      </c>
      <c r="E8" s="1452" t="s">
        <v>909</v>
      </c>
      <c r="F8" s="1451" t="s">
        <v>9</v>
      </c>
      <c r="G8" s="1451" t="s">
        <v>634</v>
      </c>
    </row>
    <row r="9" spans="1:12" ht="30" customHeight="1">
      <c r="A9" s="1579">
        <v>1</v>
      </c>
      <c r="B9" s="1579" t="s">
        <v>336</v>
      </c>
      <c r="C9" s="1579"/>
      <c r="D9" s="1580"/>
      <c r="E9" s="1580">
        <f>+C9*D9</f>
        <v>0</v>
      </c>
      <c r="F9" s="1579"/>
      <c r="G9" s="1579"/>
    </row>
    <row r="10" spans="1:12" ht="30" customHeight="1">
      <c r="A10" s="1581">
        <v>2</v>
      </c>
      <c r="B10" s="1581" t="s">
        <v>917</v>
      </c>
      <c r="C10" s="1581"/>
      <c r="D10" s="1582"/>
      <c r="E10" s="1582">
        <f t="shared" ref="E10:E13" si="0">+C10*D10</f>
        <v>0</v>
      </c>
      <c r="F10" s="1581"/>
      <c r="G10" s="1581"/>
    </row>
    <row r="11" spans="1:12" ht="30" customHeight="1">
      <c r="A11" s="1581">
        <v>3</v>
      </c>
      <c r="B11" s="1581" t="s">
        <v>96</v>
      </c>
      <c r="C11" s="1581"/>
      <c r="D11" s="1582"/>
      <c r="E11" s="1582">
        <f t="shared" si="0"/>
        <v>0</v>
      </c>
      <c r="F11" s="1581"/>
      <c r="G11" s="1581"/>
    </row>
    <row r="12" spans="1:12" ht="30" customHeight="1">
      <c r="A12" s="1581">
        <v>4</v>
      </c>
      <c r="B12" s="1581" t="s">
        <v>918</v>
      </c>
      <c r="C12" s="1581"/>
      <c r="D12" s="1582"/>
      <c r="E12" s="1582">
        <f t="shared" si="0"/>
        <v>0</v>
      </c>
      <c r="F12" s="1581"/>
      <c r="G12" s="1581"/>
    </row>
    <row r="13" spans="1:12" ht="30" customHeight="1">
      <c r="A13" s="1583">
        <v>5</v>
      </c>
      <c r="B13" s="1583" t="s">
        <v>919</v>
      </c>
      <c r="C13" s="1583"/>
      <c r="D13" s="1584"/>
      <c r="E13" s="1584">
        <f t="shared" si="0"/>
        <v>0</v>
      </c>
      <c r="F13" s="1583"/>
      <c r="G13" s="1583"/>
    </row>
    <row r="14" spans="1:12" ht="36.75" customHeight="1">
      <c r="A14" s="4175" t="s">
        <v>910</v>
      </c>
      <c r="B14" s="4176"/>
      <c r="C14" s="1453">
        <f>SUM(C9:C13)</f>
        <v>0</v>
      </c>
      <c r="D14" s="1453"/>
      <c r="E14" s="1454">
        <f>SUM(E9:E13)</f>
        <v>0</v>
      </c>
      <c r="F14" s="1453"/>
      <c r="G14" s="1453"/>
    </row>
    <row r="15" spans="1:12" ht="17.25">
      <c r="A15" s="4177" t="s">
        <v>985</v>
      </c>
      <c r="B15" s="4177"/>
      <c r="C15" s="4177"/>
      <c r="D15" s="4177"/>
      <c r="E15" s="4177"/>
      <c r="F15" s="4177"/>
      <c r="G15" s="4177"/>
    </row>
    <row r="16" spans="1:12" ht="15">
      <c r="A16" s="1455"/>
      <c r="B16" s="1456"/>
      <c r="C16" s="1456"/>
      <c r="D16" s="4178" t="s">
        <v>941</v>
      </c>
      <c r="E16" s="4178"/>
      <c r="F16" s="4178"/>
      <c r="G16" s="4178"/>
    </row>
    <row r="17" spans="1:7" ht="14.25">
      <c r="A17" s="4174" t="s">
        <v>167</v>
      </c>
      <c r="B17" s="4174"/>
      <c r="C17" s="4174"/>
      <c r="D17" s="4174" t="s">
        <v>42</v>
      </c>
      <c r="E17" s="4174"/>
      <c r="F17" s="4174"/>
      <c r="G17" s="4174"/>
    </row>
    <row r="18" spans="1:7" ht="15">
      <c r="A18" s="1455"/>
      <c r="B18" s="1456"/>
      <c r="C18" s="1457"/>
      <c r="D18" s="1457"/>
      <c r="E18" s="1457"/>
      <c r="F18" s="1458"/>
      <c r="G18" s="1458"/>
    </row>
    <row r="19" spans="1:7" ht="15">
      <c r="A19" s="1455"/>
      <c r="B19" s="1456"/>
      <c r="C19" s="1457"/>
      <c r="D19" s="1457"/>
      <c r="E19" s="1457"/>
      <c r="F19" s="1458"/>
      <c r="G19" s="1458"/>
    </row>
    <row r="20" spans="1:7" ht="15">
      <c r="A20" s="1455"/>
      <c r="B20" s="1456"/>
      <c r="C20" s="1457"/>
      <c r="D20" s="1457"/>
      <c r="E20" s="1457"/>
      <c r="F20" s="1458"/>
      <c r="G20" s="1458"/>
    </row>
    <row r="21" spans="1:7" ht="15">
      <c r="A21" s="1455"/>
      <c r="B21" s="1456"/>
      <c r="C21" s="1457"/>
      <c r="D21" s="1457"/>
      <c r="E21" s="1457"/>
      <c r="F21" s="1458"/>
      <c r="G21" s="1458"/>
    </row>
    <row r="22" spans="1:7" ht="15">
      <c r="A22" s="1455"/>
      <c r="B22" s="1456"/>
      <c r="C22" s="1457"/>
      <c r="D22" s="1457"/>
      <c r="E22" s="1457"/>
      <c r="F22" s="1458"/>
      <c r="G22" s="1458"/>
    </row>
    <row r="23" spans="1:7" ht="15">
      <c r="A23" s="1455"/>
      <c r="B23" s="1456"/>
      <c r="C23" s="1457"/>
      <c r="D23" s="1457"/>
      <c r="E23" s="1457"/>
      <c r="F23" s="1458"/>
      <c r="G23" s="1458"/>
    </row>
    <row r="24" spans="1:7" ht="15">
      <c r="A24" s="1455"/>
      <c r="B24" s="1457"/>
      <c r="C24" s="1457"/>
      <c r="D24" s="1457"/>
      <c r="E24" s="4174"/>
      <c r="F24" s="4174"/>
      <c r="G24" s="4174"/>
    </row>
    <row r="25" spans="1:7" ht="15">
      <c r="A25" s="1456"/>
      <c r="B25" s="1457"/>
      <c r="C25" s="1457"/>
      <c r="D25" s="1457"/>
      <c r="E25" s="1457"/>
      <c r="F25" s="1457"/>
      <c r="G25" s="1457"/>
    </row>
    <row r="26" spans="1:7" ht="14.25">
      <c r="A26" s="4174" t="s">
        <v>911</v>
      </c>
      <c r="B26" s="4174"/>
      <c r="C26" s="4174"/>
      <c r="D26" s="4174" t="s">
        <v>892</v>
      </c>
      <c r="E26" s="4174"/>
      <c r="F26" s="4174"/>
      <c r="G26" s="4174"/>
    </row>
  </sheetData>
  <mergeCells count="15">
    <mergeCell ref="A7:G7"/>
    <mergeCell ref="A1:G1"/>
    <mergeCell ref="A2:G2"/>
    <mergeCell ref="A4:D4"/>
    <mergeCell ref="A5:D5"/>
    <mergeCell ref="A6:G6"/>
    <mergeCell ref="A3:G3"/>
    <mergeCell ref="A26:C26"/>
    <mergeCell ref="D26:G26"/>
    <mergeCell ref="A14:B14"/>
    <mergeCell ref="A15:G15"/>
    <mergeCell ref="D16:G16"/>
    <mergeCell ref="A17:C17"/>
    <mergeCell ref="D17:G17"/>
    <mergeCell ref="E24:G24"/>
  </mergeCells>
  <pageMargins left="0.42" right="0.17" top="0.75" bottom="0.75" header="0.3" footer="0.3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41"/>
  <sheetViews>
    <sheetView topLeftCell="A4" workbookViewId="0">
      <selection activeCell="H12" sqref="H12"/>
    </sheetView>
  </sheetViews>
  <sheetFormatPr defaultRowHeight="12.75"/>
  <cols>
    <col min="1" max="1" width="6.375" style="246" customWidth="1"/>
    <col min="2" max="2" width="18.375" style="246" customWidth="1"/>
    <col min="3" max="3" width="9.875" style="246" customWidth="1"/>
    <col min="4" max="4" width="9" style="246" customWidth="1"/>
    <col min="5" max="5" width="12.25" style="246" customWidth="1"/>
    <col min="6" max="6" width="12" style="1042" customWidth="1"/>
    <col min="7" max="7" width="17.75" style="1042" customWidth="1"/>
    <col min="8" max="8" width="8.125" style="1042" bestFit="1" customWidth="1"/>
    <col min="9" max="9" width="14.75" style="1042" bestFit="1" customWidth="1"/>
    <col min="10" max="10" width="6.25" style="1042" customWidth="1"/>
    <col min="11" max="11" width="10.125" style="1042" hidden="1" customWidth="1"/>
    <col min="12" max="12" width="17.375" style="1042" customWidth="1"/>
    <col min="13" max="13" width="19.75" style="1042" customWidth="1"/>
    <col min="14" max="14" width="11.75" style="1043" customWidth="1"/>
    <col min="15" max="15" width="13.625" style="246" customWidth="1"/>
    <col min="16" max="16" width="15.125" style="246" customWidth="1"/>
    <col min="17" max="18" width="14.375" style="246" customWidth="1"/>
    <col min="19" max="19" width="12.625" style="246" hidden="1" customWidth="1"/>
    <col min="20" max="20" width="13" style="989" customWidth="1"/>
    <col min="21" max="21" width="16.75" style="246" customWidth="1"/>
    <col min="22" max="23" width="22.25" style="246" customWidth="1"/>
    <col min="24" max="24" width="36.625" style="246" customWidth="1"/>
    <col min="25" max="25" width="26.25" style="246" customWidth="1"/>
    <col min="26" max="26" width="19.875" style="246" customWidth="1"/>
    <col min="27" max="27" width="24" style="246" customWidth="1"/>
    <col min="28" max="28" width="22" style="246" customWidth="1"/>
    <col min="29" max="29" width="20" style="246" customWidth="1"/>
    <col min="30" max="261" width="9" style="246"/>
    <col min="262" max="262" width="9" style="246" customWidth="1"/>
    <col min="263" max="263" width="23.125" style="246" customWidth="1"/>
    <col min="264" max="264" width="14" style="246" customWidth="1"/>
    <col min="265" max="265" width="11.75" style="246" customWidth="1"/>
    <col min="266" max="266" width="14.125" style="246" customWidth="1"/>
    <col min="267" max="267" width="16.125" style="246" customWidth="1"/>
    <col min="268" max="268" width="17.375" style="246" customWidth="1"/>
    <col min="269" max="269" width="24.375" style="246" customWidth="1"/>
    <col min="270" max="270" width="11.75" style="246" customWidth="1"/>
    <col min="271" max="271" width="13.625" style="246" customWidth="1"/>
    <col min="272" max="272" width="15.125" style="246" customWidth="1"/>
    <col min="273" max="274" width="14.375" style="246" customWidth="1"/>
    <col min="275" max="275" width="0" style="246" hidden="1" customWidth="1"/>
    <col min="276" max="276" width="13" style="246" customWidth="1"/>
    <col min="277" max="277" width="16.75" style="246" customWidth="1"/>
    <col min="278" max="279" width="22.25" style="246" customWidth="1"/>
    <col min="280" max="280" width="36.625" style="246" customWidth="1"/>
    <col min="281" max="281" width="26.25" style="246" customWidth="1"/>
    <col min="282" max="282" width="19.875" style="246" customWidth="1"/>
    <col min="283" max="283" width="24" style="246" customWidth="1"/>
    <col min="284" max="284" width="22" style="246" customWidth="1"/>
    <col min="285" max="285" width="20" style="246" customWidth="1"/>
    <col min="286" max="517" width="9" style="246"/>
    <col min="518" max="518" width="9" style="246" customWidth="1"/>
    <col min="519" max="519" width="23.125" style="246" customWidth="1"/>
    <col min="520" max="520" width="14" style="246" customWidth="1"/>
    <col min="521" max="521" width="11.75" style="246" customWidth="1"/>
    <col min="522" max="522" width="14.125" style="246" customWidth="1"/>
    <col min="523" max="523" width="16.125" style="246" customWidth="1"/>
    <col min="524" max="524" width="17.375" style="246" customWidth="1"/>
    <col min="525" max="525" width="24.375" style="246" customWidth="1"/>
    <col min="526" max="526" width="11.75" style="246" customWidth="1"/>
    <col min="527" max="527" width="13.625" style="246" customWidth="1"/>
    <col min="528" max="528" width="15.125" style="246" customWidth="1"/>
    <col min="529" max="530" width="14.375" style="246" customWidth="1"/>
    <col min="531" max="531" width="0" style="246" hidden="1" customWidth="1"/>
    <col min="532" max="532" width="13" style="246" customWidth="1"/>
    <col min="533" max="533" width="16.75" style="246" customWidth="1"/>
    <col min="534" max="535" width="22.25" style="246" customWidth="1"/>
    <col min="536" max="536" width="36.625" style="246" customWidth="1"/>
    <col min="537" max="537" width="26.25" style="246" customWidth="1"/>
    <col min="538" max="538" width="19.875" style="246" customWidth="1"/>
    <col min="539" max="539" width="24" style="246" customWidth="1"/>
    <col min="540" max="540" width="22" style="246" customWidth="1"/>
    <col min="541" max="541" width="20" style="246" customWidth="1"/>
    <col min="542" max="773" width="9" style="246"/>
    <col min="774" max="774" width="9" style="246" customWidth="1"/>
    <col min="775" max="775" width="23.125" style="246" customWidth="1"/>
    <col min="776" max="776" width="14" style="246" customWidth="1"/>
    <col min="777" max="777" width="11.75" style="246" customWidth="1"/>
    <col min="778" max="778" width="14.125" style="246" customWidth="1"/>
    <col min="779" max="779" width="16.125" style="246" customWidth="1"/>
    <col min="780" max="780" width="17.375" style="246" customWidth="1"/>
    <col min="781" max="781" width="24.375" style="246" customWidth="1"/>
    <col min="782" max="782" width="11.75" style="246" customWidth="1"/>
    <col min="783" max="783" width="13.625" style="246" customWidth="1"/>
    <col min="784" max="784" width="15.125" style="246" customWidth="1"/>
    <col min="785" max="786" width="14.375" style="246" customWidth="1"/>
    <col min="787" max="787" width="0" style="246" hidden="1" customWidth="1"/>
    <col min="788" max="788" width="13" style="246" customWidth="1"/>
    <col min="789" max="789" width="16.75" style="246" customWidth="1"/>
    <col min="790" max="791" width="22.25" style="246" customWidth="1"/>
    <col min="792" max="792" width="36.625" style="246" customWidth="1"/>
    <col min="793" max="793" width="26.25" style="246" customWidth="1"/>
    <col min="794" max="794" width="19.875" style="246" customWidth="1"/>
    <col min="795" max="795" width="24" style="246" customWidth="1"/>
    <col min="796" max="796" width="22" style="246" customWidth="1"/>
    <col min="797" max="797" width="20" style="246" customWidth="1"/>
    <col min="798" max="1029" width="9" style="246"/>
    <col min="1030" max="1030" width="9" style="246" customWidth="1"/>
    <col min="1031" max="1031" width="23.125" style="246" customWidth="1"/>
    <col min="1032" max="1032" width="14" style="246" customWidth="1"/>
    <col min="1033" max="1033" width="11.75" style="246" customWidth="1"/>
    <col min="1034" max="1034" width="14.125" style="246" customWidth="1"/>
    <col min="1035" max="1035" width="16.125" style="246" customWidth="1"/>
    <col min="1036" max="1036" width="17.375" style="246" customWidth="1"/>
    <col min="1037" max="1037" width="24.375" style="246" customWidth="1"/>
    <col min="1038" max="1038" width="11.75" style="246" customWidth="1"/>
    <col min="1039" max="1039" width="13.625" style="246" customWidth="1"/>
    <col min="1040" max="1040" width="15.125" style="246" customWidth="1"/>
    <col min="1041" max="1042" width="14.375" style="246" customWidth="1"/>
    <col min="1043" max="1043" width="0" style="246" hidden="1" customWidth="1"/>
    <col min="1044" max="1044" width="13" style="246" customWidth="1"/>
    <col min="1045" max="1045" width="16.75" style="246" customWidth="1"/>
    <col min="1046" max="1047" width="22.25" style="246" customWidth="1"/>
    <col min="1048" max="1048" width="36.625" style="246" customWidth="1"/>
    <col min="1049" max="1049" width="26.25" style="246" customWidth="1"/>
    <col min="1050" max="1050" width="19.875" style="246" customWidth="1"/>
    <col min="1051" max="1051" width="24" style="246" customWidth="1"/>
    <col min="1052" max="1052" width="22" style="246" customWidth="1"/>
    <col min="1053" max="1053" width="20" style="246" customWidth="1"/>
    <col min="1054" max="1285" width="9" style="246"/>
    <col min="1286" max="1286" width="9" style="246" customWidth="1"/>
    <col min="1287" max="1287" width="23.125" style="246" customWidth="1"/>
    <col min="1288" max="1288" width="14" style="246" customWidth="1"/>
    <col min="1289" max="1289" width="11.75" style="246" customWidth="1"/>
    <col min="1290" max="1290" width="14.125" style="246" customWidth="1"/>
    <col min="1291" max="1291" width="16.125" style="246" customWidth="1"/>
    <col min="1292" max="1292" width="17.375" style="246" customWidth="1"/>
    <col min="1293" max="1293" width="24.375" style="246" customWidth="1"/>
    <col min="1294" max="1294" width="11.75" style="246" customWidth="1"/>
    <col min="1295" max="1295" width="13.625" style="246" customWidth="1"/>
    <col min="1296" max="1296" width="15.125" style="246" customWidth="1"/>
    <col min="1297" max="1298" width="14.375" style="246" customWidth="1"/>
    <col min="1299" max="1299" width="0" style="246" hidden="1" customWidth="1"/>
    <col min="1300" max="1300" width="13" style="246" customWidth="1"/>
    <col min="1301" max="1301" width="16.75" style="246" customWidth="1"/>
    <col min="1302" max="1303" width="22.25" style="246" customWidth="1"/>
    <col min="1304" max="1304" width="36.625" style="246" customWidth="1"/>
    <col min="1305" max="1305" width="26.25" style="246" customWidth="1"/>
    <col min="1306" max="1306" width="19.875" style="246" customWidth="1"/>
    <col min="1307" max="1307" width="24" style="246" customWidth="1"/>
    <col min="1308" max="1308" width="22" style="246" customWidth="1"/>
    <col min="1309" max="1309" width="20" style="246" customWidth="1"/>
    <col min="1310" max="1541" width="9" style="246"/>
    <col min="1542" max="1542" width="9" style="246" customWidth="1"/>
    <col min="1543" max="1543" width="23.125" style="246" customWidth="1"/>
    <col min="1544" max="1544" width="14" style="246" customWidth="1"/>
    <col min="1545" max="1545" width="11.75" style="246" customWidth="1"/>
    <col min="1546" max="1546" width="14.125" style="246" customWidth="1"/>
    <col min="1547" max="1547" width="16.125" style="246" customWidth="1"/>
    <col min="1548" max="1548" width="17.375" style="246" customWidth="1"/>
    <col min="1549" max="1549" width="24.375" style="246" customWidth="1"/>
    <col min="1550" max="1550" width="11.75" style="246" customWidth="1"/>
    <col min="1551" max="1551" width="13.625" style="246" customWidth="1"/>
    <col min="1552" max="1552" width="15.125" style="246" customWidth="1"/>
    <col min="1553" max="1554" width="14.375" style="246" customWidth="1"/>
    <col min="1555" max="1555" width="0" style="246" hidden="1" customWidth="1"/>
    <col min="1556" max="1556" width="13" style="246" customWidth="1"/>
    <col min="1557" max="1557" width="16.75" style="246" customWidth="1"/>
    <col min="1558" max="1559" width="22.25" style="246" customWidth="1"/>
    <col min="1560" max="1560" width="36.625" style="246" customWidth="1"/>
    <col min="1561" max="1561" width="26.25" style="246" customWidth="1"/>
    <col min="1562" max="1562" width="19.875" style="246" customWidth="1"/>
    <col min="1563" max="1563" width="24" style="246" customWidth="1"/>
    <col min="1564" max="1564" width="22" style="246" customWidth="1"/>
    <col min="1565" max="1565" width="20" style="246" customWidth="1"/>
    <col min="1566" max="1797" width="9" style="246"/>
    <col min="1798" max="1798" width="9" style="246" customWidth="1"/>
    <col min="1799" max="1799" width="23.125" style="246" customWidth="1"/>
    <col min="1800" max="1800" width="14" style="246" customWidth="1"/>
    <col min="1801" max="1801" width="11.75" style="246" customWidth="1"/>
    <col min="1802" max="1802" width="14.125" style="246" customWidth="1"/>
    <col min="1803" max="1803" width="16.125" style="246" customWidth="1"/>
    <col min="1804" max="1804" width="17.375" style="246" customWidth="1"/>
    <col min="1805" max="1805" width="24.375" style="246" customWidth="1"/>
    <col min="1806" max="1806" width="11.75" style="246" customWidth="1"/>
    <col min="1807" max="1807" width="13.625" style="246" customWidth="1"/>
    <col min="1808" max="1808" width="15.125" style="246" customWidth="1"/>
    <col min="1809" max="1810" width="14.375" style="246" customWidth="1"/>
    <col min="1811" max="1811" width="0" style="246" hidden="1" customWidth="1"/>
    <col min="1812" max="1812" width="13" style="246" customWidth="1"/>
    <col min="1813" max="1813" width="16.75" style="246" customWidth="1"/>
    <col min="1814" max="1815" width="22.25" style="246" customWidth="1"/>
    <col min="1816" max="1816" width="36.625" style="246" customWidth="1"/>
    <col min="1817" max="1817" width="26.25" style="246" customWidth="1"/>
    <col min="1818" max="1818" width="19.875" style="246" customWidth="1"/>
    <col min="1819" max="1819" width="24" style="246" customWidth="1"/>
    <col min="1820" max="1820" width="22" style="246" customWidth="1"/>
    <col min="1821" max="1821" width="20" style="246" customWidth="1"/>
    <col min="1822" max="2053" width="9" style="246"/>
    <col min="2054" max="2054" width="9" style="246" customWidth="1"/>
    <col min="2055" max="2055" width="23.125" style="246" customWidth="1"/>
    <col min="2056" max="2056" width="14" style="246" customWidth="1"/>
    <col min="2057" max="2057" width="11.75" style="246" customWidth="1"/>
    <col min="2058" max="2058" width="14.125" style="246" customWidth="1"/>
    <col min="2059" max="2059" width="16.125" style="246" customWidth="1"/>
    <col min="2060" max="2060" width="17.375" style="246" customWidth="1"/>
    <col min="2061" max="2061" width="24.375" style="246" customWidth="1"/>
    <col min="2062" max="2062" width="11.75" style="246" customWidth="1"/>
    <col min="2063" max="2063" width="13.625" style="246" customWidth="1"/>
    <col min="2064" max="2064" width="15.125" style="246" customWidth="1"/>
    <col min="2065" max="2066" width="14.375" style="246" customWidth="1"/>
    <col min="2067" max="2067" width="0" style="246" hidden="1" customWidth="1"/>
    <col min="2068" max="2068" width="13" style="246" customWidth="1"/>
    <col min="2069" max="2069" width="16.75" style="246" customWidth="1"/>
    <col min="2070" max="2071" width="22.25" style="246" customWidth="1"/>
    <col min="2072" max="2072" width="36.625" style="246" customWidth="1"/>
    <col min="2073" max="2073" width="26.25" style="246" customWidth="1"/>
    <col min="2074" max="2074" width="19.875" style="246" customWidth="1"/>
    <col min="2075" max="2075" width="24" style="246" customWidth="1"/>
    <col min="2076" max="2076" width="22" style="246" customWidth="1"/>
    <col min="2077" max="2077" width="20" style="246" customWidth="1"/>
    <col min="2078" max="2309" width="9" style="246"/>
    <col min="2310" max="2310" width="9" style="246" customWidth="1"/>
    <col min="2311" max="2311" width="23.125" style="246" customWidth="1"/>
    <col min="2312" max="2312" width="14" style="246" customWidth="1"/>
    <col min="2313" max="2313" width="11.75" style="246" customWidth="1"/>
    <col min="2314" max="2314" width="14.125" style="246" customWidth="1"/>
    <col min="2315" max="2315" width="16.125" style="246" customWidth="1"/>
    <col min="2316" max="2316" width="17.375" style="246" customWidth="1"/>
    <col min="2317" max="2317" width="24.375" style="246" customWidth="1"/>
    <col min="2318" max="2318" width="11.75" style="246" customWidth="1"/>
    <col min="2319" max="2319" width="13.625" style="246" customWidth="1"/>
    <col min="2320" max="2320" width="15.125" style="246" customWidth="1"/>
    <col min="2321" max="2322" width="14.375" style="246" customWidth="1"/>
    <col min="2323" max="2323" width="0" style="246" hidden="1" customWidth="1"/>
    <col min="2324" max="2324" width="13" style="246" customWidth="1"/>
    <col min="2325" max="2325" width="16.75" style="246" customWidth="1"/>
    <col min="2326" max="2327" width="22.25" style="246" customWidth="1"/>
    <col min="2328" max="2328" width="36.625" style="246" customWidth="1"/>
    <col min="2329" max="2329" width="26.25" style="246" customWidth="1"/>
    <col min="2330" max="2330" width="19.875" style="246" customWidth="1"/>
    <col min="2331" max="2331" width="24" style="246" customWidth="1"/>
    <col min="2332" max="2332" width="22" style="246" customWidth="1"/>
    <col min="2333" max="2333" width="20" style="246" customWidth="1"/>
    <col min="2334" max="2565" width="9" style="246"/>
    <col min="2566" max="2566" width="9" style="246" customWidth="1"/>
    <col min="2567" max="2567" width="23.125" style="246" customWidth="1"/>
    <col min="2568" max="2568" width="14" style="246" customWidth="1"/>
    <col min="2569" max="2569" width="11.75" style="246" customWidth="1"/>
    <col min="2570" max="2570" width="14.125" style="246" customWidth="1"/>
    <col min="2571" max="2571" width="16.125" style="246" customWidth="1"/>
    <col min="2572" max="2572" width="17.375" style="246" customWidth="1"/>
    <col min="2573" max="2573" width="24.375" style="246" customWidth="1"/>
    <col min="2574" max="2574" width="11.75" style="246" customWidth="1"/>
    <col min="2575" max="2575" width="13.625" style="246" customWidth="1"/>
    <col min="2576" max="2576" width="15.125" style="246" customWidth="1"/>
    <col min="2577" max="2578" width="14.375" style="246" customWidth="1"/>
    <col min="2579" max="2579" width="0" style="246" hidden="1" customWidth="1"/>
    <col min="2580" max="2580" width="13" style="246" customWidth="1"/>
    <col min="2581" max="2581" width="16.75" style="246" customWidth="1"/>
    <col min="2582" max="2583" width="22.25" style="246" customWidth="1"/>
    <col min="2584" max="2584" width="36.625" style="246" customWidth="1"/>
    <col min="2585" max="2585" width="26.25" style="246" customWidth="1"/>
    <col min="2586" max="2586" width="19.875" style="246" customWidth="1"/>
    <col min="2587" max="2587" width="24" style="246" customWidth="1"/>
    <col min="2588" max="2588" width="22" style="246" customWidth="1"/>
    <col min="2589" max="2589" width="20" style="246" customWidth="1"/>
    <col min="2590" max="2821" width="9" style="246"/>
    <col min="2822" max="2822" width="9" style="246" customWidth="1"/>
    <col min="2823" max="2823" width="23.125" style="246" customWidth="1"/>
    <col min="2824" max="2824" width="14" style="246" customWidth="1"/>
    <col min="2825" max="2825" width="11.75" style="246" customWidth="1"/>
    <col min="2826" max="2826" width="14.125" style="246" customWidth="1"/>
    <col min="2827" max="2827" width="16.125" style="246" customWidth="1"/>
    <col min="2828" max="2828" width="17.375" style="246" customWidth="1"/>
    <col min="2829" max="2829" width="24.375" style="246" customWidth="1"/>
    <col min="2830" max="2830" width="11.75" style="246" customWidth="1"/>
    <col min="2831" max="2831" width="13.625" style="246" customWidth="1"/>
    <col min="2832" max="2832" width="15.125" style="246" customWidth="1"/>
    <col min="2833" max="2834" width="14.375" style="246" customWidth="1"/>
    <col min="2835" max="2835" width="0" style="246" hidden="1" customWidth="1"/>
    <col min="2836" max="2836" width="13" style="246" customWidth="1"/>
    <col min="2837" max="2837" width="16.75" style="246" customWidth="1"/>
    <col min="2838" max="2839" width="22.25" style="246" customWidth="1"/>
    <col min="2840" max="2840" width="36.625" style="246" customWidth="1"/>
    <col min="2841" max="2841" width="26.25" style="246" customWidth="1"/>
    <col min="2842" max="2842" width="19.875" style="246" customWidth="1"/>
    <col min="2843" max="2843" width="24" style="246" customWidth="1"/>
    <col min="2844" max="2844" width="22" style="246" customWidth="1"/>
    <col min="2845" max="2845" width="20" style="246" customWidth="1"/>
    <col min="2846" max="3077" width="9" style="246"/>
    <col min="3078" max="3078" width="9" style="246" customWidth="1"/>
    <col min="3079" max="3079" width="23.125" style="246" customWidth="1"/>
    <col min="3080" max="3080" width="14" style="246" customWidth="1"/>
    <col min="3081" max="3081" width="11.75" style="246" customWidth="1"/>
    <col min="3082" max="3082" width="14.125" style="246" customWidth="1"/>
    <col min="3083" max="3083" width="16.125" style="246" customWidth="1"/>
    <col min="3084" max="3084" width="17.375" style="246" customWidth="1"/>
    <col min="3085" max="3085" width="24.375" style="246" customWidth="1"/>
    <col min="3086" max="3086" width="11.75" style="246" customWidth="1"/>
    <col min="3087" max="3087" width="13.625" style="246" customWidth="1"/>
    <col min="3088" max="3088" width="15.125" style="246" customWidth="1"/>
    <col min="3089" max="3090" width="14.375" style="246" customWidth="1"/>
    <col min="3091" max="3091" width="0" style="246" hidden="1" customWidth="1"/>
    <col min="3092" max="3092" width="13" style="246" customWidth="1"/>
    <col min="3093" max="3093" width="16.75" style="246" customWidth="1"/>
    <col min="3094" max="3095" width="22.25" style="246" customWidth="1"/>
    <col min="3096" max="3096" width="36.625" style="246" customWidth="1"/>
    <col min="3097" max="3097" width="26.25" style="246" customWidth="1"/>
    <col min="3098" max="3098" width="19.875" style="246" customWidth="1"/>
    <col min="3099" max="3099" width="24" style="246" customWidth="1"/>
    <col min="3100" max="3100" width="22" style="246" customWidth="1"/>
    <col min="3101" max="3101" width="20" style="246" customWidth="1"/>
    <col min="3102" max="3333" width="9" style="246"/>
    <col min="3334" max="3334" width="9" style="246" customWidth="1"/>
    <col min="3335" max="3335" width="23.125" style="246" customWidth="1"/>
    <col min="3336" max="3336" width="14" style="246" customWidth="1"/>
    <col min="3337" max="3337" width="11.75" style="246" customWidth="1"/>
    <col min="3338" max="3338" width="14.125" style="246" customWidth="1"/>
    <col min="3339" max="3339" width="16.125" style="246" customWidth="1"/>
    <col min="3340" max="3340" width="17.375" style="246" customWidth="1"/>
    <col min="3341" max="3341" width="24.375" style="246" customWidth="1"/>
    <col min="3342" max="3342" width="11.75" style="246" customWidth="1"/>
    <col min="3343" max="3343" width="13.625" style="246" customWidth="1"/>
    <col min="3344" max="3344" width="15.125" style="246" customWidth="1"/>
    <col min="3345" max="3346" width="14.375" style="246" customWidth="1"/>
    <col min="3347" max="3347" width="0" style="246" hidden="1" customWidth="1"/>
    <col min="3348" max="3348" width="13" style="246" customWidth="1"/>
    <col min="3349" max="3349" width="16.75" style="246" customWidth="1"/>
    <col min="3350" max="3351" width="22.25" style="246" customWidth="1"/>
    <col min="3352" max="3352" width="36.625" style="246" customWidth="1"/>
    <col min="3353" max="3353" width="26.25" style="246" customWidth="1"/>
    <col min="3354" max="3354" width="19.875" style="246" customWidth="1"/>
    <col min="3355" max="3355" width="24" style="246" customWidth="1"/>
    <col min="3356" max="3356" width="22" style="246" customWidth="1"/>
    <col min="3357" max="3357" width="20" style="246" customWidth="1"/>
    <col min="3358" max="3589" width="9" style="246"/>
    <col min="3590" max="3590" width="9" style="246" customWidth="1"/>
    <col min="3591" max="3591" width="23.125" style="246" customWidth="1"/>
    <col min="3592" max="3592" width="14" style="246" customWidth="1"/>
    <col min="3593" max="3593" width="11.75" style="246" customWidth="1"/>
    <col min="3594" max="3594" width="14.125" style="246" customWidth="1"/>
    <col min="3595" max="3595" width="16.125" style="246" customWidth="1"/>
    <col min="3596" max="3596" width="17.375" style="246" customWidth="1"/>
    <col min="3597" max="3597" width="24.375" style="246" customWidth="1"/>
    <col min="3598" max="3598" width="11.75" style="246" customWidth="1"/>
    <col min="3599" max="3599" width="13.625" style="246" customWidth="1"/>
    <col min="3600" max="3600" width="15.125" style="246" customWidth="1"/>
    <col min="3601" max="3602" width="14.375" style="246" customWidth="1"/>
    <col min="3603" max="3603" width="0" style="246" hidden="1" customWidth="1"/>
    <col min="3604" max="3604" width="13" style="246" customWidth="1"/>
    <col min="3605" max="3605" width="16.75" style="246" customWidth="1"/>
    <col min="3606" max="3607" width="22.25" style="246" customWidth="1"/>
    <col min="3608" max="3608" width="36.625" style="246" customWidth="1"/>
    <col min="3609" max="3609" width="26.25" style="246" customWidth="1"/>
    <col min="3610" max="3610" width="19.875" style="246" customWidth="1"/>
    <col min="3611" max="3611" width="24" style="246" customWidth="1"/>
    <col min="3612" max="3612" width="22" style="246" customWidth="1"/>
    <col min="3613" max="3613" width="20" style="246" customWidth="1"/>
    <col min="3614" max="3845" width="9" style="246"/>
    <col min="3846" max="3846" width="9" style="246" customWidth="1"/>
    <col min="3847" max="3847" width="23.125" style="246" customWidth="1"/>
    <col min="3848" max="3848" width="14" style="246" customWidth="1"/>
    <col min="3849" max="3849" width="11.75" style="246" customWidth="1"/>
    <col min="3850" max="3850" width="14.125" style="246" customWidth="1"/>
    <col min="3851" max="3851" width="16.125" style="246" customWidth="1"/>
    <col min="3852" max="3852" width="17.375" style="246" customWidth="1"/>
    <col min="3853" max="3853" width="24.375" style="246" customWidth="1"/>
    <col min="3854" max="3854" width="11.75" style="246" customWidth="1"/>
    <col min="3855" max="3855" width="13.625" style="246" customWidth="1"/>
    <col min="3856" max="3856" width="15.125" style="246" customWidth="1"/>
    <col min="3857" max="3858" width="14.375" style="246" customWidth="1"/>
    <col min="3859" max="3859" width="0" style="246" hidden="1" customWidth="1"/>
    <col min="3860" max="3860" width="13" style="246" customWidth="1"/>
    <col min="3861" max="3861" width="16.75" style="246" customWidth="1"/>
    <col min="3862" max="3863" width="22.25" style="246" customWidth="1"/>
    <col min="3864" max="3864" width="36.625" style="246" customWidth="1"/>
    <col min="3865" max="3865" width="26.25" style="246" customWidth="1"/>
    <col min="3866" max="3866" width="19.875" style="246" customWidth="1"/>
    <col min="3867" max="3867" width="24" style="246" customWidth="1"/>
    <col min="3868" max="3868" width="22" style="246" customWidth="1"/>
    <col min="3869" max="3869" width="20" style="246" customWidth="1"/>
    <col min="3870" max="4101" width="9" style="246"/>
    <col min="4102" max="4102" width="9" style="246" customWidth="1"/>
    <col min="4103" max="4103" width="23.125" style="246" customWidth="1"/>
    <col min="4104" max="4104" width="14" style="246" customWidth="1"/>
    <col min="4105" max="4105" width="11.75" style="246" customWidth="1"/>
    <col min="4106" max="4106" width="14.125" style="246" customWidth="1"/>
    <col min="4107" max="4107" width="16.125" style="246" customWidth="1"/>
    <col min="4108" max="4108" width="17.375" style="246" customWidth="1"/>
    <col min="4109" max="4109" width="24.375" style="246" customWidth="1"/>
    <col min="4110" max="4110" width="11.75" style="246" customWidth="1"/>
    <col min="4111" max="4111" width="13.625" style="246" customWidth="1"/>
    <col min="4112" max="4112" width="15.125" style="246" customWidth="1"/>
    <col min="4113" max="4114" width="14.375" style="246" customWidth="1"/>
    <col min="4115" max="4115" width="0" style="246" hidden="1" customWidth="1"/>
    <col min="4116" max="4116" width="13" style="246" customWidth="1"/>
    <col min="4117" max="4117" width="16.75" style="246" customWidth="1"/>
    <col min="4118" max="4119" width="22.25" style="246" customWidth="1"/>
    <col min="4120" max="4120" width="36.625" style="246" customWidth="1"/>
    <col min="4121" max="4121" width="26.25" style="246" customWidth="1"/>
    <col min="4122" max="4122" width="19.875" style="246" customWidth="1"/>
    <col min="4123" max="4123" width="24" style="246" customWidth="1"/>
    <col min="4124" max="4124" width="22" style="246" customWidth="1"/>
    <col min="4125" max="4125" width="20" style="246" customWidth="1"/>
    <col min="4126" max="4357" width="9" style="246"/>
    <col min="4358" max="4358" width="9" style="246" customWidth="1"/>
    <col min="4359" max="4359" width="23.125" style="246" customWidth="1"/>
    <col min="4360" max="4360" width="14" style="246" customWidth="1"/>
    <col min="4361" max="4361" width="11.75" style="246" customWidth="1"/>
    <col min="4362" max="4362" width="14.125" style="246" customWidth="1"/>
    <col min="4363" max="4363" width="16.125" style="246" customWidth="1"/>
    <col min="4364" max="4364" width="17.375" style="246" customWidth="1"/>
    <col min="4365" max="4365" width="24.375" style="246" customWidth="1"/>
    <col min="4366" max="4366" width="11.75" style="246" customWidth="1"/>
    <col min="4367" max="4367" width="13.625" style="246" customWidth="1"/>
    <col min="4368" max="4368" width="15.125" style="246" customWidth="1"/>
    <col min="4369" max="4370" width="14.375" style="246" customWidth="1"/>
    <col min="4371" max="4371" width="0" style="246" hidden="1" customWidth="1"/>
    <col min="4372" max="4372" width="13" style="246" customWidth="1"/>
    <col min="4373" max="4373" width="16.75" style="246" customWidth="1"/>
    <col min="4374" max="4375" width="22.25" style="246" customWidth="1"/>
    <col min="4376" max="4376" width="36.625" style="246" customWidth="1"/>
    <col min="4377" max="4377" width="26.25" style="246" customWidth="1"/>
    <col min="4378" max="4378" width="19.875" style="246" customWidth="1"/>
    <col min="4379" max="4379" width="24" style="246" customWidth="1"/>
    <col min="4380" max="4380" width="22" style="246" customWidth="1"/>
    <col min="4381" max="4381" width="20" style="246" customWidth="1"/>
    <col min="4382" max="4613" width="9" style="246"/>
    <col min="4614" max="4614" width="9" style="246" customWidth="1"/>
    <col min="4615" max="4615" width="23.125" style="246" customWidth="1"/>
    <col min="4616" max="4616" width="14" style="246" customWidth="1"/>
    <col min="4617" max="4617" width="11.75" style="246" customWidth="1"/>
    <col min="4618" max="4618" width="14.125" style="246" customWidth="1"/>
    <col min="4619" max="4619" width="16.125" style="246" customWidth="1"/>
    <col min="4620" max="4620" width="17.375" style="246" customWidth="1"/>
    <col min="4621" max="4621" width="24.375" style="246" customWidth="1"/>
    <col min="4622" max="4622" width="11.75" style="246" customWidth="1"/>
    <col min="4623" max="4623" width="13.625" style="246" customWidth="1"/>
    <col min="4624" max="4624" width="15.125" style="246" customWidth="1"/>
    <col min="4625" max="4626" width="14.375" style="246" customWidth="1"/>
    <col min="4627" max="4627" width="0" style="246" hidden="1" customWidth="1"/>
    <col min="4628" max="4628" width="13" style="246" customWidth="1"/>
    <col min="4629" max="4629" width="16.75" style="246" customWidth="1"/>
    <col min="4630" max="4631" width="22.25" style="246" customWidth="1"/>
    <col min="4632" max="4632" width="36.625" style="246" customWidth="1"/>
    <col min="4633" max="4633" width="26.25" style="246" customWidth="1"/>
    <col min="4634" max="4634" width="19.875" style="246" customWidth="1"/>
    <col min="4635" max="4635" width="24" style="246" customWidth="1"/>
    <col min="4636" max="4636" width="22" style="246" customWidth="1"/>
    <col min="4637" max="4637" width="20" style="246" customWidth="1"/>
    <col min="4638" max="4869" width="9" style="246"/>
    <col min="4870" max="4870" width="9" style="246" customWidth="1"/>
    <col min="4871" max="4871" width="23.125" style="246" customWidth="1"/>
    <col min="4872" max="4872" width="14" style="246" customWidth="1"/>
    <col min="4873" max="4873" width="11.75" style="246" customWidth="1"/>
    <col min="4874" max="4874" width="14.125" style="246" customWidth="1"/>
    <col min="4875" max="4875" width="16.125" style="246" customWidth="1"/>
    <col min="4876" max="4876" width="17.375" style="246" customWidth="1"/>
    <col min="4877" max="4877" width="24.375" style="246" customWidth="1"/>
    <col min="4878" max="4878" width="11.75" style="246" customWidth="1"/>
    <col min="4879" max="4879" width="13.625" style="246" customWidth="1"/>
    <col min="4880" max="4880" width="15.125" style="246" customWidth="1"/>
    <col min="4881" max="4882" width="14.375" style="246" customWidth="1"/>
    <col min="4883" max="4883" width="0" style="246" hidden="1" customWidth="1"/>
    <col min="4884" max="4884" width="13" style="246" customWidth="1"/>
    <col min="4885" max="4885" width="16.75" style="246" customWidth="1"/>
    <col min="4886" max="4887" width="22.25" style="246" customWidth="1"/>
    <col min="4888" max="4888" width="36.625" style="246" customWidth="1"/>
    <col min="4889" max="4889" width="26.25" style="246" customWidth="1"/>
    <col min="4890" max="4890" width="19.875" style="246" customWidth="1"/>
    <col min="4891" max="4891" width="24" style="246" customWidth="1"/>
    <col min="4892" max="4892" width="22" style="246" customWidth="1"/>
    <col min="4893" max="4893" width="20" style="246" customWidth="1"/>
    <col min="4894" max="5125" width="9" style="246"/>
    <col min="5126" max="5126" width="9" style="246" customWidth="1"/>
    <col min="5127" max="5127" width="23.125" style="246" customWidth="1"/>
    <col min="5128" max="5128" width="14" style="246" customWidth="1"/>
    <col min="5129" max="5129" width="11.75" style="246" customWidth="1"/>
    <col min="5130" max="5130" width="14.125" style="246" customWidth="1"/>
    <col min="5131" max="5131" width="16.125" style="246" customWidth="1"/>
    <col min="5132" max="5132" width="17.375" style="246" customWidth="1"/>
    <col min="5133" max="5133" width="24.375" style="246" customWidth="1"/>
    <col min="5134" max="5134" width="11.75" style="246" customWidth="1"/>
    <col min="5135" max="5135" width="13.625" style="246" customWidth="1"/>
    <col min="5136" max="5136" width="15.125" style="246" customWidth="1"/>
    <col min="5137" max="5138" width="14.375" style="246" customWidth="1"/>
    <col min="5139" max="5139" width="0" style="246" hidden="1" customWidth="1"/>
    <col min="5140" max="5140" width="13" style="246" customWidth="1"/>
    <col min="5141" max="5141" width="16.75" style="246" customWidth="1"/>
    <col min="5142" max="5143" width="22.25" style="246" customWidth="1"/>
    <col min="5144" max="5144" width="36.625" style="246" customWidth="1"/>
    <col min="5145" max="5145" width="26.25" style="246" customWidth="1"/>
    <col min="5146" max="5146" width="19.875" style="246" customWidth="1"/>
    <col min="5147" max="5147" width="24" style="246" customWidth="1"/>
    <col min="5148" max="5148" width="22" style="246" customWidth="1"/>
    <col min="5149" max="5149" width="20" style="246" customWidth="1"/>
    <col min="5150" max="5381" width="9" style="246"/>
    <col min="5382" max="5382" width="9" style="246" customWidth="1"/>
    <col min="5383" max="5383" width="23.125" style="246" customWidth="1"/>
    <col min="5384" max="5384" width="14" style="246" customWidth="1"/>
    <col min="5385" max="5385" width="11.75" style="246" customWidth="1"/>
    <col min="5386" max="5386" width="14.125" style="246" customWidth="1"/>
    <col min="5387" max="5387" width="16.125" style="246" customWidth="1"/>
    <col min="5388" max="5388" width="17.375" style="246" customWidth="1"/>
    <col min="5389" max="5389" width="24.375" style="246" customWidth="1"/>
    <col min="5390" max="5390" width="11.75" style="246" customWidth="1"/>
    <col min="5391" max="5391" width="13.625" style="246" customWidth="1"/>
    <col min="5392" max="5392" width="15.125" style="246" customWidth="1"/>
    <col min="5393" max="5394" width="14.375" style="246" customWidth="1"/>
    <col min="5395" max="5395" width="0" style="246" hidden="1" customWidth="1"/>
    <col min="5396" max="5396" width="13" style="246" customWidth="1"/>
    <col min="5397" max="5397" width="16.75" style="246" customWidth="1"/>
    <col min="5398" max="5399" width="22.25" style="246" customWidth="1"/>
    <col min="5400" max="5400" width="36.625" style="246" customWidth="1"/>
    <col min="5401" max="5401" width="26.25" style="246" customWidth="1"/>
    <col min="5402" max="5402" width="19.875" style="246" customWidth="1"/>
    <col min="5403" max="5403" width="24" style="246" customWidth="1"/>
    <col min="5404" max="5404" width="22" style="246" customWidth="1"/>
    <col min="5405" max="5405" width="20" style="246" customWidth="1"/>
    <col min="5406" max="5637" width="9" style="246"/>
    <col min="5638" max="5638" width="9" style="246" customWidth="1"/>
    <col min="5639" max="5639" width="23.125" style="246" customWidth="1"/>
    <col min="5640" max="5640" width="14" style="246" customWidth="1"/>
    <col min="5641" max="5641" width="11.75" style="246" customWidth="1"/>
    <col min="5642" max="5642" width="14.125" style="246" customWidth="1"/>
    <col min="5643" max="5643" width="16.125" style="246" customWidth="1"/>
    <col min="5644" max="5644" width="17.375" style="246" customWidth="1"/>
    <col min="5645" max="5645" width="24.375" style="246" customWidth="1"/>
    <col min="5646" max="5646" width="11.75" style="246" customWidth="1"/>
    <col min="5647" max="5647" width="13.625" style="246" customWidth="1"/>
    <col min="5648" max="5648" width="15.125" style="246" customWidth="1"/>
    <col min="5649" max="5650" width="14.375" style="246" customWidth="1"/>
    <col min="5651" max="5651" width="0" style="246" hidden="1" customWidth="1"/>
    <col min="5652" max="5652" width="13" style="246" customWidth="1"/>
    <col min="5653" max="5653" width="16.75" style="246" customWidth="1"/>
    <col min="5654" max="5655" width="22.25" style="246" customWidth="1"/>
    <col min="5656" max="5656" width="36.625" style="246" customWidth="1"/>
    <col min="5657" max="5657" width="26.25" style="246" customWidth="1"/>
    <col min="5658" max="5658" width="19.875" style="246" customWidth="1"/>
    <col min="5659" max="5659" width="24" style="246" customWidth="1"/>
    <col min="5660" max="5660" width="22" style="246" customWidth="1"/>
    <col min="5661" max="5661" width="20" style="246" customWidth="1"/>
    <col min="5662" max="5893" width="9" style="246"/>
    <col min="5894" max="5894" width="9" style="246" customWidth="1"/>
    <col min="5895" max="5895" width="23.125" style="246" customWidth="1"/>
    <col min="5896" max="5896" width="14" style="246" customWidth="1"/>
    <col min="5897" max="5897" width="11.75" style="246" customWidth="1"/>
    <col min="5898" max="5898" width="14.125" style="246" customWidth="1"/>
    <col min="5899" max="5899" width="16.125" style="246" customWidth="1"/>
    <col min="5900" max="5900" width="17.375" style="246" customWidth="1"/>
    <col min="5901" max="5901" width="24.375" style="246" customWidth="1"/>
    <col min="5902" max="5902" width="11.75" style="246" customWidth="1"/>
    <col min="5903" max="5903" width="13.625" style="246" customWidth="1"/>
    <col min="5904" max="5904" width="15.125" style="246" customWidth="1"/>
    <col min="5905" max="5906" width="14.375" style="246" customWidth="1"/>
    <col min="5907" max="5907" width="0" style="246" hidden="1" customWidth="1"/>
    <col min="5908" max="5908" width="13" style="246" customWidth="1"/>
    <col min="5909" max="5909" width="16.75" style="246" customWidth="1"/>
    <col min="5910" max="5911" width="22.25" style="246" customWidth="1"/>
    <col min="5912" max="5912" width="36.625" style="246" customWidth="1"/>
    <col min="5913" max="5913" width="26.25" style="246" customWidth="1"/>
    <col min="5914" max="5914" width="19.875" style="246" customWidth="1"/>
    <col min="5915" max="5915" width="24" style="246" customWidth="1"/>
    <col min="5916" max="5916" width="22" style="246" customWidth="1"/>
    <col min="5917" max="5917" width="20" style="246" customWidth="1"/>
    <col min="5918" max="6149" width="9" style="246"/>
    <col min="6150" max="6150" width="9" style="246" customWidth="1"/>
    <col min="6151" max="6151" width="23.125" style="246" customWidth="1"/>
    <col min="6152" max="6152" width="14" style="246" customWidth="1"/>
    <col min="6153" max="6153" width="11.75" style="246" customWidth="1"/>
    <col min="6154" max="6154" width="14.125" style="246" customWidth="1"/>
    <col min="6155" max="6155" width="16.125" style="246" customWidth="1"/>
    <col min="6156" max="6156" width="17.375" style="246" customWidth="1"/>
    <col min="6157" max="6157" width="24.375" style="246" customWidth="1"/>
    <col min="6158" max="6158" width="11.75" style="246" customWidth="1"/>
    <col min="6159" max="6159" width="13.625" style="246" customWidth="1"/>
    <col min="6160" max="6160" width="15.125" style="246" customWidth="1"/>
    <col min="6161" max="6162" width="14.375" style="246" customWidth="1"/>
    <col min="6163" max="6163" width="0" style="246" hidden="1" customWidth="1"/>
    <col min="6164" max="6164" width="13" style="246" customWidth="1"/>
    <col min="6165" max="6165" width="16.75" style="246" customWidth="1"/>
    <col min="6166" max="6167" width="22.25" style="246" customWidth="1"/>
    <col min="6168" max="6168" width="36.625" style="246" customWidth="1"/>
    <col min="6169" max="6169" width="26.25" style="246" customWidth="1"/>
    <col min="6170" max="6170" width="19.875" style="246" customWidth="1"/>
    <col min="6171" max="6171" width="24" style="246" customWidth="1"/>
    <col min="6172" max="6172" width="22" style="246" customWidth="1"/>
    <col min="6173" max="6173" width="20" style="246" customWidth="1"/>
    <col min="6174" max="6405" width="9" style="246"/>
    <col min="6406" max="6406" width="9" style="246" customWidth="1"/>
    <col min="6407" max="6407" width="23.125" style="246" customWidth="1"/>
    <col min="6408" max="6408" width="14" style="246" customWidth="1"/>
    <col min="6409" max="6409" width="11.75" style="246" customWidth="1"/>
    <col min="6410" max="6410" width="14.125" style="246" customWidth="1"/>
    <col min="6411" max="6411" width="16.125" style="246" customWidth="1"/>
    <col min="6412" max="6412" width="17.375" style="246" customWidth="1"/>
    <col min="6413" max="6413" width="24.375" style="246" customWidth="1"/>
    <col min="6414" max="6414" width="11.75" style="246" customWidth="1"/>
    <col min="6415" max="6415" width="13.625" style="246" customWidth="1"/>
    <col min="6416" max="6416" width="15.125" style="246" customWidth="1"/>
    <col min="6417" max="6418" width="14.375" style="246" customWidth="1"/>
    <col min="6419" max="6419" width="0" style="246" hidden="1" customWidth="1"/>
    <col min="6420" max="6420" width="13" style="246" customWidth="1"/>
    <col min="6421" max="6421" width="16.75" style="246" customWidth="1"/>
    <col min="6422" max="6423" width="22.25" style="246" customWidth="1"/>
    <col min="6424" max="6424" width="36.625" style="246" customWidth="1"/>
    <col min="6425" max="6425" width="26.25" style="246" customWidth="1"/>
    <col min="6426" max="6426" width="19.875" style="246" customWidth="1"/>
    <col min="6427" max="6427" width="24" style="246" customWidth="1"/>
    <col min="6428" max="6428" width="22" style="246" customWidth="1"/>
    <col min="6429" max="6429" width="20" style="246" customWidth="1"/>
    <col min="6430" max="6661" width="9" style="246"/>
    <col min="6662" max="6662" width="9" style="246" customWidth="1"/>
    <col min="6663" max="6663" width="23.125" style="246" customWidth="1"/>
    <col min="6664" max="6664" width="14" style="246" customWidth="1"/>
    <col min="6665" max="6665" width="11.75" style="246" customWidth="1"/>
    <col min="6666" max="6666" width="14.125" style="246" customWidth="1"/>
    <col min="6667" max="6667" width="16.125" style="246" customWidth="1"/>
    <col min="6668" max="6668" width="17.375" style="246" customWidth="1"/>
    <col min="6669" max="6669" width="24.375" style="246" customWidth="1"/>
    <col min="6670" max="6670" width="11.75" style="246" customWidth="1"/>
    <col min="6671" max="6671" width="13.625" style="246" customWidth="1"/>
    <col min="6672" max="6672" width="15.125" style="246" customWidth="1"/>
    <col min="6673" max="6674" width="14.375" style="246" customWidth="1"/>
    <col min="6675" max="6675" width="0" style="246" hidden="1" customWidth="1"/>
    <col min="6676" max="6676" width="13" style="246" customWidth="1"/>
    <col min="6677" max="6677" width="16.75" style="246" customWidth="1"/>
    <col min="6678" max="6679" width="22.25" style="246" customWidth="1"/>
    <col min="6680" max="6680" width="36.625" style="246" customWidth="1"/>
    <col min="6681" max="6681" width="26.25" style="246" customWidth="1"/>
    <col min="6682" max="6682" width="19.875" style="246" customWidth="1"/>
    <col min="6683" max="6683" width="24" style="246" customWidth="1"/>
    <col min="6684" max="6684" width="22" style="246" customWidth="1"/>
    <col min="6685" max="6685" width="20" style="246" customWidth="1"/>
    <col min="6686" max="6917" width="9" style="246"/>
    <col min="6918" max="6918" width="9" style="246" customWidth="1"/>
    <col min="6919" max="6919" width="23.125" style="246" customWidth="1"/>
    <col min="6920" max="6920" width="14" style="246" customWidth="1"/>
    <col min="6921" max="6921" width="11.75" style="246" customWidth="1"/>
    <col min="6922" max="6922" width="14.125" style="246" customWidth="1"/>
    <col min="6923" max="6923" width="16.125" style="246" customWidth="1"/>
    <col min="6924" max="6924" width="17.375" style="246" customWidth="1"/>
    <col min="6925" max="6925" width="24.375" style="246" customWidth="1"/>
    <col min="6926" max="6926" width="11.75" style="246" customWidth="1"/>
    <col min="6927" max="6927" width="13.625" style="246" customWidth="1"/>
    <col min="6928" max="6928" width="15.125" style="246" customWidth="1"/>
    <col min="6929" max="6930" width="14.375" style="246" customWidth="1"/>
    <col min="6931" max="6931" width="0" style="246" hidden="1" customWidth="1"/>
    <col min="6932" max="6932" width="13" style="246" customWidth="1"/>
    <col min="6933" max="6933" width="16.75" style="246" customWidth="1"/>
    <col min="6934" max="6935" width="22.25" style="246" customWidth="1"/>
    <col min="6936" max="6936" width="36.625" style="246" customWidth="1"/>
    <col min="6937" max="6937" width="26.25" style="246" customWidth="1"/>
    <col min="6938" max="6938" width="19.875" style="246" customWidth="1"/>
    <col min="6939" max="6939" width="24" style="246" customWidth="1"/>
    <col min="6940" max="6940" width="22" style="246" customWidth="1"/>
    <col min="6941" max="6941" width="20" style="246" customWidth="1"/>
    <col min="6942" max="7173" width="9" style="246"/>
    <col min="7174" max="7174" width="9" style="246" customWidth="1"/>
    <col min="7175" max="7175" width="23.125" style="246" customWidth="1"/>
    <col min="7176" max="7176" width="14" style="246" customWidth="1"/>
    <col min="7177" max="7177" width="11.75" style="246" customWidth="1"/>
    <col min="7178" max="7178" width="14.125" style="246" customWidth="1"/>
    <col min="7179" max="7179" width="16.125" style="246" customWidth="1"/>
    <col min="7180" max="7180" width="17.375" style="246" customWidth="1"/>
    <col min="7181" max="7181" width="24.375" style="246" customWidth="1"/>
    <col min="7182" max="7182" width="11.75" style="246" customWidth="1"/>
    <col min="7183" max="7183" width="13.625" style="246" customWidth="1"/>
    <col min="7184" max="7184" width="15.125" style="246" customWidth="1"/>
    <col min="7185" max="7186" width="14.375" style="246" customWidth="1"/>
    <col min="7187" max="7187" width="0" style="246" hidden="1" customWidth="1"/>
    <col min="7188" max="7188" width="13" style="246" customWidth="1"/>
    <col min="7189" max="7189" width="16.75" style="246" customWidth="1"/>
    <col min="7190" max="7191" width="22.25" style="246" customWidth="1"/>
    <col min="7192" max="7192" width="36.625" style="246" customWidth="1"/>
    <col min="7193" max="7193" width="26.25" style="246" customWidth="1"/>
    <col min="7194" max="7194" width="19.875" style="246" customWidth="1"/>
    <col min="7195" max="7195" width="24" style="246" customWidth="1"/>
    <col min="7196" max="7196" width="22" style="246" customWidth="1"/>
    <col min="7197" max="7197" width="20" style="246" customWidth="1"/>
    <col min="7198" max="7429" width="9" style="246"/>
    <col min="7430" max="7430" width="9" style="246" customWidth="1"/>
    <col min="7431" max="7431" width="23.125" style="246" customWidth="1"/>
    <col min="7432" max="7432" width="14" style="246" customWidth="1"/>
    <col min="7433" max="7433" width="11.75" style="246" customWidth="1"/>
    <col min="7434" max="7434" width="14.125" style="246" customWidth="1"/>
    <col min="7435" max="7435" width="16.125" style="246" customWidth="1"/>
    <col min="7436" max="7436" width="17.375" style="246" customWidth="1"/>
    <col min="7437" max="7437" width="24.375" style="246" customWidth="1"/>
    <col min="7438" max="7438" width="11.75" style="246" customWidth="1"/>
    <col min="7439" max="7439" width="13.625" style="246" customWidth="1"/>
    <col min="7440" max="7440" width="15.125" style="246" customWidth="1"/>
    <col min="7441" max="7442" width="14.375" style="246" customWidth="1"/>
    <col min="7443" max="7443" width="0" style="246" hidden="1" customWidth="1"/>
    <col min="7444" max="7444" width="13" style="246" customWidth="1"/>
    <col min="7445" max="7445" width="16.75" style="246" customWidth="1"/>
    <col min="7446" max="7447" width="22.25" style="246" customWidth="1"/>
    <col min="7448" max="7448" width="36.625" style="246" customWidth="1"/>
    <col min="7449" max="7449" width="26.25" style="246" customWidth="1"/>
    <col min="7450" max="7450" width="19.875" style="246" customWidth="1"/>
    <col min="7451" max="7451" width="24" style="246" customWidth="1"/>
    <col min="7452" max="7452" width="22" style="246" customWidth="1"/>
    <col min="7453" max="7453" width="20" style="246" customWidth="1"/>
    <col min="7454" max="7685" width="9" style="246"/>
    <col min="7686" max="7686" width="9" style="246" customWidth="1"/>
    <col min="7687" max="7687" width="23.125" style="246" customWidth="1"/>
    <col min="7688" max="7688" width="14" style="246" customWidth="1"/>
    <col min="7689" max="7689" width="11.75" style="246" customWidth="1"/>
    <col min="7690" max="7690" width="14.125" style="246" customWidth="1"/>
    <col min="7691" max="7691" width="16.125" style="246" customWidth="1"/>
    <col min="7692" max="7692" width="17.375" style="246" customWidth="1"/>
    <col min="7693" max="7693" width="24.375" style="246" customWidth="1"/>
    <col min="7694" max="7694" width="11.75" style="246" customWidth="1"/>
    <col min="7695" max="7695" width="13.625" style="246" customWidth="1"/>
    <col min="7696" max="7696" width="15.125" style="246" customWidth="1"/>
    <col min="7697" max="7698" width="14.375" style="246" customWidth="1"/>
    <col min="7699" max="7699" width="0" style="246" hidden="1" customWidth="1"/>
    <col min="7700" max="7700" width="13" style="246" customWidth="1"/>
    <col min="7701" max="7701" width="16.75" style="246" customWidth="1"/>
    <col min="7702" max="7703" width="22.25" style="246" customWidth="1"/>
    <col min="7704" max="7704" width="36.625" style="246" customWidth="1"/>
    <col min="7705" max="7705" width="26.25" style="246" customWidth="1"/>
    <col min="7706" max="7706" width="19.875" style="246" customWidth="1"/>
    <col min="7707" max="7707" width="24" style="246" customWidth="1"/>
    <col min="7708" max="7708" width="22" style="246" customWidth="1"/>
    <col min="7709" max="7709" width="20" style="246" customWidth="1"/>
    <col min="7710" max="7941" width="9" style="246"/>
    <col min="7942" max="7942" width="9" style="246" customWidth="1"/>
    <col min="7943" max="7943" width="23.125" style="246" customWidth="1"/>
    <col min="7944" max="7944" width="14" style="246" customWidth="1"/>
    <col min="7945" max="7945" width="11.75" style="246" customWidth="1"/>
    <col min="7946" max="7946" width="14.125" style="246" customWidth="1"/>
    <col min="7947" max="7947" width="16.125" style="246" customWidth="1"/>
    <col min="7948" max="7948" width="17.375" style="246" customWidth="1"/>
    <col min="7949" max="7949" width="24.375" style="246" customWidth="1"/>
    <col min="7950" max="7950" width="11.75" style="246" customWidth="1"/>
    <col min="7951" max="7951" width="13.625" style="246" customWidth="1"/>
    <col min="7952" max="7952" width="15.125" style="246" customWidth="1"/>
    <col min="7953" max="7954" width="14.375" style="246" customWidth="1"/>
    <col min="7955" max="7955" width="0" style="246" hidden="1" customWidth="1"/>
    <col min="7956" max="7956" width="13" style="246" customWidth="1"/>
    <col min="7957" max="7957" width="16.75" style="246" customWidth="1"/>
    <col min="7958" max="7959" width="22.25" style="246" customWidth="1"/>
    <col min="7960" max="7960" width="36.625" style="246" customWidth="1"/>
    <col min="7961" max="7961" width="26.25" style="246" customWidth="1"/>
    <col min="7962" max="7962" width="19.875" style="246" customWidth="1"/>
    <col min="7963" max="7963" width="24" style="246" customWidth="1"/>
    <col min="7964" max="7964" width="22" style="246" customWidth="1"/>
    <col min="7965" max="7965" width="20" style="246" customWidth="1"/>
    <col min="7966" max="8197" width="9" style="246"/>
    <col min="8198" max="8198" width="9" style="246" customWidth="1"/>
    <col min="8199" max="8199" width="23.125" style="246" customWidth="1"/>
    <col min="8200" max="8200" width="14" style="246" customWidth="1"/>
    <col min="8201" max="8201" width="11.75" style="246" customWidth="1"/>
    <col min="8202" max="8202" width="14.125" style="246" customWidth="1"/>
    <col min="8203" max="8203" width="16.125" style="246" customWidth="1"/>
    <col min="8204" max="8204" width="17.375" style="246" customWidth="1"/>
    <col min="8205" max="8205" width="24.375" style="246" customWidth="1"/>
    <col min="8206" max="8206" width="11.75" style="246" customWidth="1"/>
    <col min="8207" max="8207" width="13.625" style="246" customWidth="1"/>
    <col min="8208" max="8208" width="15.125" style="246" customWidth="1"/>
    <col min="8209" max="8210" width="14.375" style="246" customWidth="1"/>
    <col min="8211" max="8211" width="0" style="246" hidden="1" customWidth="1"/>
    <col min="8212" max="8212" width="13" style="246" customWidth="1"/>
    <col min="8213" max="8213" width="16.75" style="246" customWidth="1"/>
    <col min="8214" max="8215" width="22.25" style="246" customWidth="1"/>
    <col min="8216" max="8216" width="36.625" style="246" customWidth="1"/>
    <col min="8217" max="8217" width="26.25" style="246" customWidth="1"/>
    <col min="8218" max="8218" width="19.875" style="246" customWidth="1"/>
    <col min="8219" max="8219" width="24" style="246" customWidth="1"/>
    <col min="8220" max="8220" width="22" style="246" customWidth="1"/>
    <col min="8221" max="8221" width="20" style="246" customWidth="1"/>
    <col min="8222" max="8453" width="9" style="246"/>
    <col min="8454" max="8454" width="9" style="246" customWidth="1"/>
    <col min="8455" max="8455" width="23.125" style="246" customWidth="1"/>
    <col min="8456" max="8456" width="14" style="246" customWidth="1"/>
    <col min="8457" max="8457" width="11.75" style="246" customWidth="1"/>
    <col min="8458" max="8458" width="14.125" style="246" customWidth="1"/>
    <col min="8459" max="8459" width="16.125" style="246" customWidth="1"/>
    <col min="8460" max="8460" width="17.375" style="246" customWidth="1"/>
    <col min="8461" max="8461" width="24.375" style="246" customWidth="1"/>
    <col min="8462" max="8462" width="11.75" style="246" customWidth="1"/>
    <col min="8463" max="8463" width="13.625" style="246" customWidth="1"/>
    <col min="8464" max="8464" width="15.125" style="246" customWidth="1"/>
    <col min="8465" max="8466" width="14.375" style="246" customWidth="1"/>
    <col min="8467" max="8467" width="0" style="246" hidden="1" customWidth="1"/>
    <col min="8468" max="8468" width="13" style="246" customWidth="1"/>
    <col min="8469" max="8469" width="16.75" style="246" customWidth="1"/>
    <col min="8470" max="8471" width="22.25" style="246" customWidth="1"/>
    <col min="8472" max="8472" width="36.625" style="246" customWidth="1"/>
    <col min="8473" max="8473" width="26.25" style="246" customWidth="1"/>
    <col min="8474" max="8474" width="19.875" style="246" customWidth="1"/>
    <col min="8475" max="8475" width="24" style="246" customWidth="1"/>
    <col min="8476" max="8476" width="22" style="246" customWidth="1"/>
    <col min="8477" max="8477" width="20" style="246" customWidth="1"/>
    <col min="8478" max="8709" width="9" style="246"/>
    <col min="8710" max="8710" width="9" style="246" customWidth="1"/>
    <col min="8711" max="8711" width="23.125" style="246" customWidth="1"/>
    <col min="8712" max="8712" width="14" style="246" customWidth="1"/>
    <col min="8713" max="8713" width="11.75" style="246" customWidth="1"/>
    <col min="8714" max="8714" width="14.125" style="246" customWidth="1"/>
    <col min="8715" max="8715" width="16.125" style="246" customWidth="1"/>
    <col min="8716" max="8716" width="17.375" style="246" customWidth="1"/>
    <col min="8717" max="8717" width="24.375" style="246" customWidth="1"/>
    <col min="8718" max="8718" width="11.75" style="246" customWidth="1"/>
    <col min="8719" max="8719" width="13.625" style="246" customWidth="1"/>
    <col min="8720" max="8720" width="15.125" style="246" customWidth="1"/>
    <col min="8721" max="8722" width="14.375" style="246" customWidth="1"/>
    <col min="8723" max="8723" width="0" style="246" hidden="1" customWidth="1"/>
    <col min="8724" max="8724" width="13" style="246" customWidth="1"/>
    <col min="8725" max="8725" width="16.75" style="246" customWidth="1"/>
    <col min="8726" max="8727" width="22.25" style="246" customWidth="1"/>
    <col min="8728" max="8728" width="36.625" style="246" customWidth="1"/>
    <col min="8729" max="8729" width="26.25" style="246" customWidth="1"/>
    <col min="8730" max="8730" width="19.875" style="246" customWidth="1"/>
    <col min="8731" max="8731" width="24" style="246" customWidth="1"/>
    <col min="8732" max="8732" width="22" style="246" customWidth="1"/>
    <col min="8733" max="8733" width="20" style="246" customWidth="1"/>
    <col min="8734" max="8965" width="9" style="246"/>
    <col min="8966" max="8966" width="9" style="246" customWidth="1"/>
    <col min="8967" max="8967" width="23.125" style="246" customWidth="1"/>
    <col min="8968" max="8968" width="14" style="246" customWidth="1"/>
    <col min="8969" max="8969" width="11.75" style="246" customWidth="1"/>
    <col min="8970" max="8970" width="14.125" style="246" customWidth="1"/>
    <col min="8971" max="8971" width="16.125" style="246" customWidth="1"/>
    <col min="8972" max="8972" width="17.375" style="246" customWidth="1"/>
    <col min="8973" max="8973" width="24.375" style="246" customWidth="1"/>
    <col min="8974" max="8974" width="11.75" style="246" customWidth="1"/>
    <col min="8975" max="8975" width="13.625" style="246" customWidth="1"/>
    <col min="8976" max="8976" width="15.125" style="246" customWidth="1"/>
    <col min="8977" max="8978" width="14.375" style="246" customWidth="1"/>
    <col min="8979" max="8979" width="0" style="246" hidden="1" customWidth="1"/>
    <col min="8980" max="8980" width="13" style="246" customWidth="1"/>
    <col min="8981" max="8981" width="16.75" style="246" customWidth="1"/>
    <col min="8982" max="8983" width="22.25" style="246" customWidth="1"/>
    <col min="8984" max="8984" width="36.625" style="246" customWidth="1"/>
    <col min="8985" max="8985" width="26.25" style="246" customWidth="1"/>
    <col min="8986" max="8986" width="19.875" style="246" customWidth="1"/>
    <col min="8987" max="8987" width="24" style="246" customWidth="1"/>
    <col min="8988" max="8988" width="22" style="246" customWidth="1"/>
    <col min="8989" max="8989" width="20" style="246" customWidth="1"/>
    <col min="8990" max="9221" width="9" style="246"/>
    <col min="9222" max="9222" width="9" style="246" customWidth="1"/>
    <col min="9223" max="9223" width="23.125" style="246" customWidth="1"/>
    <col min="9224" max="9224" width="14" style="246" customWidth="1"/>
    <col min="9225" max="9225" width="11.75" style="246" customWidth="1"/>
    <col min="9226" max="9226" width="14.125" style="246" customWidth="1"/>
    <col min="9227" max="9227" width="16.125" style="246" customWidth="1"/>
    <col min="9228" max="9228" width="17.375" style="246" customWidth="1"/>
    <col min="9229" max="9229" width="24.375" style="246" customWidth="1"/>
    <col min="9230" max="9230" width="11.75" style="246" customWidth="1"/>
    <col min="9231" max="9231" width="13.625" style="246" customWidth="1"/>
    <col min="9232" max="9232" width="15.125" style="246" customWidth="1"/>
    <col min="9233" max="9234" width="14.375" style="246" customWidth="1"/>
    <col min="9235" max="9235" width="0" style="246" hidden="1" customWidth="1"/>
    <col min="9236" max="9236" width="13" style="246" customWidth="1"/>
    <col min="9237" max="9237" width="16.75" style="246" customWidth="1"/>
    <col min="9238" max="9239" width="22.25" style="246" customWidth="1"/>
    <col min="9240" max="9240" width="36.625" style="246" customWidth="1"/>
    <col min="9241" max="9241" width="26.25" style="246" customWidth="1"/>
    <col min="9242" max="9242" width="19.875" style="246" customWidth="1"/>
    <col min="9243" max="9243" width="24" style="246" customWidth="1"/>
    <col min="9244" max="9244" width="22" style="246" customWidth="1"/>
    <col min="9245" max="9245" width="20" style="246" customWidth="1"/>
    <col min="9246" max="9477" width="9" style="246"/>
    <col min="9478" max="9478" width="9" style="246" customWidth="1"/>
    <col min="9479" max="9479" width="23.125" style="246" customWidth="1"/>
    <col min="9480" max="9480" width="14" style="246" customWidth="1"/>
    <col min="9481" max="9481" width="11.75" style="246" customWidth="1"/>
    <col min="9482" max="9482" width="14.125" style="246" customWidth="1"/>
    <col min="9483" max="9483" width="16.125" style="246" customWidth="1"/>
    <col min="9484" max="9484" width="17.375" style="246" customWidth="1"/>
    <col min="9485" max="9485" width="24.375" style="246" customWidth="1"/>
    <col min="9486" max="9486" width="11.75" style="246" customWidth="1"/>
    <col min="9487" max="9487" width="13.625" style="246" customWidth="1"/>
    <col min="9488" max="9488" width="15.125" style="246" customWidth="1"/>
    <col min="9489" max="9490" width="14.375" style="246" customWidth="1"/>
    <col min="9491" max="9491" width="0" style="246" hidden="1" customWidth="1"/>
    <col min="9492" max="9492" width="13" style="246" customWidth="1"/>
    <col min="9493" max="9493" width="16.75" style="246" customWidth="1"/>
    <col min="9494" max="9495" width="22.25" style="246" customWidth="1"/>
    <col min="9496" max="9496" width="36.625" style="246" customWidth="1"/>
    <col min="9497" max="9497" width="26.25" style="246" customWidth="1"/>
    <col min="9498" max="9498" width="19.875" style="246" customWidth="1"/>
    <col min="9499" max="9499" width="24" style="246" customWidth="1"/>
    <col min="9500" max="9500" width="22" style="246" customWidth="1"/>
    <col min="9501" max="9501" width="20" style="246" customWidth="1"/>
    <col min="9502" max="9733" width="9" style="246"/>
    <col min="9734" max="9734" width="9" style="246" customWidth="1"/>
    <col min="9735" max="9735" width="23.125" style="246" customWidth="1"/>
    <col min="9736" max="9736" width="14" style="246" customWidth="1"/>
    <col min="9737" max="9737" width="11.75" style="246" customWidth="1"/>
    <col min="9738" max="9738" width="14.125" style="246" customWidth="1"/>
    <col min="9739" max="9739" width="16.125" style="246" customWidth="1"/>
    <col min="9740" max="9740" width="17.375" style="246" customWidth="1"/>
    <col min="9741" max="9741" width="24.375" style="246" customWidth="1"/>
    <col min="9742" max="9742" width="11.75" style="246" customWidth="1"/>
    <col min="9743" max="9743" width="13.625" style="246" customWidth="1"/>
    <col min="9744" max="9744" width="15.125" style="246" customWidth="1"/>
    <col min="9745" max="9746" width="14.375" style="246" customWidth="1"/>
    <col min="9747" max="9747" width="0" style="246" hidden="1" customWidth="1"/>
    <col min="9748" max="9748" width="13" style="246" customWidth="1"/>
    <col min="9749" max="9749" width="16.75" style="246" customWidth="1"/>
    <col min="9750" max="9751" width="22.25" style="246" customWidth="1"/>
    <col min="9752" max="9752" width="36.625" style="246" customWidth="1"/>
    <col min="9753" max="9753" width="26.25" style="246" customWidth="1"/>
    <col min="9754" max="9754" width="19.875" style="246" customWidth="1"/>
    <col min="9755" max="9755" width="24" style="246" customWidth="1"/>
    <col min="9756" max="9756" width="22" style="246" customWidth="1"/>
    <col min="9757" max="9757" width="20" style="246" customWidth="1"/>
    <col min="9758" max="9989" width="9" style="246"/>
    <col min="9990" max="9990" width="9" style="246" customWidth="1"/>
    <col min="9991" max="9991" width="23.125" style="246" customWidth="1"/>
    <col min="9992" max="9992" width="14" style="246" customWidth="1"/>
    <col min="9993" max="9993" width="11.75" style="246" customWidth="1"/>
    <col min="9994" max="9994" width="14.125" style="246" customWidth="1"/>
    <col min="9995" max="9995" width="16.125" style="246" customWidth="1"/>
    <col min="9996" max="9996" width="17.375" style="246" customWidth="1"/>
    <col min="9997" max="9997" width="24.375" style="246" customWidth="1"/>
    <col min="9998" max="9998" width="11.75" style="246" customWidth="1"/>
    <col min="9999" max="9999" width="13.625" style="246" customWidth="1"/>
    <col min="10000" max="10000" width="15.125" style="246" customWidth="1"/>
    <col min="10001" max="10002" width="14.375" style="246" customWidth="1"/>
    <col min="10003" max="10003" width="0" style="246" hidden="1" customWidth="1"/>
    <col min="10004" max="10004" width="13" style="246" customWidth="1"/>
    <col min="10005" max="10005" width="16.75" style="246" customWidth="1"/>
    <col min="10006" max="10007" width="22.25" style="246" customWidth="1"/>
    <col min="10008" max="10008" width="36.625" style="246" customWidth="1"/>
    <col min="10009" max="10009" width="26.25" style="246" customWidth="1"/>
    <col min="10010" max="10010" width="19.875" style="246" customWidth="1"/>
    <col min="10011" max="10011" width="24" style="246" customWidth="1"/>
    <col min="10012" max="10012" width="22" style="246" customWidth="1"/>
    <col min="10013" max="10013" width="20" style="246" customWidth="1"/>
    <col min="10014" max="10245" width="9" style="246"/>
    <col min="10246" max="10246" width="9" style="246" customWidth="1"/>
    <col min="10247" max="10247" width="23.125" style="246" customWidth="1"/>
    <col min="10248" max="10248" width="14" style="246" customWidth="1"/>
    <col min="10249" max="10249" width="11.75" style="246" customWidth="1"/>
    <col min="10250" max="10250" width="14.125" style="246" customWidth="1"/>
    <col min="10251" max="10251" width="16.125" style="246" customWidth="1"/>
    <col min="10252" max="10252" width="17.375" style="246" customWidth="1"/>
    <col min="10253" max="10253" width="24.375" style="246" customWidth="1"/>
    <col min="10254" max="10254" width="11.75" style="246" customWidth="1"/>
    <col min="10255" max="10255" width="13.625" style="246" customWidth="1"/>
    <col min="10256" max="10256" width="15.125" style="246" customWidth="1"/>
    <col min="10257" max="10258" width="14.375" style="246" customWidth="1"/>
    <col min="10259" max="10259" width="0" style="246" hidden="1" customWidth="1"/>
    <col min="10260" max="10260" width="13" style="246" customWidth="1"/>
    <col min="10261" max="10261" width="16.75" style="246" customWidth="1"/>
    <col min="10262" max="10263" width="22.25" style="246" customWidth="1"/>
    <col min="10264" max="10264" width="36.625" style="246" customWidth="1"/>
    <col min="10265" max="10265" width="26.25" style="246" customWidth="1"/>
    <col min="10266" max="10266" width="19.875" style="246" customWidth="1"/>
    <col min="10267" max="10267" width="24" style="246" customWidth="1"/>
    <col min="10268" max="10268" width="22" style="246" customWidth="1"/>
    <col min="10269" max="10269" width="20" style="246" customWidth="1"/>
    <col min="10270" max="10501" width="9" style="246"/>
    <col min="10502" max="10502" width="9" style="246" customWidth="1"/>
    <col min="10503" max="10503" width="23.125" style="246" customWidth="1"/>
    <col min="10504" max="10504" width="14" style="246" customWidth="1"/>
    <col min="10505" max="10505" width="11.75" style="246" customWidth="1"/>
    <col min="10506" max="10506" width="14.125" style="246" customWidth="1"/>
    <col min="10507" max="10507" width="16.125" style="246" customWidth="1"/>
    <col min="10508" max="10508" width="17.375" style="246" customWidth="1"/>
    <col min="10509" max="10509" width="24.375" style="246" customWidth="1"/>
    <col min="10510" max="10510" width="11.75" style="246" customWidth="1"/>
    <col min="10511" max="10511" width="13.625" style="246" customWidth="1"/>
    <col min="10512" max="10512" width="15.125" style="246" customWidth="1"/>
    <col min="10513" max="10514" width="14.375" style="246" customWidth="1"/>
    <col min="10515" max="10515" width="0" style="246" hidden="1" customWidth="1"/>
    <col min="10516" max="10516" width="13" style="246" customWidth="1"/>
    <col min="10517" max="10517" width="16.75" style="246" customWidth="1"/>
    <col min="10518" max="10519" width="22.25" style="246" customWidth="1"/>
    <col min="10520" max="10520" width="36.625" style="246" customWidth="1"/>
    <col min="10521" max="10521" width="26.25" style="246" customWidth="1"/>
    <col min="10522" max="10522" width="19.875" style="246" customWidth="1"/>
    <col min="10523" max="10523" width="24" style="246" customWidth="1"/>
    <col min="10524" max="10524" width="22" style="246" customWidth="1"/>
    <col min="10525" max="10525" width="20" style="246" customWidth="1"/>
    <col min="10526" max="10757" width="9" style="246"/>
    <col min="10758" max="10758" width="9" style="246" customWidth="1"/>
    <col min="10759" max="10759" width="23.125" style="246" customWidth="1"/>
    <col min="10760" max="10760" width="14" style="246" customWidth="1"/>
    <col min="10761" max="10761" width="11.75" style="246" customWidth="1"/>
    <col min="10762" max="10762" width="14.125" style="246" customWidth="1"/>
    <col min="10763" max="10763" width="16.125" style="246" customWidth="1"/>
    <col min="10764" max="10764" width="17.375" style="246" customWidth="1"/>
    <col min="10765" max="10765" width="24.375" style="246" customWidth="1"/>
    <col min="10766" max="10766" width="11.75" style="246" customWidth="1"/>
    <col min="10767" max="10767" width="13.625" style="246" customWidth="1"/>
    <col min="10768" max="10768" width="15.125" style="246" customWidth="1"/>
    <col min="10769" max="10770" width="14.375" style="246" customWidth="1"/>
    <col min="10771" max="10771" width="0" style="246" hidden="1" customWidth="1"/>
    <col min="10772" max="10772" width="13" style="246" customWidth="1"/>
    <col min="10773" max="10773" width="16.75" style="246" customWidth="1"/>
    <col min="10774" max="10775" width="22.25" style="246" customWidth="1"/>
    <col min="10776" max="10776" width="36.625" style="246" customWidth="1"/>
    <col min="10777" max="10777" width="26.25" style="246" customWidth="1"/>
    <col min="10778" max="10778" width="19.875" style="246" customWidth="1"/>
    <col min="10779" max="10779" width="24" style="246" customWidth="1"/>
    <col min="10780" max="10780" width="22" style="246" customWidth="1"/>
    <col min="10781" max="10781" width="20" style="246" customWidth="1"/>
    <col min="10782" max="11013" width="9" style="246"/>
    <col min="11014" max="11014" width="9" style="246" customWidth="1"/>
    <col min="11015" max="11015" width="23.125" style="246" customWidth="1"/>
    <col min="11016" max="11016" width="14" style="246" customWidth="1"/>
    <col min="11017" max="11017" width="11.75" style="246" customWidth="1"/>
    <col min="11018" max="11018" width="14.125" style="246" customWidth="1"/>
    <col min="11019" max="11019" width="16.125" style="246" customWidth="1"/>
    <col min="11020" max="11020" width="17.375" style="246" customWidth="1"/>
    <col min="11021" max="11021" width="24.375" style="246" customWidth="1"/>
    <col min="11022" max="11022" width="11.75" style="246" customWidth="1"/>
    <col min="11023" max="11023" width="13.625" style="246" customWidth="1"/>
    <col min="11024" max="11024" width="15.125" style="246" customWidth="1"/>
    <col min="11025" max="11026" width="14.375" style="246" customWidth="1"/>
    <col min="11027" max="11027" width="0" style="246" hidden="1" customWidth="1"/>
    <col min="11028" max="11028" width="13" style="246" customWidth="1"/>
    <col min="11029" max="11029" width="16.75" style="246" customWidth="1"/>
    <col min="11030" max="11031" width="22.25" style="246" customWidth="1"/>
    <col min="11032" max="11032" width="36.625" style="246" customWidth="1"/>
    <col min="11033" max="11033" width="26.25" style="246" customWidth="1"/>
    <col min="11034" max="11034" width="19.875" style="246" customWidth="1"/>
    <col min="11035" max="11035" width="24" style="246" customWidth="1"/>
    <col min="11036" max="11036" width="22" style="246" customWidth="1"/>
    <col min="11037" max="11037" width="20" style="246" customWidth="1"/>
    <col min="11038" max="11269" width="9" style="246"/>
    <col min="11270" max="11270" width="9" style="246" customWidth="1"/>
    <col min="11271" max="11271" width="23.125" style="246" customWidth="1"/>
    <col min="11272" max="11272" width="14" style="246" customWidth="1"/>
    <col min="11273" max="11273" width="11.75" style="246" customWidth="1"/>
    <col min="11274" max="11274" width="14.125" style="246" customWidth="1"/>
    <col min="11275" max="11275" width="16.125" style="246" customWidth="1"/>
    <col min="11276" max="11276" width="17.375" style="246" customWidth="1"/>
    <col min="11277" max="11277" width="24.375" style="246" customWidth="1"/>
    <col min="11278" max="11278" width="11.75" style="246" customWidth="1"/>
    <col min="11279" max="11279" width="13.625" style="246" customWidth="1"/>
    <col min="11280" max="11280" width="15.125" style="246" customWidth="1"/>
    <col min="11281" max="11282" width="14.375" style="246" customWidth="1"/>
    <col min="11283" max="11283" width="0" style="246" hidden="1" customWidth="1"/>
    <col min="11284" max="11284" width="13" style="246" customWidth="1"/>
    <col min="11285" max="11285" width="16.75" style="246" customWidth="1"/>
    <col min="11286" max="11287" width="22.25" style="246" customWidth="1"/>
    <col min="11288" max="11288" width="36.625" style="246" customWidth="1"/>
    <col min="11289" max="11289" width="26.25" style="246" customWidth="1"/>
    <col min="11290" max="11290" width="19.875" style="246" customWidth="1"/>
    <col min="11291" max="11291" width="24" style="246" customWidth="1"/>
    <col min="11292" max="11292" width="22" style="246" customWidth="1"/>
    <col min="11293" max="11293" width="20" style="246" customWidth="1"/>
    <col min="11294" max="11525" width="9" style="246"/>
    <col min="11526" max="11526" width="9" style="246" customWidth="1"/>
    <col min="11527" max="11527" width="23.125" style="246" customWidth="1"/>
    <col min="11528" max="11528" width="14" style="246" customWidth="1"/>
    <col min="11529" max="11529" width="11.75" style="246" customWidth="1"/>
    <col min="11530" max="11530" width="14.125" style="246" customWidth="1"/>
    <col min="11531" max="11531" width="16.125" style="246" customWidth="1"/>
    <col min="11532" max="11532" width="17.375" style="246" customWidth="1"/>
    <col min="11533" max="11533" width="24.375" style="246" customWidth="1"/>
    <col min="11534" max="11534" width="11.75" style="246" customWidth="1"/>
    <col min="11535" max="11535" width="13.625" style="246" customWidth="1"/>
    <col min="11536" max="11536" width="15.125" style="246" customWidth="1"/>
    <col min="11537" max="11538" width="14.375" style="246" customWidth="1"/>
    <col min="11539" max="11539" width="0" style="246" hidden="1" customWidth="1"/>
    <col min="11540" max="11540" width="13" style="246" customWidth="1"/>
    <col min="11541" max="11541" width="16.75" style="246" customWidth="1"/>
    <col min="11542" max="11543" width="22.25" style="246" customWidth="1"/>
    <col min="11544" max="11544" width="36.625" style="246" customWidth="1"/>
    <col min="11545" max="11545" width="26.25" style="246" customWidth="1"/>
    <col min="11546" max="11546" width="19.875" style="246" customWidth="1"/>
    <col min="11547" max="11547" width="24" style="246" customWidth="1"/>
    <col min="11548" max="11548" width="22" style="246" customWidth="1"/>
    <col min="11549" max="11549" width="20" style="246" customWidth="1"/>
    <col min="11550" max="11781" width="9" style="246"/>
    <col min="11782" max="11782" width="9" style="246" customWidth="1"/>
    <col min="11783" max="11783" width="23.125" style="246" customWidth="1"/>
    <col min="11784" max="11784" width="14" style="246" customWidth="1"/>
    <col min="11785" max="11785" width="11.75" style="246" customWidth="1"/>
    <col min="11786" max="11786" width="14.125" style="246" customWidth="1"/>
    <col min="11787" max="11787" width="16.125" style="246" customWidth="1"/>
    <col min="11788" max="11788" width="17.375" style="246" customWidth="1"/>
    <col min="11789" max="11789" width="24.375" style="246" customWidth="1"/>
    <col min="11790" max="11790" width="11.75" style="246" customWidth="1"/>
    <col min="11791" max="11791" width="13.625" style="246" customWidth="1"/>
    <col min="11792" max="11792" width="15.125" style="246" customWidth="1"/>
    <col min="11793" max="11794" width="14.375" style="246" customWidth="1"/>
    <col min="11795" max="11795" width="0" style="246" hidden="1" customWidth="1"/>
    <col min="11796" max="11796" width="13" style="246" customWidth="1"/>
    <col min="11797" max="11797" width="16.75" style="246" customWidth="1"/>
    <col min="11798" max="11799" width="22.25" style="246" customWidth="1"/>
    <col min="11800" max="11800" width="36.625" style="246" customWidth="1"/>
    <col min="11801" max="11801" width="26.25" style="246" customWidth="1"/>
    <col min="11802" max="11802" width="19.875" style="246" customWidth="1"/>
    <col min="11803" max="11803" width="24" style="246" customWidth="1"/>
    <col min="11804" max="11804" width="22" style="246" customWidth="1"/>
    <col min="11805" max="11805" width="20" style="246" customWidth="1"/>
    <col min="11806" max="12037" width="9" style="246"/>
    <col min="12038" max="12038" width="9" style="246" customWidth="1"/>
    <col min="12039" max="12039" width="23.125" style="246" customWidth="1"/>
    <col min="12040" max="12040" width="14" style="246" customWidth="1"/>
    <col min="12041" max="12041" width="11.75" style="246" customWidth="1"/>
    <col min="12042" max="12042" width="14.125" style="246" customWidth="1"/>
    <col min="12043" max="12043" width="16.125" style="246" customWidth="1"/>
    <col min="12044" max="12044" width="17.375" style="246" customWidth="1"/>
    <col min="12045" max="12045" width="24.375" style="246" customWidth="1"/>
    <col min="12046" max="12046" width="11.75" style="246" customWidth="1"/>
    <col min="12047" max="12047" width="13.625" style="246" customWidth="1"/>
    <col min="12048" max="12048" width="15.125" style="246" customWidth="1"/>
    <col min="12049" max="12050" width="14.375" style="246" customWidth="1"/>
    <col min="12051" max="12051" width="0" style="246" hidden="1" customWidth="1"/>
    <col min="12052" max="12052" width="13" style="246" customWidth="1"/>
    <col min="12053" max="12053" width="16.75" style="246" customWidth="1"/>
    <col min="12054" max="12055" width="22.25" style="246" customWidth="1"/>
    <col min="12056" max="12056" width="36.625" style="246" customWidth="1"/>
    <col min="12057" max="12057" width="26.25" style="246" customWidth="1"/>
    <col min="12058" max="12058" width="19.875" style="246" customWidth="1"/>
    <col min="12059" max="12059" width="24" style="246" customWidth="1"/>
    <col min="12060" max="12060" width="22" style="246" customWidth="1"/>
    <col min="12061" max="12061" width="20" style="246" customWidth="1"/>
    <col min="12062" max="12293" width="9" style="246"/>
    <col min="12294" max="12294" width="9" style="246" customWidth="1"/>
    <col min="12295" max="12295" width="23.125" style="246" customWidth="1"/>
    <col min="12296" max="12296" width="14" style="246" customWidth="1"/>
    <col min="12297" max="12297" width="11.75" style="246" customWidth="1"/>
    <col min="12298" max="12298" width="14.125" style="246" customWidth="1"/>
    <col min="12299" max="12299" width="16.125" style="246" customWidth="1"/>
    <col min="12300" max="12300" width="17.375" style="246" customWidth="1"/>
    <col min="12301" max="12301" width="24.375" style="246" customWidth="1"/>
    <col min="12302" max="12302" width="11.75" style="246" customWidth="1"/>
    <col min="12303" max="12303" width="13.625" style="246" customWidth="1"/>
    <col min="12304" max="12304" width="15.125" style="246" customWidth="1"/>
    <col min="12305" max="12306" width="14.375" style="246" customWidth="1"/>
    <col min="12307" max="12307" width="0" style="246" hidden="1" customWidth="1"/>
    <col min="12308" max="12308" width="13" style="246" customWidth="1"/>
    <col min="12309" max="12309" width="16.75" style="246" customWidth="1"/>
    <col min="12310" max="12311" width="22.25" style="246" customWidth="1"/>
    <col min="12312" max="12312" width="36.625" style="246" customWidth="1"/>
    <col min="12313" max="12313" width="26.25" style="246" customWidth="1"/>
    <col min="12314" max="12314" width="19.875" style="246" customWidth="1"/>
    <col min="12315" max="12315" width="24" style="246" customWidth="1"/>
    <col min="12316" max="12316" width="22" style="246" customWidth="1"/>
    <col min="12317" max="12317" width="20" style="246" customWidth="1"/>
    <col min="12318" max="12549" width="9" style="246"/>
    <col min="12550" max="12550" width="9" style="246" customWidth="1"/>
    <col min="12551" max="12551" width="23.125" style="246" customWidth="1"/>
    <col min="12552" max="12552" width="14" style="246" customWidth="1"/>
    <col min="12553" max="12553" width="11.75" style="246" customWidth="1"/>
    <col min="12554" max="12554" width="14.125" style="246" customWidth="1"/>
    <col min="12555" max="12555" width="16.125" style="246" customWidth="1"/>
    <col min="12556" max="12556" width="17.375" style="246" customWidth="1"/>
    <col min="12557" max="12557" width="24.375" style="246" customWidth="1"/>
    <col min="12558" max="12558" width="11.75" style="246" customWidth="1"/>
    <col min="12559" max="12559" width="13.625" style="246" customWidth="1"/>
    <col min="12560" max="12560" width="15.125" style="246" customWidth="1"/>
    <col min="12561" max="12562" width="14.375" style="246" customWidth="1"/>
    <col min="12563" max="12563" width="0" style="246" hidden="1" customWidth="1"/>
    <col min="12564" max="12564" width="13" style="246" customWidth="1"/>
    <col min="12565" max="12565" width="16.75" style="246" customWidth="1"/>
    <col min="12566" max="12567" width="22.25" style="246" customWidth="1"/>
    <col min="12568" max="12568" width="36.625" style="246" customWidth="1"/>
    <col min="12569" max="12569" width="26.25" style="246" customWidth="1"/>
    <col min="12570" max="12570" width="19.875" style="246" customWidth="1"/>
    <col min="12571" max="12571" width="24" style="246" customWidth="1"/>
    <col min="12572" max="12572" width="22" style="246" customWidth="1"/>
    <col min="12573" max="12573" width="20" style="246" customWidth="1"/>
    <col min="12574" max="12805" width="9" style="246"/>
    <col min="12806" max="12806" width="9" style="246" customWidth="1"/>
    <col min="12807" max="12807" width="23.125" style="246" customWidth="1"/>
    <col min="12808" max="12808" width="14" style="246" customWidth="1"/>
    <col min="12809" max="12809" width="11.75" style="246" customWidth="1"/>
    <col min="12810" max="12810" width="14.125" style="246" customWidth="1"/>
    <col min="12811" max="12811" width="16.125" style="246" customWidth="1"/>
    <col min="12812" max="12812" width="17.375" style="246" customWidth="1"/>
    <col min="12813" max="12813" width="24.375" style="246" customWidth="1"/>
    <col min="12814" max="12814" width="11.75" style="246" customWidth="1"/>
    <col min="12815" max="12815" width="13.625" style="246" customWidth="1"/>
    <col min="12816" max="12816" width="15.125" style="246" customWidth="1"/>
    <col min="12817" max="12818" width="14.375" style="246" customWidth="1"/>
    <col min="12819" max="12819" width="0" style="246" hidden="1" customWidth="1"/>
    <col min="12820" max="12820" width="13" style="246" customWidth="1"/>
    <col min="12821" max="12821" width="16.75" style="246" customWidth="1"/>
    <col min="12822" max="12823" width="22.25" style="246" customWidth="1"/>
    <col min="12824" max="12824" width="36.625" style="246" customWidth="1"/>
    <col min="12825" max="12825" width="26.25" style="246" customWidth="1"/>
    <col min="12826" max="12826" width="19.875" style="246" customWidth="1"/>
    <col min="12827" max="12827" width="24" style="246" customWidth="1"/>
    <col min="12828" max="12828" width="22" style="246" customWidth="1"/>
    <col min="12829" max="12829" width="20" style="246" customWidth="1"/>
    <col min="12830" max="13061" width="9" style="246"/>
    <col min="13062" max="13062" width="9" style="246" customWidth="1"/>
    <col min="13063" max="13063" width="23.125" style="246" customWidth="1"/>
    <col min="13064" max="13064" width="14" style="246" customWidth="1"/>
    <col min="13065" max="13065" width="11.75" style="246" customWidth="1"/>
    <col min="13066" max="13066" width="14.125" style="246" customWidth="1"/>
    <col min="13067" max="13067" width="16.125" style="246" customWidth="1"/>
    <col min="13068" max="13068" width="17.375" style="246" customWidth="1"/>
    <col min="13069" max="13069" width="24.375" style="246" customWidth="1"/>
    <col min="13070" max="13070" width="11.75" style="246" customWidth="1"/>
    <col min="13071" max="13071" width="13.625" style="246" customWidth="1"/>
    <col min="13072" max="13072" width="15.125" style="246" customWidth="1"/>
    <col min="13073" max="13074" width="14.375" style="246" customWidth="1"/>
    <col min="13075" max="13075" width="0" style="246" hidden="1" customWidth="1"/>
    <col min="13076" max="13076" width="13" style="246" customWidth="1"/>
    <col min="13077" max="13077" width="16.75" style="246" customWidth="1"/>
    <col min="13078" max="13079" width="22.25" style="246" customWidth="1"/>
    <col min="13080" max="13080" width="36.625" style="246" customWidth="1"/>
    <col min="13081" max="13081" width="26.25" style="246" customWidth="1"/>
    <col min="13082" max="13082" width="19.875" style="246" customWidth="1"/>
    <col min="13083" max="13083" width="24" style="246" customWidth="1"/>
    <col min="13084" max="13084" width="22" style="246" customWidth="1"/>
    <col min="13085" max="13085" width="20" style="246" customWidth="1"/>
    <col min="13086" max="13317" width="9" style="246"/>
    <col min="13318" max="13318" width="9" style="246" customWidth="1"/>
    <col min="13319" max="13319" width="23.125" style="246" customWidth="1"/>
    <col min="13320" max="13320" width="14" style="246" customWidth="1"/>
    <col min="13321" max="13321" width="11.75" style="246" customWidth="1"/>
    <col min="13322" max="13322" width="14.125" style="246" customWidth="1"/>
    <col min="13323" max="13323" width="16.125" style="246" customWidth="1"/>
    <col min="13324" max="13324" width="17.375" style="246" customWidth="1"/>
    <col min="13325" max="13325" width="24.375" style="246" customWidth="1"/>
    <col min="13326" max="13326" width="11.75" style="246" customWidth="1"/>
    <col min="13327" max="13327" width="13.625" style="246" customWidth="1"/>
    <col min="13328" max="13328" width="15.125" style="246" customWidth="1"/>
    <col min="13329" max="13330" width="14.375" style="246" customWidth="1"/>
    <col min="13331" max="13331" width="0" style="246" hidden="1" customWidth="1"/>
    <col min="13332" max="13332" width="13" style="246" customWidth="1"/>
    <col min="13333" max="13333" width="16.75" style="246" customWidth="1"/>
    <col min="13334" max="13335" width="22.25" style="246" customWidth="1"/>
    <col min="13336" max="13336" width="36.625" style="246" customWidth="1"/>
    <col min="13337" max="13337" width="26.25" style="246" customWidth="1"/>
    <col min="13338" max="13338" width="19.875" style="246" customWidth="1"/>
    <col min="13339" max="13339" width="24" style="246" customWidth="1"/>
    <col min="13340" max="13340" width="22" style="246" customWidth="1"/>
    <col min="13341" max="13341" width="20" style="246" customWidth="1"/>
    <col min="13342" max="13573" width="9" style="246"/>
    <col min="13574" max="13574" width="9" style="246" customWidth="1"/>
    <col min="13575" max="13575" width="23.125" style="246" customWidth="1"/>
    <col min="13576" max="13576" width="14" style="246" customWidth="1"/>
    <col min="13577" max="13577" width="11.75" style="246" customWidth="1"/>
    <col min="13578" max="13578" width="14.125" style="246" customWidth="1"/>
    <col min="13579" max="13579" width="16.125" style="246" customWidth="1"/>
    <col min="13580" max="13580" width="17.375" style="246" customWidth="1"/>
    <col min="13581" max="13581" width="24.375" style="246" customWidth="1"/>
    <col min="13582" max="13582" width="11.75" style="246" customWidth="1"/>
    <col min="13583" max="13583" width="13.625" style="246" customWidth="1"/>
    <col min="13584" max="13584" width="15.125" style="246" customWidth="1"/>
    <col min="13585" max="13586" width="14.375" style="246" customWidth="1"/>
    <col min="13587" max="13587" width="0" style="246" hidden="1" customWidth="1"/>
    <col min="13588" max="13588" width="13" style="246" customWidth="1"/>
    <col min="13589" max="13589" width="16.75" style="246" customWidth="1"/>
    <col min="13590" max="13591" width="22.25" style="246" customWidth="1"/>
    <col min="13592" max="13592" width="36.625" style="246" customWidth="1"/>
    <col min="13593" max="13593" width="26.25" style="246" customWidth="1"/>
    <col min="13594" max="13594" width="19.875" style="246" customWidth="1"/>
    <col min="13595" max="13595" width="24" style="246" customWidth="1"/>
    <col min="13596" max="13596" width="22" style="246" customWidth="1"/>
    <col min="13597" max="13597" width="20" style="246" customWidth="1"/>
    <col min="13598" max="13829" width="9" style="246"/>
    <col min="13830" max="13830" width="9" style="246" customWidth="1"/>
    <col min="13831" max="13831" width="23.125" style="246" customWidth="1"/>
    <col min="13832" max="13832" width="14" style="246" customWidth="1"/>
    <col min="13833" max="13833" width="11.75" style="246" customWidth="1"/>
    <col min="13834" max="13834" width="14.125" style="246" customWidth="1"/>
    <col min="13835" max="13835" width="16.125" style="246" customWidth="1"/>
    <col min="13836" max="13836" width="17.375" style="246" customWidth="1"/>
    <col min="13837" max="13837" width="24.375" style="246" customWidth="1"/>
    <col min="13838" max="13838" width="11.75" style="246" customWidth="1"/>
    <col min="13839" max="13839" width="13.625" style="246" customWidth="1"/>
    <col min="13840" max="13840" width="15.125" style="246" customWidth="1"/>
    <col min="13841" max="13842" width="14.375" style="246" customWidth="1"/>
    <col min="13843" max="13843" width="0" style="246" hidden="1" customWidth="1"/>
    <col min="13844" max="13844" width="13" style="246" customWidth="1"/>
    <col min="13845" max="13845" width="16.75" style="246" customWidth="1"/>
    <col min="13846" max="13847" width="22.25" style="246" customWidth="1"/>
    <col min="13848" max="13848" width="36.625" style="246" customWidth="1"/>
    <col min="13849" max="13849" width="26.25" style="246" customWidth="1"/>
    <col min="13850" max="13850" width="19.875" style="246" customWidth="1"/>
    <col min="13851" max="13851" width="24" style="246" customWidth="1"/>
    <col min="13852" max="13852" width="22" style="246" customWidth="1"/>
    <col min="13853" max="13853" width="20" style="246" customWidth="1"/>
    <col min="13854" max="14085" width="9" style="246"/>
    <col min="14086" max="14086" width="9" style="246" customWidth="1"/>
    <col min="14087" max="14087" width="23.125" style="246" customWidth="1"/>
    <col min="14088" max="14088" width="14" style="246" customWidth="1"/>
    <col min="14089" max="14089" width="11.75" style="246" customWidth="1"/>
    <col min="14090" max="14090" width="14.125" style="246" customWidth="1"/>
    <col min="14091" max="14091" width="16.125" style="246" customWidth="1"/>
    <col min="14092" max="14092" width="17.375" style="246" customWidth="1"/>
    <col min="14093" max="14093" width="24.375" style="246" customWidth="1"/>
    <col min="14094" max="14094" width="11.75" style="246" customWidth="1"/>
    <col min="14095" max="14095" width="13.625" style="246" customWidth="1"/>
    <col min="14096" max="14096" width="15.125" style="246" customWidth="1"/>
    <col min="14097" max="14098" width="14.375" style="246" customWidth="1"/>
    <col min="14099" max="14099" width="0" style="246" hidden="1" customWidth="1"/>
    <col min="14100" max="14100" width="13" style="246" customWidth="1"/>
    <col min="14101" max="14101" width="16.75" style="246" customWidth="1"/>
    <col min="14102" max="14103" width="22.25" style="246" customWidth="1"/>
    <col min="14104" max="14104" width="36.625" style="246" customWidth="1"/>
    <col min="14105" max="14105" width="26.25" style="246" customWidth="1"/>
    <col min="14106" max="14106" width="19.875" style="246" customWidth="1"/>
    <col min="14107" max="14107" width="24" style="246" customWidth="1"/>
    <col min="14108" max="14108" width="22" style="246" customWidth="1"/>
    <col min="14109" max="14109" width="20" style="246" customWidth="1"/>
    <col min="14110" max="14341" width="9" style="246"/>
    <col min="14342" max="14342" width="9" style="246" customWidth="1"/>
    <col min="14343" max="14343" width="23.125" style="246" customWidth="1"/>
    <col min="14344" max="14344" width="14" style="246" customWidth="1"/>
    <col min="14345" max="14345" width="11.75" style="246" customWidth="1"/>
    <col min="14346" max="14346" width="14.125" style="246" customWidth="1"/>
    <col min="14347" max="14347" width="16.125" style="246" customWidth="1"/>
    <col min="14348" max="14348" width="17.375" style="246" customWidth="1"/>
    <col min="14349" max="14349" width="24.375" style="246" customWidth="1"/>
    <col min="14350" max="14350" width="11.75" style="246" customWidth="1"/>
    <col min="14351" max="14351" width="13.625" style="246" customWidth="1"/>
    <col min="14352" max="14352" width="15.125" style="246" customWidth="1"/>
    <col min="14353" max="14354" width="14.375" style="246" customWidth="1"/>
    <col min="14355" max="14355" width="0" style="246" hidden="1" customWidth="1"/>
    <col min="14356" max="14356" width="13" style="246" customWidth="1"/>
    <col min="14357" max="14357" width="16.75" style="246" customWidth="1"/>
    <col min="14358" max="14359" width="22.25" style="246" customWidth="1"/>
    <col min="14360" max="14360" width="36.625" style="246" customWidth="1"/>
    <col min="14361" max="14361" width="26.25" style="246" customWidth="1"/>
    <col min="14362" max="14362" width="19.875" style="246" customWidth="1"/>
    <col min="14363" max="14363" width="24" style="246" customWidth="1"/>
    <col min="14364" max="14364" width="22" style="246" customWidth="1"/>
    <col min="14365" max="14365" width="20" style="246" customWidth="1"/>
    <col min="14366" max="14597" width="9" style="246"/>
    <col min="14598" max="14598" width="9" style="246" customWidth="1"/>
    <col min="14599" max="14599" width="23.125" style="246" customWidth="1"/>
    <col min="14600" max="14600" width="14" style="246" customWidth="1"/>
    <col min="14601" max="14601" width="11.75" style="246" customWidth="1"/>
    <col min="14602" max="14602" width="14.125" style="246" customWidth="1"/>
    <col min="14603" max="14603" width="16.125" style="246" customWidth="1"/>
    <col min="14604" max="14604" width="17.375" style="246" customWidth="1"/>
    <col min="14605" max="14605" width="24.375" style="246" customWidth="1"/>
    <col min="14606" max="14606" width="11.75" style="246" customWidth="1"/>
    <col min="14607" max="14607" width="13.625" style="246" customWidth="1"/>
    <col min="14608" max="14608" width="15.125" style="246" customWidth="1"/>
    <col min="14609" max="14610" width="14.375" style="246" customWidth="1"/>
    <col min="14611" max="14611" width="0" style="246" hidden="1" customWidth="1"/>
    <col min="14612" max="14612" width="13" style="246" customWidth="1"/>
    <col min="14613" max="14613" width="16.75" style="246" customWidth="1"/>
    <col min="14614" max="14615" width="22.25" style="246" customWidth="1"/>
    <col min="14616" max="14616" width="36.625" style="246" customWidth="1"/>
    <col min="14617" max="14617" width="26.25" style="246" customWidth="1"/>
    <col min="14618" max="14618" width="19.875" style="246" customWidth="1"/>
    <col min="14619" max="14619" width="24" style="246" customWidth="1"/>
    <col min="14620" max="14620" width="22" style="246" customWidth="1"/>
    <col min="14621" max="14621" width="20" style="246" customWidth="1"/>
    <col min="14622" max="14853" width="9" style="246"/>
    <col min="14854" max="14854" width="9" style="246" customWidth="1"/>
    <col min="14855" max="14855" width="23.125" style="246" customWidth="1"/>
    <col min="14856" max="14856" width="14" style="246" customWidth="1"/>
    <col min="14857" max="14857" width="11.75" style="246" customWidth="1"/>
    <col min="14858" max="14858" width="14.125" style="246" customWidth="1"/>
    <col min="14859" max="14859" width="16.125" style="246" customWidth="1"/>
    <col min="14860" max="14860" width="17.375" style="246" customWidth="1"/>
    <col min="14861" max="14861" width="24.375" style="246" customWidth="1"/>
    <col min="14862" max="14862" width="11.75" style="246" customWidth="1"/>
    <col min="14863" max="14863" width="13.625" style="246" customWidth="1"/>
    <col min="14864" max="14864" width="15.125" style="246" customWidth="1"/>
    <col min="14865" max="14866" width="14.375" style="246" customWidth="1"/>
    <col min="14867" max="14867" width="0" style="246" hidden="1" customWidth="1"/>
    <col min="14868" max="14868" width="13" style="246" customWidth="1"/>
    <col min="14869" max="14869" width="16.75" style="246" customWidth="1"/>
    <col min="14870" max="14871" width="22.25" style="246" customWidth="1"/>
    <col min="14872" max="14872" width="36.625" style="246" customWidth="1"/>
    <col min="14873" max="14873" width="26.25" style="246" customWidth="1"/>
    <col min="14874" max="14874" width="19.875" style="246" customWidth="1"/>
    <col min="14875" max="14875" width="24" style="246" customWidth="1"/>
    <col min="14876" max="14876" width="22" style="246" customWidth="1"/>
    <col min="14877" max="14877" width="20" style="246" customWidth="1"/>
    <col min="14878" max="15109" width="9" style="246"/>
    <col min="15110" max="15110" width="9" style="246" customWidth="1"/>
    <col min="15111" max="15111" width="23.125" style="246" customWidth="1"/>
    <col min="15112" max="15112" width="14" style="246" customWidth="1"/>
    <col min="15113" max="15113" width="11.75" style="246" customWidth="1"/>
    <col min="15114" max="15114" width="14.125" style="246" customWidth="1"/>
    <col min="15115" max="15115" width="16.125" style="246" customWidth="1"/>
    <col min="15116" max="15116" width="17.375" style="246" customWidth="1"/>
    <col min="15117" max="15117" width="24.375" style="246" customWidth="1"/>
    <col min="15118" max="15118" width="11.75" style="246" customWidth="1"/>
    <col min="15119" max="15119" width="13.625" style="246" customWidth="1"/>
    <col min="15120" max="15120" width="15.125" style="246" customWidth="1"/>
    <col min="15121" max="15122" width="14.375" style="246" customWidth="1"/>
    <col min="15123" max="15123" width="0" style="246" hidden="1" customWidth="1"/>
    <col min="15124" max="15124" width="13" style="246" customWidth="1"/>
    <col min="15125" max="15125" width="16.75" style="246" customWidth="1"/>
    <col min="15126" max="15127" width="22.25" style="246" customWidth="1"/>
    <col min="15128" max="15128" width="36.625" style="246" customWidth="1"/>
    <col min="15129" max="15129" width="26.25" style="246" customWidth="1"/>
    <col min="15130" max="15130" width="19.875" style="246" customWidth="1"/>
    <col min="15131" max="15131" width="24" style="246" customWidth="1"/>
    <col min="15132" max="15132" width="22" style="246" customWidth="1"/>
    <col min="15133" max="15133" width="20" style="246" customWidth="1"/>
    <col min="15134" max="15365" width="9" style="246"/>
    <col min="15366" max="15366" width="9" style="246" customWidth="1"/>
    <col min="15367" max="15367" width="23.125" style="246" customWidth="1"/>
    <col min="15368" max="15368" width="14" style="246" customWidth="1"/>
    <col min="15369" max="15369" width="11.75" style="246" customWidth="1"/>
    <col min="15370" max="15370" width="14.125" style="246" customWidth="1"/>
    <col min="15371" max="15371" width="16.125" style="246" customWidth="1"/>
    <col min="15372" max="15372" width="17.375" style="246" customWidth="1"/>
    <col min="15373" max="15373" width="24.375" style="246" customWidth="1"/>
    <col min="15374" max="15374" width="11.75" style="246" customWidth="1"/>
    <col min="15375" max="15375" width="13.625" style="246" customWidth="1"/>
    <col min="15376" max="15376" width="15.125" style="246" customWidth="1"/>
    <col min="15377" max="15378" width="14.375" style="246" customWidth="1"/>
    <col min="15379" max="15379" width="0" style="246" hidden="1" customWidth="1"/>
    <col min="15380" max="15380" width="13" style="246" customWidth="1"/>
    <col min="15381" max="15381" width="16.75" style="246" customWidth="1"/>
    <col min="15382" max="15383" width="22.25" style="246" customWidth="1"/>
    <col min="15384" max="15384" width="36.625" style="246" customWidth="1"/>
    <col min="15385" max="15385" width="26.25" style="246" customWidth="1"/>
    <col min="15386" max="15386" width="19.875" style="246" customWidth="1"/>
    <col min="15387" max="15387" width="24" style="246" customWidth="1"/>
    <col min="15388" max="15388" width="22" style="246" customWidth="1"/>
    <col min="15389" max="15389" width="20" style="246" customWidth="1"/>
    <col min="15390" max="15621" width="9" style="246"/>
    <col min="15622" max="15622" width="9" style="246" customWidth="1"/>
    <col min="15623" max="15623" width="23.125" style="246" customWidth="1"/>
    <col min="15624" max="15624" width="14" style="246" customWidth="1"/>
    <col min="15625" max="15625" width="11.75" style="246" customWidth="1"/>
    <col min="15626" max="15626" width="14.125" style="246" customWidth="1"/>
    <col min="15627" max="15627" width="16.125" style="246" customWidth="1"/>
    <col min="15628" max="15628" width="17.375" style="246" customWidth="1"/>
    <col min="15629" max="15629" width="24.375" style="246" customWidth="1"/>
    <col min="15630" max="15630" width="11.75" style="246" customWidth="1"/>
    <col min="15631" max="15631" width="13.625" style="246" customWidth="1"/>
    <col min="15632" max="15632" width="15.125" style="246" customWidth="1"/>
    <col min="15633" max="15634" width="14.375" style="246" customWidth="1"/>
    <col min="15635" max="15635" width="0" style="246" hidden="1" customWidth="1"/>
    <col min="15636" max="15636" width="13" style="246" customWidth="1"/>
    <col min="15637" max="15637" width="16.75" style="246" customWidth="1"/>
    <col min="15638" max="15639" width="22.25" style="246" customWidth="1"/>
    <col min="15640" max="15640" width="36.625" style="246" customWidth="1"/>
    <col min="15641" max="15641" width="26.25" style="246" customWidth="1"/>
    <col min="15642" max="15642" width="19.875" style="246" customWidth="1"/>
    <col min="15643" max="15643" width="24" style="246" customWidth="1"/>
    <col min="15644" max="15644" width="22" style="246" customWidth="1"/>
    <col min="15645" max="15645" width="20" style="246" customWidth="1"/>
    <col min="15646" max="15877" width="9" style="246"/>
    <col min="15878" max="15878" width="9" style="246" customWidth="1"/>
    <col min="15879" max="15879" width="23.125" style="246" customWidth="1"/>
    <col min="15880" max="15880" width="14" style="246" customWidth="1"/>
    <col min="15881" max="15881" width="11.75" style="246" customWidth="1"/>
    <col min="15882" max="15882" width="14.125" style="246" customWidth="1"/>
    <col min="15883" max="15883" width="16.125" style="246" customWidth="1"/>
    <col min="15884" max="15884" width="17.375" style="246" customWidth="1"/>
    <col min="15885" max="15885" width="24.375" style="246" customWidth="1"/>
    <col min="15886" max="15886" width="11.75" style="246" customWidth="1"/>
    <col min="15887" max="15887" width="13.625" style="246" customWidth="1"/>
    <col min="15888" max="15888" width="15.125" style="246" customWidth="1"/>
    <col min="15889" max="15890" width="14.375" style="246" customWidth="1"/>
    <col min="15891" max="15891" width="0" style="246" hidden="1" customWidth="1"/>
    <col min="15892" max="15892" width="13" style="246" customWidth="1"/>
    <col min="15893" max="15893" width="16.75" style="246" customWidth="1"/>
    <col min="15894" max="15895" width="22.25" style="246" customWidth="1"/>
    <col min="15896" max="15896" width="36.625" style="246" customWidth="1"/>
    <col min="15897" max="15897" width="26.25" style="246" customWidth="1"/>
    <col min="15898" max="15898" width="19.875" style="246" customWidth="1"/>
    <col min="15899" max="15899" width="24" style="246" customWidth="1"/>
    <col min="15900" max="15900" width="22" style="246" customWidth="1"/>
    <col min="15901" max="15901" width="20" style="246" customWidth="1"/>
    <col min="15902" max="16133" width="9" style="246"/>
    <col min="16134" max="16134" width="9" style="246" customWidth="1"/>
    <col min="16135" max="16135" width="23.125" style="246" customWidth="1"/>
    <col min="16136" max="16136" width="14" style="246" customWidth="1"/>
    <col min="16137" max="16137" width="11.75" style="246" customWidth="1"/>
    <col min="16138" max="16138" width="14.125" style="246" customWidth="1"/>
    <col min="16139" max="16139" width="16.125" style="246" customWidth="1"/>
    <col min="16140" max="16140" width="17.375" style="246" customWidth="1"/>
    <col min="16141" max="16141" width="24.375" style="246" customWidth="1"/>
    <col min="16142" max="16142" width="11.75" style="246" customWidth="1"/>
    <col min="16143" max="16143" width="13.625" style="246" customWidth="1"/>
    <col min="16144" max="16144" width="15.125" style="246" customWidth="1"/>
    <col min="16145" max="16146" width="14.375" style="246" customWidth="1"/>
    <col min="16147" max="16147" width="0" style="246" hidden="1" customWidth="1"/>
    <col min="16148" max="16148" width="13" style="246" customWidth="1"/>
    <col min="16149" max="16149" width="16.75" style="246" customWidth="1"/>
    <col min="16150" max="16151" width="22.25" style="246" customWidth="1"/>
    <col min="16152" max="16152" width="36.625" style="246" customWidth="1"/>
    <col min="16153" max="16153" width="26.25" style="246" customWidth="1"/>
    <col min="16154" max="16154" width="19.875" style="246" customWidth="1"/>
    <col min="16155" max="16155" width="24" style="246" customWidth="1"/>
    <col min="16156" max="16156" width="22" style="246" customWidth="1"/>
    <col min="16157" max="16157" width="20" style="246" customWidth="1"/>
    <col min="16158" max="16384" width="9" style="246"/>
  </cols>
  <sheetData>
    <row r="1" spans="1:24" ht="18.75" customHeight="1">
      <c r="A1" s="4056" t="s">
        <v>165</v>
      </c>
      <c r="B1" s="4056"/>
      <c r="C1" s="4056"/>
      <c r="D1" s="4056"/>
      <c r="E1" s="4056"/>
      <c r="F1" s="4056"/>
      <c r="G1" s="4056"/>
      <c r="H1" s="4056"/>
      <c r="I1" s="4056"/>
      <c r="J1" s="4056"/>
      <c r="K1" s="4056"/>
      <c r="L1" s="4056"/>
      <c r="M1" s="4056"/>
      <c r="N1" s="1044"/>
      <c r="O1" s="1044"/>
      <c r="P1" s="1044"/>
      <c r="Q1" s="1044"/>
      <c r="R1" s="1044"/>
      <c r="S1" s="1044"/>
      <c r="T1" s="1044"/>
      <c r="U1" s="1044"/>
    </row>
    <row r="2" spans="1:24" ht="18.75" customHeight="1">
      <c r="A2" s="3899" t="s">
        <v>171</v>
      </c>
      <c r="B2" s="3899"/>
      <c r="C2" s="3899"/>
      <c r="D2" s="3899"/>
      <c r="E2" s="3899"/>
      <c r="F2" s="3899"/>
      <c r="G2" s="3899"/>
      <c r="H2" s="3899"/>
      <c r="I2" s="3899"/>
      <c r="J2" s="3899"/>
      <c r="K2" s="3899"/>
      <c r="L2" s="3899"/>
      <c r="M2" s="3899"/>
      <c r="N2" s="815"/>
      <c r="O2" s="815"/>
      <c r="P2" s="815"/>
      <c r="Q2" s="815"/>
      <c r="R2" s="815"/>
      <c r="S2" s="815"/>
      <c r="T2" s="815"/>
      <c r="U2" s="815"/>
    </row>
    <row r="3" spans="1:24" ht="13.5" customHeight="1">
      <c r="A3" s="4183" t="s">
        <v>726</v>
      </c>
      <c r="B3" s="4183"/>
      <c r="C3" s="4183"/>
      <c r="D3" s="4183"/>
      <c r="E3" s="4183"/>
      <c r="F3" s="4183"/>
      <c r="G3" s="4183"/>
      <c r="H3" s="4183"/>
      <c r="I3" s="4183"/>
      <c r="J3" s="4183"/>
      <c r="K3" s="4183"/>
      <c r="L3" s="4183"/>
      <c r="M3" s="4183"/>
      <c r="N3" s="992"/>
    </row>
    <row r="4" spans="1:24" ht="18.75" customHeight="1">
      <c r="A4" s="4075" t="s">
        <v>602</v>
      </c>
      <c r="B4" s="4075"/>
      <c r="C4" s="4075"/>
      <c r="D4" s="4075"/>
      <c r="E4" s="4075"/>
      <c r="F4" s="1003"/>
      <c r="G4" s="1003"/>
      <c r="H4" s="1003"/>
      <c r="I4" s="1003"/>
      <c r="J4" s="1003"/>
      <c r="K4" s="1003"/>
      <c r="L4" s="1003"/>
      <c r="M4" s="1003"/>
      <c r="N4" s="987"/>
      <c r="O4" s="988"/>
      <c r="P4" s="988"/>
      <c r="Q4" s="988"/>
      <c r="R4" s="988"/>
    </row>
    <row r="5" spans="1:24" ht="18.75" customHeight="1">
      <c r="A5" s="3899" t="s">
        <v>541</v>
      </c>
      <c r="B5" s="3899"/>
      <c r="C5" s="3899"/>
      <c r="D5" s="3899"/>
      <c r="E5" s="3899"/>
      <c r="F5" s="815"/>
      <c r="G5" s="815"/>
      <c r="H5" s="815"/>
      <c r="I5" s="815"/>
      <c r="J5" s="815"/>
      <c r="K5" s="815"/>
      <c r="L5" s="815"/>
      <c r="M5" s="815"/>
      <c r="N5" s="990"/>
      <c r="O5" s="699"/>
      <c r="P5" s="699"/>
      <c r="Q5" s="699"/>
      <c r="R5" s="699"/>
    </row>
    <row r="6" spans="1:24" ht="18.75" customHeight="1">
      <c r="F6" s="991"/>
      <c r="G6" s="991"/>
      <c r="H6" s="991"/>
      <c r="I6" s="991"/>
      <c r="J6" s="991"/>
      <c r="K6" s="991"/>
      <c r="L6" s="991"/>
      <c r="M6" s="991"/>
      <c r="N6" s="992"/>
    </row>
    <row r="7" spans="1:24" ht="9" customHeight="1">
      <c r="F7" s="991"/>
      <c r="G7" s="991"/>
      <c r="H7" s="991"/>
      <c r="I7" s="991"/>
      <c r="J7" s="991"/>
      <c r="K7" s="991"/>
      <c r="L7" s="991"/>
      <c r="M7" s="991"/>
      <c r="N7" s="992"/>
    </row>
    <row r="8" spans="1:24" ht="22.5" customHeight="1">
      <c r="A8" s="4184" t="s">
        <v>1821</v>
      </c>
      <c r="B8" s="4184"/>
      <c r="C8" s="4184"/>
      <c r="D8" s="4184"/>
      <c r="E8" s="4184"/>
      <c r="F8" s="4184"/>
      <c r="G8" s="4184"/>
      <c r="H8" s="4184"/>
      <c r="I8" s="4184"/>
      <c r="J8" s="4184"/>
      <c r="K8" s="4184"/>
      <c r="L8" s="4184"/>
      <c r="M8" s="4184"/>
      <c r="N8" s="1045"/>
      <c r="O8" s="1045"/>
      <c r="P8" s="1045"/>
      <c r="Q8" s="1045"/>
      <c r="R8" s="1045"/>
      <c r="S8" s="1045"/>
      <c r="T8" s="1045"/>
      <c r="U8" s="1045"/>
    </row>
    <row r="9" spans="1:24" s="1023" customFormat="1" ht="17.25" customHeight="1">
      <c r="A9" s="1046"/>
      <c r="B9" s="1047"/>
      <c r="C9" s="1047"/>
      <c r="D9" s="1048"/>
      <c r="E9" s="1048"/>
      <c r="F9" s="1049"/>
      <c r="G9" s="1049"/>
      <c r="H9" s="1049"/>
      <c r="I9" s="1049"/>
      <c r="J9" s="1049"/>
      <c r="K9" s="1049"/>
      <c r="L9" s="4186" t="s">
        <v>1264</v>
      </c>
      <c r="M9" s="4186"/>
      <c r="N9" s="1055"/>
      <c r="O9" s="1055"/>
      <c r="P9" s="1056"/>
      <c r="Q9" s="1057"/>
      <c r="R9" s="1058"/>
      <c r="S9" s="1056"/>
      <c r="T9" s="1059"/>
      <c r="U9" s="1054"/>
      <c r="W9" s="1060"/>
      <c r="X9" s="1061"/>
    </row>
    <row r="10" spans="1:24" s="1026" customFormat="1" ht="85.5" customHeight="1">
      <c r="A10" s="700" t="s">
        <v>1</v>
      </c>
      <c r="B10" s="700" t="s">
        <v>20</v>
      </c>
      <c r="C10" s="700" t="s">
        <v>5</v>
      </c>
      <c r="D10" s="700" t="s">
        <v>773</v>
      </c>
      <c r="E10" s="701" t="s">
        <v>794</v>
      </c>
      <c r="F10" s="1051" t="s">
        <v>795</v>
      </c>
      <c r="G10" s="1052" t="s">
        <v>937</v>
      </c>
      <c r="H10" s="1052" t="s">
        <v>782</v>
      </c>
      <c r="I10" s="1052" t="s">
        <v>931</v>
      </c>
      <c r="J10" s="1052" t="s">
        <v>23</v>
      </c>
      <c r="K10" s="1052" t="s">
        <v>1263</v>
      </c>
      <c r="L10" s="1052" t="s">
        <v>932</v>
      </c>
      <c r="M10" s="1053" t="s">
        <v>345</v>
      </c>
      <c r="N10" s="1062"/>
      <c r="O10" s="1062"/>
      <c r="P10" s="1062"/>
      <c r="Q10" s="1062"/>
      <c r="R10" s="1062"/>
      <c r="S10" s="1062"/>
      <c r="T10" s="1062"/>
      <c r="U10" s="1062"/>
      <c r="V10" s="1063"/>
    </row>
    <row r="11" spans="1:24" s="1026" customFormat="1" ht="46.5" customHeight="1">
      <c r="A11" s="1520"/>
      <c r="B11" s="1520"/>
      <c r="C11" s="1520"/>
      <c r="D11" s="1520"/>
      <c r="E11" s="2033" t="s">
        <v>606</v>
      </c>
      <c r="F11" s="2034" t="s">
        <v>607</v>
      </c>
      <c r="G11" s="2035" t="s">
        <v>940</v>
      </c>
      <c r="H11" s="2036" t="s">
        <v>609</v>
      </c>
      <c r="I11" s="2036" t="s">
        <v>939</v>
      </c>
      <c r="J11" s="2036" t="s">
        <v>611</v>
      </c>
      <c r="K11" s="2036" t="s">
        <v>635</v>
      </c>
      <c r="L11" s="2036" t="s">
        <v>635</v>
      </c>
      <c r="M11" s="1053"/>
      <c r="N11" s="1062"/>
      <c r="O11" s="1062"/>
      <c r="P11" s="1062"/>
      <c r="Q11" s="1062"/>
      <c r="R11" s="1062"/>
      <c r="S11" s="1062"/>
      <c r="T11" s="1062"/>
      <c r="U11" s="1062"/>
      <c r="V11" s="1063"/>
    </row>
    <row r="12" spans="1:24" ht="23.25" customHeight="1">
      <c r="A12" s="3357">
        <v>1</v>
      </c>
      <c r="B12" s="3372" t="s">
        <v>1317</v>
      </c>
      <c r="C12" s="3373" t="s">
        <v>162</v>
      </c>
      <c r="D12" s="3357" t="s">
        <v>272</v>
      </c>
      <c r="E12" s="2037">
        <v>40</v>
      </c>
      <c r="F12" s="3095">
        <f>Mủ!AJ12/1000</f>
        <v>35.751783999999994</v>
      </c>
      <c r="G12" s="3111">
        <f>(F12/E12)*100</f>
        <v>89.379459999999995</v>
      </c>
      <c r="H12" s="2466">
        <v>250</v>
      </c>
      <c r="I12" s="3111">
        <f>H12*G12/100</f>
        <v>223.44864999999999</v>
      </c>
      <c r="J12" s="2466"/>
      <c r="K12" s="2466"/>
      <c r="L12" s="3111">
        <f>+H12+I12+J12</f>
        <v>473.44864999999999</v>
      </c>
      <c r="M12" s="1540"/>
      <c r="N12" s="992"/>
    </row>
    <row r="13" spans="1:24" ht="23.25" customHeight="1">
      <c r="A13" s="3374">
        <v>2</v>
      </c>
      <c r="B13" s="3375" t="s">
        <v>96</v>
      </c>
      <c r="C13" s="3376" t="s">
        <v>162</v>
      </c>
      <c r="D13" s="3374" t="s">
        <v>790</v>
      </c>
      <c r="E13" s="2038">
        <v>19</v>
      </c>
      <c r="F13" s="3094">
        <f>Mủ!AJ65/1000</f>
        <v>11.489906</v>
      </c>
      <c r="G13" s="3112">
        <f>(F13/E13)*100</f>
        <v>60.473189473684208</v>
      </c>
      <c r="H13" s="2467">
        <v>330</v>
      </c>
      <c r="I13" s="3112">
        <f>250*G13/100</f>
        <v>151.18297368421051</v>
      </c>
      <c r="J13" s="2467">
        <v>50</v>
      </c>
      <c r="K13" s="2467"/>
      <c r="L13" s="3112">
        <f>+H13+I13+J13+K13</f>
        <v>531.18297368421054</v>
      </c>
      <c r="M13" s="1541"/>
      <c r="N13" s="992"/>
    </row>
    <row r="14" spans="1:24" s="815" customFormat="1" ht="18" customHeight="1">
      <c r="A14" s="1064"/>
      <c r="B14" s="1064" t="s">
        <v>21</v>
      </c>
      <c r="C14" s="1064"/>
      <c r="D14" s="1064"/>
      <c r="E14" s="2744">
        <f>SUM(E12:E13)</f>
        <v>59</v>
      </c>
      <c r="F14" s="2039">
        <f>SUM(F12:F13)</f>
        <v>47.241689999999991</v>
      </c>
      <c r="G14" s="3114">
        <f>(F14/E14)*100</f>
        <v>80.070661016949146</v>
      </c>
      <c r="H14" s="2468">
        <f>SUM(H12:H13)</f>
        <v>580</v>
      </c>
      <c r="I14" s="3113">
        <f>SUM(I12:I13)</f>
        <v>374.63162368421047</v>
      </c>
      <c r="J14" s="2468">
        <f>SUM(J12:J13)</f>
        <v>50</v>
      </c>
      <c r="K14" s="2468"/>
      <c r="L14" s="3113">
        <f>SUM(L12:L13)</f>
        <v>1004.6316236842106</v>
      </c>
      <c r="M14" s="1065"/>
      <c r="N14" s="1066"/>
      <c r="P14" s="1067"/>
      <c r="T14" s="825"/>
    </row>
    <row r="15" spans="1:24" s="697" customFormat="1" ht="18" customHeight="1">
      <c r="E15" s="899"/>
      <c r="F15" s="1050"/>
      <c r="G15" s="1050"/>
      <c r="H15" s="1050"/>
      <c r="I15" s="1050"/>
      <c r="J15" s="1050"/>
      <c r="K15" s="1050"/>
      <c r="L15" s="1050"/>
      <c r="M15" s="1050"/>
      <c r="N15" s="1068"/>
      <c r="P15" s="1069"/>
      <c r="T15" s="831"/>
    </row>
    <row r="16" spans="1:24" s="697" customFormat="1" ht="18" customHeight="1">
      <c r="F16" s="1050"/>
      <c r="G16" s="1050"/>
      <c r="H16" s="1050"/>
      <c r="J16" s="2441"/>
      <c r="K16" s="2441"/>
      <c r="L16" s="2441" t="s">
        <v>1773</v>
      </c>
      <c r="M16" s="2441"/>
      <c r="N16" s="1068"/>
      <c r="T16" s="842"/>
      <c r="U16" s="1034"/>
    </row>
    <row r="17" spans="1:26" s="1872" customFormat="1" ht="18" customHeight="1">
      <c r="A17" s="4185" t="s">
        <v>46</v>
      </c>
      <c r="B17" s="4185"/>
      <c r="D17" s="4185" t="s">
        <v>938</v>
      </c>
      <c r="E17" s="4185"/>
      <c r="G17" s="1876" t="s">
        <v>935</v>
      </c>
      <c r="I17" s="4185" t="s">
        <v>936</v>
      </c>
      <c r="J17" s="4185"/>
      <c r="K17" s="2465"/>
      <c r="L17" s="3750" t="s">
        <v>1107</v>
      </c>
      <c r="M17" s="3750"/>
      <c r="N17" s="1873"/>
      <c r="P17" s="1874"/>
      <c r="T17" s="1875"/>
    </row>
    <row r="18" spans="1:26" s="697" customFormat="1" ht="18" customHeight="1">
      <c r="F18" s="1050"/>
      <c r="G18" s="1050"/>
      <c r="H18" s="1050"/>
      <c r="I18" s="1050"/>
      <c r="J18" s="1050"/>
      <c r="K18" s="1050"/>
      <c r="L18" s="1050"/>
      <c r="M18" s="1050"/>
      <c r="N18" s="1068"/>
      <c r="T18" s="831"/>
    </row>
    <row r="19" spans="1:26" s="697" customFormat="1" ht="18" customHeight="1">
      <c r="F19" s="1050"/>
      <c r="G19" s="1050"/>
      <c r="H19" s="1050"/>
      <c r="I19" s="1050"/>
      <c r="J19" s="1050"/>
      <c r="K19" s="1050"/>
      <c r="L19" s="1050"/>
      <c r="M19" s="1050"/>
      <c r="N19" s="1068"/>
      <c r="T19" s="831"/>
      <c r="U19" s="1034"/>
    </row>
    <row r="20" spans="1:26" s="697" customFormat="1" ht="18" customHeight="1">
      <c r="F20" s="1050"/>
      <c r="G20" s="1050"/>
      <c r="H20" s="1050"/>
      <c r="I20" s="1050"/>
      <c r="J20" s="1050"/>
      <c r="K20" s="1050"/>
      <c r="L20" s="1050"/>
      <c r="M20" s="1050"/>
      <c r="N20" s="1068"/>
      <c r="O20" s="899"/>
      <c r="P20" s="899"/>
      <c r="Q20" s="899"/>
      <c r="R20" s="899"/>
      <c r="T20" s="831"/>
    </row>
    <row r="21" spans="1:26" s="697" customFormat="1" ht="18" customHeight="1">
      <c r="F21" s="1050"/>
      <c r="G21" s="1050"/>
      <c r="H21" s="1050"/>
      <c r="I21" s="1050"/>
      <c r="J21" s="1050"/>
      <c r="K21" s="1050"/>
      <c r="L21" s="1050"/>
      <c r="M21" s="1050"/>
      <c r="N21" s="1068"/>
      <c r="T21" s="842"/>
      <c r="W21" s="246"/>
      <c r="X21" s="999"/>
      <c r="Y21" s="999"/>
      <c r="Z21" s="999"/>
    </row>
    <row r="22" spans="1:26" s="697" customFormat="1" ht="18" customHeight="1">
      <c r="F22" s="1050"/>
      <c r="G22" s="1050"/>
      <c r="H22" s="1050"/>
      <c r="I22" s="1050"/>
      <c r="J22" s="1050"/>
      <c r="K22" s="1050"/>
      <c r="L22" s="1050"/>
      <c r="M22" s="1050"/>
      <c r="N22" s="1068"/>
      <c r="T22" s="831"/>
      <c r="W22" s="246"/>
      <c r="X22" s="999"/>
      <c r="Y22" s="999"/>
      <c r="Z22" s="999"/>
    </row>
    <row r="23" spans="1:26" s="697" customFormat="1" ht="18" customHeight="1">
      <c r="F23" s="1050"/>
      <c r="G23" s="1050"/>
      <c r="H23" s="1050"/>
      <c r="I23" s="1050"/>
      <c r="J23" s="1050"/>
      <c r="K23" s="1050"/>
      <c r="L23" s="1050"/>
      <c r="M23" s="2053"/>
      <c r="N23" s="1068"/>
      <c r="T23" s="815"/>
      <c r="U23" s="815"/>
      <c r="W23" s="1023"/>
      <c r="X23" s="1029"/>
      <c r="Y23" s="1029"/>
      <c r="Z23" s="1029"/>
    </row>
    <row r="24" spans="1:26" s="697" customFormat="1" ht="38.25" customHeight="1">
      <c r="F24" s="1050"/>
      <c r="G24" s="1050"/>
      <c r="H24" s="1050"/>
      <c r="I24" s="1050"/>
      <c r="J24" s="1050"/>
      <c r="K24" s="1050"/>
      <c r="L24" s="1050"/>
      <c r="M24" s="1050"/>
      <c r="N24" s="1068"/>
      <c r="T24" s="831"/>
      <c r="W24" s="988"/>
      <c r="X24" s="1004"/>
      <c r="Y24" s="1004"/>
      <c r="Z24" s="993"/>
    </row>
    <row r="25" spans="1:26" s="697" customFormat="1" ht="18" customHeight="1">
      <c r="F25" s="1050"/>
      <c r="G25" s="1050"/>
      <c r="H25" s="1050"/>
      <c r="I25" s="1050"/>
      <c r="J25" s="1050"/>
      <c r="K25" s="1050"/>
      <c r="L25" s="1050"/>
      <c r="M25" s="1050"/>
      <c r="N25" s="1068"/>
      <c r="T25" s="831"/>
      <c r="W25" s="988"/>
      <c r="X25" s="988"/>
      <c r="Y25" s="988"/>
      <c r="Z25" s="1037"/>
    </row>
    <row r="26" spans="1:26" s="697" customFormat="1" ht="18" customHeight="1">
      <c r="F26" s="1050"/>
      <c r="G26" s="1050"/>
      <c r="H26" s="1050"/>
      <c r="I26" s="1050"/>
      <c r="J26" s="1050"/>
      <c r="K26" s="1050"/>
      <c r="L26" s="1050"/>
      <c r="M26" s="1050"/>
      <c r="N26" s="1068"/>
      <c r="T26" s="831"/>
      <c r="W26" s="988"/>
      <c r="X26" s="988"/>
      <c r="Y26" s="988"/>
      <c r="Z26" s="1037"/>
    </row>
    <row r="27" spans="1:26" s="697" customFormat="1" ht="18" customHeight="1">
      <c r="F27" s="1050"/>
      <c r="G27" s="1050"/>
      <c r="H27" s="1050"/>
      <c r="I27" s="1050"/>
      <c r="J27" s="1050"/>
      <c r="K27" s="1050"/>
      <c r="L27" s="1050"/>
      <c r="M27" s="1050"/>
      <c r="N27" s="1068"/>
      <c r="T27" s="831"/>
      <c r="W27" s="988"/>
      <c r="X27" s="988"/>
      <c r="Y27" s="988"/>
      <c r="Z27" s="1037"/>
    </row>
    <row r="28" spans="1:26" s="697" customFormat="1" ht="18" customHeight="1">
      <c r="F28" s="1050"/>
      <c r="G28" s="1050"/>
      <c r="H28" s="1050"/>
      <c r="I28" s="1050"/>
      <c r="J28" s="1050"/>
      <c r="K28" s="1050"/>
      <c r="L28" s="1050"/>
      <c r="M28" s="1050"/>
      <c r="N28" s="1068"/>
      <c r="T28" s="831"/>
      <c r="W28" s="988"/>
      <c r="X28" s="988"/>
      <c r="Y28" s="988"/>
      <c r="Z28" s="1037"/>
    </row>
    <row r="29" spans="1:26" s="697" customFormat="1" ht="41.25" customHeight="1">
      <c r="F29" s="1050"/>
      <c r="G29" s="1050"/>
      <c r="H29" s="1050"/>
      <c r="I29" s="1050"/>
      <c r="J29" s="1050"/>
      <c r="K29" s="1050"/>
      <c r="L29" s="1050"/>
      <c r="M29" s="1050"/>
      <c r="N29" s="1068"/>
      <c r="T29" s="831"/>
      <c r="W29" s="1038"/>
      <c r="X29" s="1039"/>
      <c r="Y29" s="1039"/>
      <c r="Z29" s="1039"/>
    </row>
    <row r="30" spans="1:26" s="697" customFormat="1" ht="51" customHeight="1">
      <c r="F30" s="1050"/>
      <c r="G30" s="1050"/>
      <c r="H30" s="1050"/>
      <c r="I30" s="1050"/>
      <c r="J30" s="1050"/>
      <c r="K30" s="1050"/>
      <c r="L30" s="1050"/>
      <c r="M30" s="1050"/>
      <c r="N30" s="1068"/>
      <c r="T30" s="831"/>
      <c r="W30" s="1025"/>
      <c r="X30" s="1040"/>
      <c r="Y30" s="1040"/>
      <c r="Z30" s="1040"/>
    </row>
    <row r="31" spans="1:26" s="697" customFormat="1" ht="18" customHeight="1">
      <c r="F31" s="1050"/>
      <c r="G31" s="1050"/>
      <c r="H31" s="1050"/>
      <c r="I31" s="1050"/>
      <c r="J31" s="1050"/>
      <c r="K31" s="1050"/>
      <c r="L31" s="1050"/>
      <c r="M31" s="1050"/>
      <c r="N31" s="1068"/>
      <c r="T31" s="831"/>
      <c r="W31" s="988"/>
      <c r="Z31" s="1041"/>
    </row>
    <row r="32" spans="1:26" s="697" customFormat="1" ht="18" customHeight="1">
      <c r="F32" s="1050"/>
      <c r="G32" s="1050"/>
      <c r="H32" s="1050"/>
      <c r="I32" s="1050"/>
      <c r="J32" s="1050"/>
      <c r="K32" s="1050"/>
      <c r="L32" s="1050"/>
      <c r="M32" s="1050"/>
      <c r="N32" s="1068"/>
      <c r="T32" s="831"/>
      <c r="W32" s="988"/>
      <c r="Z32" s="1041"/>
    </row>
    <row r="33" spans="6:26" s="697" customFormat="1" ht="18" customHeight="1">
      <c r="F33" s="1050"/>
      <c r="G33" s="1050"/>
      <c r="H33" s="1050"/>
      <c r="I33" s="1050"/>
      <c r="J33" s="1050"/>
      <c r="K33" s="1050"/>
      <c r="L33" s="1050"/>
      <c r="M33" s="1050"/>
      <c r="N33" s="1068"/>
      <c r="T33" s="831"/>
      <c r="W33" s="988"/>
      <c r="Z33" s="1041"/>
    </row>
    <row r="34" spans="6:26" s="697" customFormat="1" ht="18" customHeight="1">
      <c r="F34" s="1050"/>
      <c r="G34" s="1050"/>
      <c r="H34" s="1050"/>
      <c r="I34" s="1050"/>
      <c r="J34" s="1050"/>
      <c r="K34" s="1050"/>
      <c r="L34" s="1050"/>
      <c r="M34" s="1050"/>
      <c r="N34" s="1068"/>
      <c r="T34" s="831"/>
      <c r="W34" s="988"/>
      <c r="Z34" s="1041"/>
    </row>
    <row r="35" spans="6:26" ht="18" customHeight="1"/>
    <row r="36" spans="6:26" ht="18" customHeight="1"/>
    <row r="37" spans="6:26" ht="18" customHeight="1"/>
    <row r="38" spans="6:26" ht="18" customHeight="1"/>
    <row r="39" spans="6:26" ht="18" customHeight="1"/>
    <row r="40" spans="6:26" ht="18" customHeight="1"/>
    <row r="41" spans="6:26" ht="18" customHeight="1"/>
  </sheetData>
  <mergeCells count="11">
    <mergeCell ref="A1:M1"/>
    <mergeCell ref="A2:M2"/>
    <mergeCell ref="A3:M3"/>
    <mergeCell ref="A4:E4"/>
    <mergeCell ref="A5:E5"/>
    <mergeCell ref="A8:M8"/>
    <mergeCell ref="A17:B17"/>
    <mergeCell ref="L17:M17"/>
    <mergeCell ref="I17:J17"/>
    <mergeCell ref="D17:E17"/>
    <mergeCell ref="L9:M9"/>
  </mergeCells>
  <printOptions horizontalCentered="1"/>
  <pageMargins left="0.19685039370078741" right="0.19685039370078741" top="0.39370078740157483" bottom="0.39370078740157483" header="0.39370078740157483" footer="0.39370078740157483"/>
  <pageSetup paperSize="9" scale="80"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Z47"/>
  <sheetViews>
    <sheetView topLeftCell="A13" workbookViewId="0">
      <selection activeCell="F17" sqref="F17"/>
    </sheetView>
  </sheetViews>
  <sheetFormatPr defaultRowHeight="12.75"/>
  <cols>
    <col min="1" max="1" width="4.625" style="246" customWidth="1"/>
    <col min="2" max="2" width="25.125" style="246" customWidth="1"/>
    <col min="3" max="3" width="10.625" style="246" customWidth="1"/>
    <col min="4" max="4" width="6.75" style="246" customWidth="1"/>
    <col min="5" max="5" width="6.625" style="246" customWidth="1"/>
    <col min="6" max="6" width="9.75" style="246" customWidth="1"/>
    <col min="7" max="7" width="8.375" style="246" customWidth="1"/>
    <col min="8" max="8" width="10.125" style="1042" customWidth="1"/>
    <col min="9" max="9" width="8.375" style="1042" customWidth="1"/>
    <col min="10" max="10" width="14.375" style="1042" customWidth="1"/>
    <col min="11" max="11" width="13" style="1043" customWidth="1"/>
    <col min="12" max="12" width="17" style="246" customWidth="1"/>
    <col min="13" max="13" width="12.625" style="246" customWidth="1"/>
    <col min="14" max="14" width="14.375" style="246" customWidth="1"/>
    <col min="15" max="15" width="11.75" style="246" customWidth="1"/>
    <col min="16" max="16" width="12.375" style="989" customWidth="1"/>
    <col min="17" max="17" width="12.75" style="246" customWidth="1"/>
    <col min="18" max="19" width="22.25" style="246" customWidth="1"/>
    <col min="20" max="20" width="36.625" style="246" customWidth="1"/>
    <col min="21" max="21" width="26.25" style="246" customWidth="1"/>
    <col min="22" max="22" width="19.875" style="246" customWidth="1"/>
    <col min="23" max="23" width="24" style="246" customWidth="1"/>
    <col min="24" max="24" width="22" style="246" customWidth="1"/>
    <col min="25" max="25" width="20" style="246" customWidth="1"/>
    <col min="26" max="255" width="9" style="246"/>
    <col min="256" max="256" width="4.625" style="246" customWidth="1"/>
    <col min="257" max="257" width="26.25" style="246" customWidth="1"/>
    <col min="258" max="258" width="13.625" style="246" customWidth="1"/>
    <col min="259" max="259" width="8.75" style="246" bestFit="1" customWidth="1"/>
    <col min="260" max="260" width="9.75" style="246" bestFit="1" customWidth="1"/>
    <col min="261" max="262" width="9.75" style="246" customWidth="1"/>
    <col min="263" max="263" width="18.875" style="246" customWidth="1"/>
    <col min="264" max="264" width="10.25" style="246" customWidth="1"/>
    <col min="265" max="265" width="18.875" style="246" customWidth="1"/>
    <col min="266" max="266" width="16.25" style="246" customWidth="1"/>
    <col min="267" max="267" width="17" style="246" customWidth="1"/>
    <col min="268" max="268" width="17.625" style="246" customWidth="1"/>
    <col min="269" max="269" width="19.875" style="246" customWidth="1"/>
    <col min="270" max="270" width="17" style="246" customWidth="1"/>
    <col min="271" max="271" width="16.375" style="246" customWidth="1"/>
    <col min="272" max="272" width="16.75" style="246" customWidth="1"/>
    <col min="273" max="273" width="17.25" style="246" customWidth="1"/>
    <col min="274" max="275" width="22.25" style="246" customWidth="1"/>
    <col min="276" max="276" width="36.625" style="246" customWidth="1"/>
    <col min="277" max="277" width="26.25" style="246" customWidth="1"/>
    <col min="278" max="278" width="19.875" style="246" customWidth="1"/>
    <col min="279" max="279" width="24" style="246" customWidth="1"/>
    <col min="280" max="280" width="22" style="246" customWidth="1"/>
    <col min="281" max="281" width="20" style="246" customWidth="1"/>
    <col min="282" max="511" width="9" style="246"/>
    <col min="512" max="512" width="4.625" style="246" customWidth="1"/>
    <col min="513" max="513" width="26.25" style="246" customWidth="1"/>
    <col min="514" max="514" width="13.625" style="246" customWidth="1"/>
    <col min="515" max="515" width="8.75" style="246" bestFit="1" customWidth="1"/>
    <col min="516" max="516" width="9.75" style="246" bestFit="1" customWidth="1"/>
    <col min="517" max="518" width="9.75" style="246" customWidth="1"/>
    <col min="519" max="519" width="18.875" style="246" customWidth="1"/>
    <col min="520" max="520" width="10.25" style="246" customWidth="1"/>
    <col min="521" max="521" width="18.875" style="246" customWidth="1"/>
    <col min="522" max="522" width="16.25" style="246" customWidth="1"/>
    <col min="523" max="523" width="17" style="246" customWidth="1"/>
    <col min="524" max="524" width="17.625" style="246" customWidth="1"/>
    <col min="525" max="525" width="19.875" style="246" customWidth="1"/>
    <col min="526" max="526" width="17" style="246" customWidth="1"/>
    <col min="527" max="527" width="16.375" style="246" customWidth="1"/>
    <col min="528" max="528" width="16.75" style="246" customWidth="1"/>
    <col min="529" max="529" width="17.25" style="246" customWidth="1"/>
    <col min="530" max="531" width="22.25" style="246" customWidth="1"/>
    <col min="532" max="532" width="36.625" style="246" customWidth="1"/>
    <col min="533" max="533" width="26.25" style="246" customWidth="1"/>
    <col min="534" max="534" width="19.875" style="246" customWidth="1"/>
    <col min="535" max="535" width="24" style="246" customWidth="1"/>
    <col min="536" max="536" width="22" style="246" customWidth="1"/>
    <col min="537" max="537" width="20" style="246" customWidth="1"/>
    <col min="538" max="767" width="9" style="246"/>
    <col min="768" max="768" width="4.625" style="246" customWidth="1"/>
    <col min="769" max="769" width="26.25" style="246" customWidth="1"/>
    <col min="770" max="770" width="13.625" style="246" customWidth="1"/>
    <col min="771" max="771" width="8.75" style="246" bestFit="1" customWidth="1"/>
    <col min="772" max="772" width="9.75" style="246" bestFit="1" customWidth="1"/>
    <col min="773" max="774" width="9.75" style="246" customWidth="1"/>
    <col min="775" max="775" width="18.875" style="246" customWidth="1"/>
    <col min="776" max="776" width="10.25" style="246" customWidth="1"/>
    <col min="777" max="777" width="18.875" style="246" customWidth="1"/>
    <col min="778" max="778" width="16.25" style="246" customWidth="1"/>
    <col min="779" max="779" width="17" style="246" customWidth="1"/>
    <col min="780" max="780" width="17.625" style="246" customWidth="1"/>
    <col min="781" max="781" width="19.875" style="246" customWidth="1"/>
    <col min="782" max="782" width="17" style="246" customWidth="1"/>
    <col min="783" max="783" width="16.375" style="246" customWidth="1"/>
    <col min="784" max="784" width="16.75" style="246" customWidth="1"/>
    <col min="785" max="785" width="17.25" style="246" customWidth="1"/>
    <col min="786" max="787" width="22.25" style="246" customWidth="1"/>
    <col min="788" max="788" width="36.625" style="246" customWidth="1"/>
    <col min="789" max="789" width="26.25" style="246" customWidth="1"/>
    <col min="790" max="790" width="19.875" style="246" customWidth="1"/>
    <col min="791" max="791" width="24" style="246" customWidth="1"/>
    <col min="792" max="792" width="22" style="246" customWidth="1"/>
    <col min="793" max="793" width="20" style="246" customWidth="1"/>
    <col min="794" max="1023" width="9" style="246"/>
    <col min="1024" max="1024" width="4.625" style="246" customWidth="1"/>
    <col min="1025" max="1025" width="26.25" style="246" customWidth="1"/>
    <col min="1026" max="1026" width="13.625" style="246" customWidth="1"/>
    <col min="1027" max="1027" width="8.75" style="246" bestFit="1" customWidth="1"/>
    <col min="1028" max="1028" width="9.75" style="246" bestFit="1" customWidth="1"/>
    <col min="1029" max="1030" width="9.75" style="246" customWidth="1"/>
    <col min="1031" max="1031" width="18.875" style="246" customWidth="1"/>
    <col min="1032" max="1032" width="10.25" style="246" customWidth="1"/>
    <col min="1033" max="1033" width="18.875" style="246" customWidth="1"/>
    <col min="1034" max="1034" width="16.25" style="246" customWidth="1"/>
    <col min="1035" max="1035" width="17" style="246" customWidth="1"/>
    <col min="1036" max="1036" width="17.625" style="246" customWidth="1"/>
    <col min="1037" max="1037" width="19.875" style="246" customWidth="1"/>
    <col min="1038" max="1038" width="17" style="246" customWidth="1"/>
    <col min="1039" max="1039" width="16.375" style="246" customWidth="1"/>
    <col min="1040" max="1040" width="16.75" style="246" customWidth="1"/>
    <col min="1041" max="1041" width="17.25" style="246" customWidth="1"/>
    <col min="1042" max="1043" width="22.25" style="246" customWidth="1"/>
    <col min="1044" max="1044" width="36.625" style="246" customWidth="1"/>
    <col min="1045" max="1045" width="26.25" style="246" customWidth="1"/>
    <col min="1046" max="1046" width="19.875" style="246" customWidth="1"/>
    <col min="1047" max="1047" width="24" style="246" customWidth="1"/>
    <col min="1048" max="1048" width="22" style="246" customWidth="1"/>
    <col min="1049" max="1049" width="20" style="246" customWidth="1"/>
    <col min="1050" max="1279" width="9" style="246"/>
    <col min="1280" max="1280" width="4.625" style="246" customWidth="1"/>
    <col min="1281" max="1281" width="26.25" style="246" customWidth="1"/>
    <col min="1282" max="1282" width="13.625" style="246" customWidth="1"/>
    <col min="1283" max="1283" width="8.75" style="246" bestFit="1" customWidth="1"/>
    <col min="1284" max="1284" width="9.75" style="246" bestFit="1" customWidth="1"/>
    <col min="1285" max="1286" width="9.75" style="246" customWidth="1"/>
    <col min="1287" max="1287" width="18.875" style="246" customWidth="1"/>
    <col min="1288" max="1288" width="10.25" style="246" customWidth="1"/>
    <col min="1289" max="1289" width="18.875" style="246" customWidth="1"/>
    <col min="1290" max="1290" width="16.25" style="246" customWidth="1"/>
    <col min="1291" max="1291" width="17" style="246" customWidth="1"/>
    <col min="1292" max="1292" width="17.625" style="246" customWidth="1"/>
    <col min="1293" max="1293" width="19.875" style="246" customWidth="1"/>
    <col min="1294" max="1294" width="17" style="246" customWidth="1"/>
    <col min="1295" max="1295" width="16.375" style="246" customWidth="1"/>
    <col min="1296" max="1296" width="16.75" style="246" customWidth="1"/>
    <col min="1297" max="1297" width="17.25" style="246" customWidth="1"/>
    <col min="1298" max="1299" width="22.25" style="246" customWidth="1"/>
    <col min="1300" max="1300" width="36.625" style="246" customWidth="1"/>
    <col min="1301" max="1301" width="26.25" style="246" customWidth="1"/>
    <col min="1302" max="1302" width="19.875" style="246" customWidth="1"/>
    <col min="1303" max="1303" width="24" style="246" customWidth="1"/>
    <col min="1304" max="1304" width="22" style="246" customWidth="1"/>
    <col min="1305" max="1305" width="20" style="246" customWidth="1"/>
    <col min="1306" max="1535" width="9" style="246"/>
    <col min="1536" max="1536" width="4.625" style="246" customWidth="1"/>
    <col min="1537" max="1537" width="26.25" style="246" customWidth="1"/>
    <col min="1538" max="1538" width="13.625" style="246" customWidth="1"/>
    <col min="1539" max="1539" width="8.75" style="246" bestFit="1" customWidth="1"/>
    <col min="1540" max="1540" width="9.75" style="246" bestFit="1" customWidth="1"/>
    <col min="1541" max="1542" width="9.75" style="246" customWidth="1"/>
    <col min="1543" max="1543" width="18.875" style="246" customWidth="1"/>
    <col min="1544" max="1544" width="10.25" style="246" customWidth="1"/>
    <col min="1545" max="1545" width="18.875" style="246" customWidth="1"/>
    <col min="1546" max="1546" width="16.25" style="246" customWidth="1"/>
    <col min="1547" max="1547" width="17" style="246" customWidth="1"/>
    <col min="1548" max="1548" width="17.625" style="246" customWidth="1"/>
    <col min="1549" max="1549" width="19.875" style="246" customWidth="1"/>
    <col min="1550" max="1550" width="17" style="246" customWidth="1"/>
    <col min="1551" max="1551" width="16.375" style="246" customWidth="1"/>
    <col min="1552" max="1552" width="16.75" style="246" customWidth="1"/>
    <col min="1553" max="1553" width="17.25" style="246" customWidth="1"/>
    <col min="1554" max="1555" width="22.25" style="246" customWidth="1"/>
    <col min="1556" max="1556" width="36.625" style="246" customWidth="1"/>
    <col min="1557" max="1557" width="26.25" style="246" customWidth="1"/>
    <col min="1558" max="1558" width="19.875" style="246" customWidth="1"/>
    <col min="1559" max="1559" width="24" style="246" customWidth="1"/>
    <col min="1560" max="1560" width="22" style="246" customWidth="1"/>
    <col min="1561" max="1561" width="20" style="246" customWidth="1"/>
    <col min="1562" max="1791" width="9" style="246"/>
    <col min="1792" max="1792" width="4.625" style="246" customWidth="1"/>
    <col min="1793" max="1793" width="26.25" style="246" customWidth="1"/>
    <col min="1794" max="1794" width="13.625" style="246" customWidth="1"/>
    <col min="1795" max="1795" width="8.75" style="246" bestFit="1" customWidth="1"/>
    <col min="1796" max="1796" width="9.75" style="246" bestFit="1" customWidth="1"/>
    <col min="1797" max="1798" width="9.75" style="246" customWidth="1"/>
    <col min="1799" max="1799" width="18.875" style="246" customWidth="1"/>
    <col min="1800" max="1800" width="10.25" style="246" customWidth="1"/>
    <col min="1801" max="1801" width="18.875" style="246" customWidth="1"/>
    <col min="1802" max="1802" width="16.25" style="246" customWidth="1"/>
    <col min="1803" max="1803" width="17" style="246" customWidth="1"/>
    <col min="1804" max="1804" width="17.625" style="246" customWidth="1"/>
    <col min="1805" max="1805" width="19.875" style="246" customWidth="1"/>
    <col min="1806" max="1806" width="17" style="246" customWidth="1"/>
    <col min="1807" max="1807" width="16.375" style="246" customWidth="1"/>
    <col min="1808" max="1808" width="16.75" style="246" customWidth="1"/>
    <col min="1809" max="1809" width="17.25" style="246" customWidth="1"/>
    <col min="1810" max="1811" width="22.25" style="246" customWidth="1"/>
    <col min="1812" max="1812" width="36.625" style="246" customWidth="1"/>
    <col min="1813" max="1813" width="26.25" style="246" customWidth="1"/>
    <col min="1814" max="1814" width="19.875" style="246" customWidth="1"/>
    <col min="1815" max="1815" width="24" style="246" customWidth="1"/>
    <col min="1816" max="1816" width="22" style="246" customWidth="1"/>
    <col min="1817" max="1817" width="20" style="246" customWidth="1"/>
    <col min="1818" max="2047" width="9" style="246"/>
    <col min="2048" max="2048" width="4.625" style="246" customWidth="1"/>
    <col min="2049" max="2049" width="26.25" style="246" customWidth="1"/>
    <col min="2050" max="2050" width="13.625" style="246" customWidth="1"/>
    <col min="2051" max="2051" width="8.75" style="246" bestFit="1" customWidth="1"/>
    <col min="2052" max="2052" width="9.75" style="246" bestFit="1" customWidth="1"/>
    <col min="2053" max="2054" width="9.75" style="246" customWidth="1"/>
    <col min="2055" max="2055" width="18.875" style="246" customWidth="1"/>
    <col min="2056" max="2056" width="10.25" style="246" customWidth="1"/>
    <col min="2057" max="2057" width="18.875" style="246" customWidth="1"/>
    <col min="2058" max="2058" width="16.25" style="246" customWidth="1"/>
    <col min="2059" max="2059" width="17" style="246" customWidth="1"/>
    <col min="2060" max="2060" width="17.625" style="246" customWidth="1"/>
    <col min="2061" max="2061" width="19.875" style="246" customWidth="1"/>
    <col min="2062" max="2062" width="17" style="246" customWidth="1"/>
    <col min="2063" max="2063" width="16.375" style="246" customWidth="1"/>
    <col min="2064" max="2064" width="16.75" style="246" customWidth="1"/>
    <col min="2065" max="2065" width="17.25" style="246" customWidth="1"/>
    <col min="2066" max="2067" width="22.25" style="246" customWidth="1"/>
    <col min="2068" max="2068" width="36.625" style="246" customWidth="1"/>
    <col min="2069" max="2069" width="26.25" style="246" customWidth="1"/>
    <col min="2070" max="2070" width="19.875" style="246" customWidth="1"/>
    <col min="2071" max="2071" width="24" style="246" customWidth="1"/>
    <col min="2072" max="2072" width="22" style="246" customWidth="1"/>
    <col min="2073" max="2073" width="20" style="246" customWidth="1"/>
    <col min="2074" max="2303" width="9" style="246"/>
    <col min="2304" max="2304" width="4.625" style="246" customWidth="1"/>
    <col min="2305" max="2305" width="26.25" style="246" customWidth="1"/>
    <col min="2306" max="2306" width="13.625" style="246" customWidth="1"/>
    <col min="2307" max="2307" width="8.75" style="246" bestFit="1" customWidth="1"/>
    <col min="2308" max="2308" width="9.75" style="246" bestFit="1" customWidth="1"/>
    <col min="2309" max="2310" width="9.75" style="246" customWidth="1"/>
    <col min="2311" max="2311" width="18.875" style="246" customWidth="1"/>
    <col min="2312" max="2312" width="10.25" style="246" customWidth="1"/>
    <col min="2313" max="2313" width="18.875" style="246" customWidth="1"/>
    <col min="2314" max="2314" width="16.25" style="246" customWidth="1"/>
    <col min="2315" max="2315" width="17" style="246" customWidth="1"/>
    <col min="2316" max="2316" width="17.625" style="246" customWidth="1"/>
    <col min="2317" max="2317" width="19.875" style="246" customWidth="1"/>
    <col min="2318" max="2318" width="17" style="246" customWidth="1"/>
    <col min="2319" max="2319" width="16.375" style="246" customWidth="1"/>
    <col min="2320" max="2320" width="16.75" style="246" customWidth="1"/>
    <col min="2321" max="2321" width="17.25" style="246" customWidth="1"/>
    <col min="2322" max="2323" width="22.25" style="246" customWidth="1"/>
    <col min="2324" max="2324" width="36.625" style="246" customWidth="1"/>
    <col min="2325" max="2325" width="26.25" style="246" customWidth="1"/>
    <col min="2326" max="2326" width="19.875" style="246" customWidth="1"/>
    <col min="2327" max="2327" width="24" style="246" customWidth="1"/>
    <col min="2328" max="2328" width="22" style="246" customWidth="1"/>
    <col min="2329" max="2329" width="20" style="246" customWidth="1"/>
    <col min="2330" max="2559" width="9" style="246"/>
    <col min="2560" max="2560" width="4.625" style="246" customWidth="1"/>
    <col min="2561" max="2561" width="26.25" style="246" customWidth="1"/>
    <col min="2562" max="2562" width="13.625" style="246" customWidth="1"/>
    <col min="2563" max="2563" width="8.75" style="246" bestFit="1" customWidth="1"/>
    <col min="2564" max="2564" width="9.75" style="246" bestFit="1" customWidth="1"/>
    <col min="2565" max="2566" width="9.75" style="246" customWidth="1"/>
    <col min="2567" max="2567" width="18.875" style="246" customWidth="1"/>
    <col min="2568" max="2568" width="10.25" style="246" customWidth="1"/>
    <col min="2569" max="2569" width="18.875" style="246" customWidth="1"/>
    <col min="2570" max="2570" width="16.25" style="246" customWidth="1"/>
    <col min="2571" max="2571" width="17" style="246" customWidth="1"/>
    <col min="2572" max="2572" width="17.625" style="246" customWidth="1"/>
    <col min="2573" max="2573" width="19.875" style="246" customWidth="1"/>
    <col min="2574" max="2574" width="17" style="246" customWidth="1"/>
    <col min="2575" max="2575" width="16.375" style="246" customWidth="1"/>
    <col min="2576" max="2576" width="16.75" style="246" customWidth="1"/>
    <col min="2577" max="2577" width="17.25" style="246" customWidth="1"/>
    <col min="2578" max="2579" width="22.25" style="246" customWidth="1"/>
    <col min="2580" max="2580" width="36.625" style="246" customWidth="1"/>
    <col min="2581" max="2581" width="26.25" style="246" customWidth="1"/>
    <col min="2582" max="2582" width="19.875" style="246" customWidth="1"/>
    <col min="2583" max="2583" width="24" style="246" customWidth="1"/>
    <col min="2584" max="2584" width="22" style="246" customWidth="1"/>
    <col min="2585" max="2585" width="20" style="246" customWidth="1"/>
    <col min="2586" max="2815" width="9" style="246"/>
    <col min="2816" max="2816" width="4.625" style="246" customWidth="1"/>
    <col min="2817" max="2817" width="26.25" style="246" customWidth="1"/>
    <col min="2818" max="2818" width="13.625" style="246" customWidth="1"/>
    <col min="2819" max="2819" width="8.75" style="246" bestFit="1" customWidth="1"/>
    <col min="2820" max="2820" width="9.75" style="246" bestFit="1" customWidth="1"/>
    <col min="2821" max="2822" width="9.75" style="246" customWidth="1"/>
    <col min="2823" max="2823" width="18.875" style="246" customWidth="1"/>
    <col min="2824" max="2824" width="10.25" style="246" customWidth="1"/>
    <col min="2825" max="2825" width="18.875" style="246" customWidth="1"/>
    <col min="2826" max="2826" width="16.25" style="246" customWidth="1"/>
    <col min="2827" max="2827" width="17" style="246" customWidth="1"/>
    <col min="2828" max="2828" width="17.625" style="246" customWidth="1"/>
    <col min="2829" max="2829" width="19.875" style="246" customWidth="1"/>
    <col min="2830" max="2830" width="17" style="246" customWidth="1"/>
    <col min="2831" max="2831" width="16.375" style="246" customWidth="1"/>
    <col min="2832" max="2832" width="16.75" style="246" customWidth="1"/>
    <col min="2833" max="2833" width="17.25" style="246" customWidth="1"/>
    <col min="2834" max="2835" width="22.25" style="246" customWidth="1"/>
    <col min="2836" max="2836" width="36.625" style="246" customWidth="1"/>
    <col min="2837" max="2837" width="26.25" style="246" customWidth="1"/>
    <col min="2838" max="2838" width="19.875" style="246" customWidth="1"/>
    <col min="2839" max="2839" width="24" style="246" customWidth="1"/>
    <col min="2840" max="2840" width="22" style="246" customWidth="1"/>
    <col min="2841" max="2841" width="20" style="246" customWidth="1"/>
    <col min="2842" max="3071" width="9" style="246"/>
    <col min="3072" max="3072" width="4.625" style="246" customWidth="1"/>
    <col min="3073" max="3073" width="26.25" style="246" customWidth="1"/>
    <col min="3074" max="3074" width="13.625" style="246" customWidth="1"/>
    <col min="3075" max="3075" width="8.75" style="246" bestFit="1" customWidth="1"/>
    <col min="3076" max="3076" width="9.75" style="246" bestFit="1" customWidth="1"/>
    <col min="3077" max="3078" width="9.75" style="246" customWidth="1"/>
    <col min="3079" max="3079" width="18.875" style="246" customWidth="1"/>
    <col min="3080" max="3080" width="10.25" style="246" customWidth="1"/>
    <col min="3081" max="3081" width="18.875" style="246" customWidth="1"/>
    <col min="3082" max="3082" width="16.25" style="246" customWidth="1"/>
    <col min="3083" max="3083" width="17" style="246" customWidth="1"/>
    <col min="3084" max="3084" width="17.625" style="246" customWidth="1"/>
    <col min="3085" max="3085" width="19.875" style="246" customWidth="1"/>
    <col min="3086" max="3086" width="17" style="246" customWidth="1"/>
    <col min="3087" max="3087" width="16.375" style="246" customWidth="1"/>
    <col min="3088" max="3088" width="16.75" style="246" customWidth="1"/>
    <col min="3089" max="3089" width="17.25" style="246" customWidth="1"/>
    <col min="3090" max="3091" width="22.25" style="246" customWidth="1"/>
    <col min="3092" max="3092" width="36.625" style="246" customWidth="1"/>
    <col min="3093" max="3093" width="26.25" style="246" customWidth="1"/>
    <col min="3094" max="3094" width="19.875" style="246" customWidth="1"/>
    <col min="3095" max="3095" width="24" style="246" customWidth="1"/>
    <col min="3096" max="3096" width="22" style="246" customWidth="1"/>
    <col min="3097" max="3097" width="20" style="246" customWidth="1"/>
    <col min="3098" max="3327" width="9" style="246"/>
    <col min="3328" max="3328" width="4.625" style="246" customWidth="1"/>
    <col min="3329" max="3329" width="26.25" style="246" customWidth="1"/>
    <col min="3330" max="3330" width="13.625" style="246" customWidth="1"/>
    <col min="3331" max="3331" width="8.75" style="246" bestFit="1" customWidth="1"/>
    <col min="3332" max="3332" width="9.75" style="246" bestFit="1" customWidth="1"/>
    <col min="3333" max="3334" width="9.75" style="246" customWidth="1"/>
    <col min="3335" max="3335" width="18.875" style="246" customWidth="1"/>
    <col min="3336" max="3336" width="10.25" style="246" customWidth="1"/>
    <col min="3337" max="3337" width="18.875" style="246" customWidth="1"/>
    <col min="3338" max="3338" width="16.25" style="246" customWidth="1"/>
    <col min="3339" max="3339" width="17" style="246" customWidth="1"/>
    <col min="3340" max="3340" width="17.625" style="246" customWidth="1"/>
    <col min="3341" max="3341" width="19.875" style="246" customWidth="1"/>
    <col min="3342" max="3342" width="17" style="246" customWidth="1"/>
    <col min="3343" max="3343" width="16.375" style="246" customWidth="1"/>
    <col min="3344" max="3344" width="16.75" style="246" customWidth="1"/>
    <col min="3345" max="3345" width="17.25" style="246" customWidth="1"/>
    <col min="3346" max="3347" width="22.25" style="246" customWidth="1"/>
    <col min="3348" max="3348" width="36.625" style="246" customWidth="1"/>
    <col min="3349" max="3349" width="26.25" style="246" customWidth="1"/>
    <col min="3350" max="3350" width="19.875" style="246" customWidth="1"/>
    <col min="3351" max="3351" width="24" style="246" customWidth="1"/>
    <col min="3352" max="3352" width="22" style="246" customWidth="1"/>
    <col min="3353" max="3353" width="20" style="246" customWidth="1"/>
    <col min="3354" max="3583" width="9" style="246"/>
    <col min="3584" max="3584" width="4.625" style="246" customWidth="1"/>
    <col min="3585" max="3585" width="26.25" style="246" customWidth="1"/>
    <col min="3586" max="3586" width="13.625" style="246" customWidth="1"/>
    <col min="3587" max="3587" width="8.75" style="246" bestFit="1" customWidth="1"/>
    <col min="3588" max="3588" width="9.75" style="246" bestFit="1" customWidth="1"/>
    <col min="3589" max="3590" width="9.75" style="246" customWidth="1"/>
    <col min="3591" max="3591" width="18.875" style="246" customWidth="1"/>
    <col min="3592" max="3592" width="10.25" style="246" customWidth="1"/>
    <col min="3593" max="3593" width="18.875" style="246" customWidth="1"/>
    <col min="3594" max="3594" width="16.25" style="246" customWidth="1"/>
    <col min="3595" max="3595" width="17" style="246" customWidth="1"/>
    <col min="3596" max="3596" width="17.625" style="246" customWidth="1"/>
    <col min="3597" max="3597" width="19.875" style="246" customWidth="1"/>
    <col min="3598" max="3598" width="17" style="246" customWidth="1"/>
    <col min="3599" max="3599" width="16.375" style="246" customWidth="1"/>
    <col min="3600" max="3600" width="16.75" style="246" customWidth="1"/>
    <col min="3601" max="3601" width="17.25" style="246" customWidth="1"/>
    <col min="3602" max="3603" width="22.25" style="246" customWidth="1"/>
    <col min="3604" max="3604" width="36.625" style="246" customWidth="1"/>
    <col min="3605" max="3605" width="26.25" style="246" customWidth="1"/>
    <col min="3606" max="3606" width="19.875" style="246" customWidth="1"/>
    <col min="3607" max="3607" width="24" style="246" customWidth="1"/>
    <col min="3608" max="3608" width="22" style="246" customWidth="1"/>
    <col min="3609" max="3609" width="20" style="246" customWidth="1"/>
    <col min="3610" max="3839" width="9" style="246"/>
    <col min="3840" max="3840" width="4.625" style="246" customWidth="1"/>
    <col min="3841" max="3841" width="26.25" style="246" customWidth="1"/>
    <col min="3842" max="3842" width="13.625" style="246" customWidth="1"/>
    <col min="3843" max="3843" width="8.75" style="246" bestFit="1" customWidth="1"/>
    <col min="3844" max="3844" width="9.75" style="246" bestFit="1" customWidth="1"/>
    <col min="3845" max="3846" width="9.75" style="246" customWidth="1"/>
    <col min="3847" max="3847" width="18.875" style="246" customWidth="1"/>
    <col min="3848" max="3848" width="10.25" style="246" customWidth="1"/>
    <col min="3849" max="3849" width="18.875" style="246" customWidth="1"/>
    <col min="3850" max="3850" width="16.25" style="246" customWidth="1"/>
    <col min="3851" max="3851" width="17" style="246" customWidth="1"/>
    <col min="3852" max="3852" width="17.625" style="246" customWidth="1"/>
    <col min="3853" max="3853" width="19.875" style="246" customWidth="1"/>
    <col min="3854" max="3854" width="17" style="246" customWidth="1"/>
    <col min="3855" max="3855" width="16.375" style="246" customWidth="1"/>
    <col min="3856" max="3856" width="16.75" style="246" customWidth="1"/>
    <col min="3857" max="3857" width="17.25" style="246" customWidth="1"/>
    <col min="3858" max="3859" width="22.25" style="246" customWidth="1"/>
    <col min="3860" max="3860" width="36.625" style="246" customWidth="1"/>
    <col min="3861" max="3861" width="26.25" style="246" customWidth="1"/>
    <col min="3862" max="3862" width="19.875" style="246" customWidth="1"/>
    <col min="3863" max="3863" width="24" style="246" customWidth="1"/>
    <col min="3864" max="3864" width="22" style="246" customWidth="1"/>
    <col min="3865" max="3865" width="20" style="246" customWidth="1"/>
    <col min="3866" max="4095" width="9" style="246"/>
    <col min="4096" max="4096" width="4.625" style="246" customWidth="1"/>
    <col min="4097" max="4097" width="26.25" style="246" customWidth="1"/>
    <col min="4098" max="4098" width="13.625" style="246" customWidth="1"/>
    <col min="4099" max="4099" width="8.75" style="246" bestFit="1" customWidth="1"/>
    <col min="4100" max="4100" width="9.75" style="246" bestFit="1" customWidth="1"/>
    <col min="4101" max="4102" width="9.75" style="246" customWidth="1"/>
    <col min="4103" max="4103" width="18.875" style="246" customWidth="1"/>
    <col min="4104" max="4104" width="10.25" style="246" customWidth="1"/>
    <col min="4105" max="4105" width="18.875" style="246" customWidth="1"/>
    <col min="4106" max="4106" width="16.25" style="246" customWidth="1"/>
    <col min="4107" max="4107" width="17" style="246" customWidth="1"/>
    <col min="4108" max="4108" width="17.625" style="246" customWidth="1"/>
    <col min="4109" max="4109" width="19.875" style="246" customWidth="1"/>
    <col min="4110" max="4110" width="17" style="246" customWidth="1"/>
    <col min="4111" max="4111" width="16.375" style="246" customWidth="1"/>
    <col min="4112" max="4112" width="16.75" style="246" customWidth="1"/>
    <col min="4113" max="4113" width="17.25" style="246" customWidth="1"/>
    <col min="4114" max="4115" width="22.25" style="246" customWidth="1"/>
    <col min="4116" max="4116" width="36.625" style="246" customWidth="1"/>
    <col min="4117" max="4117" width="26.25" style="246" customWidth="1"/>
    <col min="4118" max="4118" width="19.875" style="246" customWidth="1"/>
    <col min="4119" max="4119" width="24" style="246" customWidth="1"/>
    <col min="4120" max="4120" width="22" style="246" customWidth="1"/>
    <col min="4121" max="4121" width="20" style="246" customWidth="1"/>
    <col min="4122" max="4351" width="9" style="246"/>
    <col min="4352" max="4352" width="4.625" style="246" customWidth="1"/>
    <col min="4353" max="4353" width="26.25" style="246" customWidth="1"/>
    <col min="4354" max="4354" width="13.625" style="246" customWidth="1"/>
    <col min="4355" max="4355" width="8.75" style="246" bestFit="1" customWidth="1"/>
    <col min="4356" max="4356" width="9.75" style="246" bestFit="1" customWidth="1"/>
    <col min="4357" max="4358" width="9.75" style="246" customWidth="1"/>
    <col min="4359" max="4359" width="18.875" style="246" customWidth="1"/>
    <col min="4360" max="4360" width="10.25" style="246" customWidth="1"/>
    <col min="4361" max="4361" width="18.875" style="246" customWidth="1"/>
    <col min="4362" max="4362" width="16.25" style="246" customWidth="1"/>
    <col min="4363" max="4363" width="17" style="246" customWidth="1"/>
    <col min="4364" max="4364" width="17.625" style="246" customWidth="1"/>
    <col min="4365" max="4365" width="19.875" style="246" customWidth="1"/>
    <col min="4366" max="4366" width="17" style="246" customWidth="1"/>
    <col min="4367" max="4367" width="16.375" style="246" customWidth="1"/>
    <col min="4368" max="4368" width="16.75" style="246" customWidth="1"/>
    <col min="4369" max="4369" width="17.25" style="246" customWidth="1"/>
    <col min="4370" max="4371" width="22.25" style="246" customWidth="1"/>
    <col min="4372" max="4372" width="36.625" style="246" customWidth="1"/>
    <col min="4373" max="4373" width="26.25" style="246" customWidth="1"/>
    <col min="4374" max="4374" width="19.875" style="246" customWidth="1"/>
    <col min="4375" max="4375" width="24" style="246" customWidth="1"/>
    <col min="4376" max="4376" width="22" style="246" customWidth="1"/>
    <col min="4377" max="4377" width="20" style="246" customWidth="1"/>
    <col min="4378" max="4607" width="9" style="246"/>
    <col min="4608" max="4608" width="4.625" style="246" customWidth="1"/>
    <col min="4609" max="4609" width="26.25" style="246" customWidth="1"/>
    <col min="4610" max="4610" width="13.625" style="246" customWidth="1"/>
    <col min="4611" max="4611" width="8.75" style="246" bestFit="1" customWidth="1"/>
    <col min="4612" max="4612" width="9.75" style="246" bestFit="1" customWidth="1"/>
    <col min="4613" max="4614" width="9.75" style="246" customWidth="1"/>
    <col min="4615" max="4615" width="18.875" style="246" customWidth="1"/>
    <col min="4616" max="4616" width="10.25" style="246" customWidth="1"/>
    <col min="4617" max="4617" width="18.875" style="246" customWidth="1"/>
    <col min="4618" max="4618" width="16.25" style="246" customWidth="1"/>
    <col min="4619" max="4619" width="17" style="246" customWidth="1"/>
    <col min="4620" max="4620" width="17.625" style="246" customWidth="1"/>
    <col min="4621" max="4621" width="19.875" style="246" customWidth="1"/>
    <col min="4622" max="4622" width="17" style="246" customWidth="1"/>
    <col min="4623" max="4623" width="16.375" style="246" customWidth="1"/>
    <col min="4624" max="4624" width="16.75" style="246" customWidth="1"/>
    <col min="4625" max="4625" width="17.25" style="246" customWidth="1"/>
    <col min="4626" max="4627" width="22.25" style="246" customWidth="1"/>
    <col min="4628" max="4628" width="36.625" style="246" customWidth="1"/>
    <col min="4629" max="4629" width="26.25" style="246" customWidth="1"/>
    <col min="4630" max="4630" width="19.875" style="246" customWidth="1"/>
    <col min="4631" max="4631" width="24" style="246" customWidth="1"/>
    <col min="4632" max="4632" width="22" style="246" customWidth="1"/>
    <col min="4633" max="4633" width="20" style="246" customWidth="1"/>
    <col min="4634" max="4863" width="9" style="246"/>
    <col min="4864" max="4864" width="4.625" style="246" customWidth="1"/>
    <col min="4865" max="4865" width="26.25" style="246" customWidth="1"/>
    <col min="4866" max="4866" width="13.625" style="246" customWidth="1"/>
    <col min="4867" max="4867" width="8.75" style="246" bestFit="1" customWidth="1"/>
    <col min="4868" max="4868" width="9.75" style="246" bestFit="1" customWidth="1"/>
    <col min="4869" max="4870" width="9.75" style="246" customWidth="1"/>
    <col min="4871" max="4871" width="18.875" style="246" customWidth="1"/>
    <col min="4872" max="4872" width="10.25" style="246" customWidth="1"/>
    <col min="4873" max="4873" width="18.875" style="246" customWidth="1"/>
    <col min="4874" max="4874" width="16.25" style="246" customWidth="1"/>
    <col min="4875" max="4875" width="17" style="246" customWidth="1"/>
    <col min="4876" max="4876" width="17.625" style="246" customWidth="1"/>
    <col min="4877" max="4877" width="19.875" style="246" customWidth="1"/>
    <col min="4878" max="4878" width="17" style="246" customWidth="1"/>
    <col min="4879" max="4879" width="16.375" style="246" customWidth="1"/>
    <col min="4880" max="4880" width="16.75" style="246" customWidth="1"/>
    <col min="4881" max="4881" width="17.25" style="246" customWidth="1"/>
    <col min="4882" max="4883" width="22.25" style="246" customWidth="1"/>
    <col min="4884" max="4884" width="36.625" style="246" customWidth="1"/>
    <col min="4885" max="4885" width="26.25" style="246" customWidth="1"/>
    <col min="4886" max="4886" width="19.875" style="246" customWidth="1"/>
    <col min="4887" max="4887" width="24" style="246" customWidth="1"/>
    <col min="4888" max="4888" width="22" style="246" customWidth="1"/>
    <col min="4889" max="4889" width="20" style="246" customWidth="1"/>
    <col min="4890" max="5119" width="9" style="246"/>
    <col min="5120" max="5120" width="4.625" style="246" customWidth="1"/>
    <col min="5121" max="5121" width="26.25" style="246" customWidth="1"/>
    <col min="5122" max="5122" width="13.625" style="246" customWidth="1"/>
    <col min="5123" max="5123" width="8.75" style="246" bestFit="1" customWidth="1"/>
    <col min="5124" max="5124" width="9.75" style="246" bestFit="1" customWidth="1"/>
    <col min="5125" max="5126" width="9.75" style="246" customWidth="1"/>
    <col min="5127" max="5127" width="18.875" style="246" customWidth="1"/>
    <col min="5128" max="5128" width="10.25" style="246" customWidth="1"/>
    <col min="5129" max="5129" width="18.875" style="246" customWidth="1"/>
    <col min="5130" max="5130" width="16.25" style="246" customWidth="1"/>
    <col min="5131" max="5131" width="17" style="246" customWidth="1"/>
    <col min="5132" max="5132" width="17.625" style="246" customWidth="1"/>
    <col min="5133" max="5133" width="19.875" style="246" customWidth="1"/>
    <col min="5134" max="5134" width="17" style="246" customWidth="1"/>
    <col min="5135" max="5135" width="16.375" style="246" customWidth="1"/>
    <col min="5136" max="5136" width="16.75" style="246" customWidth="1"/>
    <col min="5137" max="5137" width="17.25" style="246" customWidth="1"/>
    <col min="5138" max="5139" width="22.25" style="246" customWidth="1"/>
    <col min="5140" max="5140" width="36.625" style="246" customWidth="1"/>
    <col min="5141" max="5141" width="26.25" style="246" customWidth="1"/>
    <col min="5142" max="5142" width="19.875" style="246" customWidth="1"/>
    <col min="5143" max="5143" width="24" style="246" customWidth="1"/>
    <col min="5144" max="5144" width="22" style="246" customWidth="1"/>
    <col min="5145" max="5145" width="20" style="246" customWidth="1"/>
    <col min="5146" max="5375" width="9" style="246"/>
    <col min="5376" max="5376" width="4.625" style="246" customWidth="1"/>
    <col min="5377" max="5377" width="26.25" style="246" customWidth="1"/>
    <col min="5378" max="5378" width="13.625" style="246" customWidth="1"/>
    <col min="5379" max="5379" width="8.75" style="246" bestFit="1" customWidth="1"/>
    <col min="5380" max="5380" width="9.75" style="246" bestFit="1" customWidth="1"/>
    <col min="5381" max="5382" width="9.75" style="246" customWidth="1"/>
    <col min="5383" max="5383" width="18.875" style="246" customWidth="1"/>
    <col min="5384" max="5384" width="10.25" style="246" customWidth="1"/>
    <col min="5385" max="5385" width="18.875" style="246" customWidth="1"/>
    <col min="5386" max="5386" width="16.25" style="246" customWidth="1"/>
    <col min="5387" max="5387" width="17" style="246" customWidth="1"/>
    <col min="5388" max="5388" width="17.625" style="246" customWidth="1"/>
    <col min="5389" max="5389" width="19.875" style="246" customWidth="1"/>
    <col min="5390" max="5390" width="17" style="246" customWidth="1"/>
    <col min="5391" max="5391" width="16.375" style="246" customWidth="1"/>
    <col min="5392" max="5392" width="16.75" style="246" customWidth="1"/>
    <col min="5393" max="5393" width="17.25" style="246" customWidth="1"/>
    <col min="5394" max="5395" width="22.25" style="246" customWidth="1"/>
    <col min="5396" max="5396" width="36.625" style="246" customWidth="1"/>
    <col min="5397" max="5397" width="26.25" style="246" customWidth="1"/>
    <col min="5398" max="5398" width="19.875" style="246" customWidth="1"/>
    <col min="5399" max="5399" width="24" style="246" customWidth="1"/>
    <col min="5400" max="5400" width="22" style="246" customWidth="1"/>
    <col min="5401" max="5401" width="20" style="246" customWidth="1"/>
    <col min="5402" max="5631" width="9" style="246"/>
    <col min="5632" max="5632" width="4.625" style="246" customWidth="1"/>
    <col min="5633" max="5633" width="26.25" style="246" customWidth="1"/>
    <col min="5634" max="5634" width="13.625" style="246" customWidth="1"/>
    <col min="5635" max="5635" width="8.75" style="246" bestFit="1" customWidth="1"/>
    <col min="5636" max="5636" width="9.75" style="246" bestFit="1" customWidth="1"/>
    <col min="5637" max="5638" width="9.75" style="246" customWidth="1"/>
    <col min="5639" max="5639" width="18.875" style="246" customWidth="1"/>
    <col min="5640" max="5640" width="10.25" style="246" customWidth="1"/>
    <col min="5641" max="5641" width="18.875" style="246" customWidth="1"/>
    <col min="5642" max="5642" width="16.25" style="246" customWidth="1"/>
    <col min="5643" max="5643" width="17" style="246" customWidth="1"/>
    <col min="5644" max="5644" width="17.625" style="246" customWidth="1"/>
    <col min="5645" max="5645" width="19.875" style="246" customWidth="1"/>
    <col min="5646" max="5646" width="17" style="246" customWidth="1"/>
    <col min="5647" max="5647" width="16.375" style="246" customWidth="1"/>
    <col min="5648" max="5648" width="16.75" style="246" customWidth="1"/>
    <col min="5649" max="5649" width="17.25" style="246" customWidth="1"/>
    <col min="5650" max="5651" width="22.25" style="246" customWidth="1"/>
    <col min="5652" max="5652" width="36.625" style="246" customWidth="1"/>
    <col min="5653" max="5653" width="26.25" style="246" customWidth="1"/>
    <col min="5654" max="5654" width="19.875" style="246" customWidth="1"/>
    <col min="5655" max="5655" width="24" style="246" customWidth="1"/>
    <col min="5656" max="5656" width="22" style="246" customWidth="1"/>
    <col min="5657" max="5657" width="20" style="246" customWidth="1"/>
    <col min="5658" max="5887" width="9" style="246"/>
    <col min="5888" max="5888" width="4.625" style="246" customWidth="1"/>
    <col min="5889" max="5889" width="26.25" style="246" customWidth="1"/>
    <col min="5890" max="5890" width="13.625" style="246" customWidth="1"/>
    <col min="5891" max="5891" width="8.75" style="246" bestFit="1" customWidth="1"/>
    <col min="5892" max="5892" width="9.75" style="246" bestFit="1" customWidth="1"/>
    <col min="5893" max="5894" width="9.75" style="246" customWidth="1"/>
    <col min="5895" max="5895" width="18.875" style="246" customWidth="1"/>
    <col min="5896" max="5896" width="10.25" style="246" customWidth="1"/>
    <col min="5897" max="5897" width="18.875" style="246" customWidth="1"/>
    <col min="5898" max="5898" width="16.25" style="246" customWidth="1"/>
    <col min="5899" max="5899" width="17" style="246" customWidth="1"/>
    <col min="5900" max="5900" width="17.625" style="246" customWidth="1"/>
    <col min="5901" max="5901" width="19.875" style="246" customWidth="1"/>
    <col min="5902" max="5902" width="17" style="246" customWidth="1"/>
    <col min="5903" max="5903" width="16.375" style="246" customWidth="1"/>
    <col min="5904" max="5904" width="16.75" style="246" customWidth="1"/>
    <col min="5905" max="5905" width="17.25" style="246" customWidth="1"/>
    <col min="5906" max="5907" width="22.25" style="246" customWidth="1"/>
    <col min="5908" max="5908" width="36.625" style="246" customWidth="1"/>
    <col min="5909" max="5909" width="26.25" style="246" customWidth="1"/>
    <col min="5910" max="5910" width="19.875" style="246" customWidth="1"/>
    <col min="5911" max="5911" width="24" style="246" customWidth="1"/>
    <col min="5912" max="5912" width="22" style="246" customWidth="1"/>
    <col min="5913" max="5913" width="20" style="246" customWidth="1"/>
    <col min="5914" max="6143" width="9" style="246"/>
    <col min="6144" max="6144" width="4.625" style="246" customWidth="1"/>
    <col min="6145" max="6145" width="26.25" style="246" customWidth="1"/>
    <col min="6146" max="6146" width="13.625" style="246" customWidth="1"/>
    <col min="6147" max="6147" width="8.75" style="246" bestFit="1" customWidth="1"/>
    <col min="6148" max="6148" width="9.75" style="246" bestFit="1" customWidth="1"/>
    <col min="6149" max="6150" width="9.75" style="246" customWidth="1"/>
    <col min="6151" max="6151" width="18.875" style="246" customWidth="1"/>
    <col min="6152" max="6152" width="10.25" style="246" customWidth="1"/>
    <col min="6153" max="6153" width="18.875" style="246" customWidth="1"/>
    <col min="6154" max="6154" width="16.25" style="246" customWidth="1"/>
    <col min="6155" max="6155" width="17" style="246" customWidth="1"/>
    <col min="6156" max="6156" width="17.625" style="246" customWidth="1"/>
    <col min="6157" max="6157" width="19.875" style="246" customWidth="1"/>
    <col min="6158" max="6158" width="17" style="246" customWidth="1"/>
    <col min="6159" max="6159" width="16.375" style="246" customWidth="1"/>
    <col min="6160" max="6160" width="16.75" style="246" customWidth="1"/>
    <col min="6161" max="6161" width="17.25" style="246" customWidth="1"/>
    <col min="6162" max="6163" width="22.25" style="246" customWidth="1"/>
    <col min="6164" max="6164" width="36.625" style="246" customWidth="1"/>
    <col min="6165" max="6165" width="26.25" style="246" customWidth="1"/>
    <col min="6166" max="6166" width="19.875" style="246" customWidth="1"/>
    <col min="6167" max="6167" width="24" style="246" customWidth="1"/>
    <col min="6168" max="6168" width="22" style="246" customWidth="1"/>
    <col min="6169" max="6169" width="20" style="246" customWidth="1"/>
    <col min="6170" max="6399" width="9" style="246"/>
    <col min="6400" max="6400" width="4.625" style="246" customWidth="1"/>
    <col min="6401" max="6401" width="26.25" style="246" customWidth="1"/>
    <col min="6402" max="6402" width="13.625" style="246" customWidth="1"/>
    <col min="6403" max="6403" width="8.75" style="246" bestFit="1" customWidth="1"/>
    <col min="6404" max="6404" width="9.75" style="246" bestFit="1" customWidth="1"/>
    <col min="6405" max="6406" width="9.75" style="246" customWidth="1"/>
    <col min="6407" max="6407" width="18.875" style="246" customWidth="1"/>
    <col min="6408" max="6408" width="10.25" style="246" customWidth="1"/>
    <col min="6409" max="6409" width="18.875" style="246" customWidth="1"/>
    <col min="6410" max="6410" width="16.25" style="246" customWidth="1"/>
    <col min="6411" max="6411" width="17" style="246" customWidth="1"/>
    <col min="6412" max="6412" width="17.625" style="246" customWidth="1"/>
    <col min="6413" max="6413" width="19.875" style="246" customWidth="1"/>
    <col min="6414" max="6414" width="17" style="246" customWidth="1"/>
    <col min="6415" max="6415" width="16.375" style="246" customWidth="1"/>
    <col min="6416" max="6416" width="16.75" style="246" customWidth="1"/>
    <col min="6417" max="6417" width="17.25" style="246" customWidth="1"/>
    <col min="6418" max="6419" width="22.25" style="246" customWidth="1"/>
    <col min="6420" max="6420" width="36.625" style="246" customWidth="1"/>
    <col min="6421" max="6421" width="26.25" style="246" customWidth="1"/>
    <col min="6422" max="6422" width="19.875" style="246" customWidth="1"/>
    <col min="6423" max="6423" width="24" style="246" customWidth="1"/>
    <col min="6424" max="6424" width="22" style="246" customWidth="1"/>
    <col min="6425" max="6425" width="20" style="246" customWidth="1"/>
    <col min="6426" max="6655" width="9" style="246"/>
    <col min="6656" max="6656" width="4.625" style="246" customWidth="1"/>
    <col min="6657" max="6657" width="26.25" style="246" customWidth="1"/>
    <col min="6658" max="6658" width="13.625" style="246" customWidth="1"/>
    <col min="6659" max="6659" width="8.75" style="246" bestFit="1" customWidth="1"/>
    <col min="6660" max="6660" width="9.75" style="246" bestFit="1" customWidth="1"/>
    <col min="6661" max="6662" width="9.75" style="246" customWidth="1"/>
    <col min="6663" max="6663" width="18.875" style="246" customWidth="1"/>
    <col min="6664" max="6664" width="10.25" style="246" customWidth="1"/>
    <col min="6665" max="6665" width="18.875" style="246" customWidth="1"/>
    <col min="6666" max="6666" width="16.25" style="246" customWidth="1"/>
    <col min="6667" max="6667" width="17" style="246" customWidth="1"/>
    <col min="6668" max="6668" width="17.625" style="246" customWidth="1"/>
    <col min="6669" max="6669" width="19.875" style="246" customWidth="1"/>
    <col min="6670" max="6670" width="17" style="246" customWidth="1"/>
    <col min="6671" max="6671" width="16.375" style="246" customWidth="1"/>
    <col min="6672" max="6672" width="16.75" style="246" customWidth="1"/>
    <col min="6673" max="6673" width="17.25" style="246" customWidth="1"/>
    <col min="6674" max="6675" width="22.25" style="246" customWidth="1"/>
    <col min="6676" max="6676" width="36.625" style="246" customWidth="1"/>
    <col min="6677" max="6677" width="26.25" style="246" customWidth="1"/>
    <col min="6678" max="6678" width="19.875" style="246" customWidth="1"/>
    <col min="6679" max="6679" width="24" style="246" customWidth="1"/>
    <col min="6680" max="6680" width="22" style="246" customWidth="1"/>
    <col min="6681" max="6681" width="20" style="246" customWidth="1"/>
    <col min="6682" max="6911" width="9" style="246"/>
    <col min="6912" max="6912" width="4.625" style="246" customWidth="1"/>
    <col min="6913" max="6913" width="26.25" style="246" customWidth="1"/>
    <col min="6914" max="6914" width="13.625" style="246" customWidth="1"/>
    <col min="6915" max="6915" width="8.75" style="246" bestFit="1" customWidth="1"/>
    <col min="6916" max="6916" width="9.75" style="246" bestFit="1" customWidth="1"/>
    <col min="6917" max="6918" width="9.75" style="246" customWidth="1"/>
    <col min="6919" max="6919" width="18.875" style="246" customWidth="1"/>
    <col min="6920" max="6920" width="10.25" style="246" customWidth="1"/>
    <col min="6921" max="6921" width="18.875" style="246" customWidth="1"/>
    <col min="6922" max="6922" width="16.25" style="246" customWidth="1"/>
    <col min="6923" max="6923" width="17" style="246" customWidth="1"/>
    <col min="6924" max="6924" width="17.625" style="246" customWidth="1"/>
    <col min="6925" max="6925" width="19.875" style="246" customWidth="1"/>
    <col min="6926" max="6926" width="17" style="246" customWidth="1"/>
    <col min="6927" max="6927" width="16.375" style="246" customWidth="1"/>
    <col min="6928" max="6928" width="16.75" style="246" customWidth="1"/>
    <col min="6929" max="6929" width="17.25" style="246" customWidth="1"/>
    <col min="6930" max="6931" width="22.25" style="246" customWidth="1"/>
    <col min="6932" max="6932" width="36.625" style="246" customWidth="1"/>
    <col min="6933" max="6933" width="26.25" style="246" customWidth="1"/>
    <col min="6934" max="6934" width="19.875" style="246" customWidth="1"/>
    <col min="6935" max="6935" width="24" style="246" customWidth="1"/>
    <col min="6936" max="6936" width="22" style="246" customWidth="1"/>
    <col min="6937" max="6937" width="20" style="246" customWidth="1"/>
    <col min="6938" max="7167" width="9" style="246"/>
    <col min="7168" max="7168" width="4.625" style="246" customWidth="1"/>
    <col min="7169" max="7169" width="26.25" style="246" customWidth="1"/>
    <col min="7170" max="7170" width="13.625" style="246" customWidth="1"/>
    <col min="7171" max="7171" width="8.75" style="246" bestFit="1" customWidth="1"/>
    <col min="7172" max="7172" width="9.75" style="246" bestFit="1" customWidth="1"/>
    <col min="7173" max="7174" width="9.75" style="246" customWidth="1"/>
    <col min="7175" max="7175" width="18.875" style="246" customWidth="1"/>
    <col min="7176" max="7176" width="10.25" style="246" customWidth="1"/>
    <col min="7177" max="7177" width="18.875" style="246" customWidth="1"/>
    <col min="7178" max="7178" width="16.25" style="246" customWidth="1"/>
    <col min="7179" max="7179" width="17" style="246" customWidth="1"/>
    <col min="7180" max="7180" width="17.625" style="246" customWidth="1"/>
    <col min="7181" max="7181" width="19.875" style="246" customWidth="1"/>
    <col min="7182" max="7182" width="17" style="246" customWidth="1"/>
    <col min="7183" max="7183" width="16.375" style="246" customWidth="1"/>
    <col min="7184" max="7184" width="16.75" style="246" customWidth="1"/>
    <col min="7185" max="7185" width="17.25" style="246" customWidth="1"/>
    <col min="7186" max="7187" width="22.25" style="246" customWidth="1"/>
    <col min="7188" max="7188" width="36.625" style="246" customWidth="1"/>
    <col min="7189" max="7189" width="26.25" style="246" customWidth="1"/>
    <col min="7190" max="7190" width="19.875" style="246" customWidth="1"/>
    <col min="7191" max="7191" width="24" style="246" customWidth="1"/>
    <col min="7192" max="7192" width="22" style="246" customWidth="1"/>
    <col min="7193" max="7193" width="20" style="246" customWidth="1"/>
    <col min="7194" max="7423" width="9" style="246"/>
    <col min="7424" max="7424" width="4.625" style="246" customWidth="1"/>
    <col min="7425" max="7425" width="26.25" style="246" customWidth="1"/>
    <col min="7426" max="7426" width="13.625" style="246" customWidth="1"/>
    <col min="7427" max="7427" width="8.75" style="246" bestFit="1" customWidth="1"/>
    <col min="7428" max="7428" width="9.75" style="246" bestFit="1" customWidth="1"/>
    <col min="7429" max="7430" width="9.75" style="246" customWidth="1"/>
    <col min="7431" max="7431" width="18.875" style="246" customWidth="1"/>
    <col min="7432" max="7432" width="10.25" style="246" customWidth="1"/>
    <col min="7433" max="7433" width="18.875" style="246" customWidth="1"/>
    <col min="7434" max="7434" width="16.25" style="246" customWidth="1"/>
    <col min="7435" max="7435" width="17" style="246" customWidth="1"/>
    <col min="7436" max="7436" width="17.625" style="246" customWidth="1"/>
    <col min="7437" max="7437" width="19.875" style="246" customWidth="1"/>
    <col min="7438" max="7438" width="17" style="246" customWidth="1"/>
    <col min="7439" max="7439" width="16.375" style="246" customWidth="1"/>
    <col min="7440" max="7440" width="16.75" style="246" customWidth="1"/>
    <col min="7441" max="7441" width="17.25" style="246" customWidth="1"/>
    <col min="7442" max="7443" width="22.25" style="246" customWidth="1"/>
    <col min="7444" max="7444" width="36.625" style="246" customWidth="1"/>
    <col min="7445" max="7445" width="26.25" style="246" customWidth="1"/>
    <col min="7446" max="7446" width="19.875" style="246" customWidth="1"/>
    <col min="7447" max="7447" width="24" style="246" customWidth="1"/>
    <col min="7448" max="7448" width="22" style="246" customWidth="1"/>
    <col min="7449" max="7449" width="20" style="246" customWidth="1"/>
    <col min="7450" max="7679" width="9" style="246"/>
    <col min="7680" max="7680" width="4.625" style="246" customWidth="1"/>
    <col min="7681" max="7681" width="26.25" style="246" customWidth="1"/>
    <col min="7682" max="7682" width="13.625" style="246" customWidth="1"/>
    <col min="7683" max="7683" width="8.75" style="246" bestFit="1" customWidth="1"/>
    <col min="7684" max="7684" width="9.75" style="246" bestFit="1" customWidth="1"/>
    <col min="7685" max="7686" width="9.75" style="246" customWidth="1"/>
    <col min="7687" max="7687" width="18.875" style="246" customWidth="1"/>
    <col min="7688" max="7688" width="10.25" style="246" customWidth="1"/>
    <col min="7689" max="7689" width="18.875" style="246" customWidth="1"/>
    <col min="7690" max="7690" width="16.25" style="246" customWidth="1"/>
    <col min="7691" max="7691" width="17" style="246" customWidth="1"/>
    <col min="7692" max="7692" width="17.625" style="246" customWidth="1"/>
    <col min="7693" max="7693" width="19.875" style="246" customWidth="1"/>
    <col min="7694" max="7694" width="17" style="246" customWidth="1"/>
    <col min="7695" max="7695" width="16.375" style="246" customWidth="1"/>
    <col min="7696" max="7696" width="16.75" style="246" customWidth="1"/>
    <col min="7697" max="7697" width="17.25" style="246" customWidth="1"/>
    <col min="7698" max="7699" width="22.25" style="246" customWidth="1"/>
    <col min="7700" max="7700" width="36.625" style="246" customWidth="1"/>
    <col min="7701" max="7701" width="26.25" style="246" customWidth="1"/>
    <col min="7702" max="7702" width="19.875" style="246" customWidth="1"/>
    <col min="7703" max="7703" width="24" style="246" customWidth="1"/>
    <col min="7704" max="7704" width="22" style="246" customWidth="1"/>
    <col min="7705" max="7705" width="20" style="246" customWidth="1"/>
    <col min="7706" max="7935" width="9" style="246"/>
    <col min="7936" max="7936" width="4.625" style="246" customWidth="1"/>
    <col min="7937" max="7937" width="26.25" style="246" customWidth="1"/>
    <col min="7938" max="7938" width="13.625" style="246" customWidth="1"/>
    <col min="7939" max="7939" width="8.75" style="246" bestFit="1" customWidth="1"/>
    <col min="7940" max="7940" width="9.75" style="246" bestFit="1" customWidth="1"/>
    <col min="7941" max="7942" width="9.75" style="246" customWidth="1"/>
    <col min="7943" max="7943" width="18.875" style="246" customWidth="1"/>
    <col min="7944" max="7944" width="10.25" style="246" customWidth="1"/>
    <col min="7945" max="7945" width="18.875" style="246" customWidth="1"/>
    <col min="7946" max="7946" width="16.25" style="246" customWidth="1"/>
    <col min="7947" max="7947" width="17" style="246" customWidth="1"/>
    <col min="7948" max="7948" width="17.625" style="246" customWidth="1"/>
    <col min="7949" max="7949" width="19.875" style="246" customWidth="1"/>
    <col min="7950" max="7950" width="17" style="246" customWidth="1"/>
    <col min="7951" max="7951" width="16.375" style="246" customWidth="1"/>
    <col min="7952" max="7952" width="16.75" style="246" customWidth="1"/>
    <col min="7953" max="7953" width="17.25" style="246" customWidth="1"/>
    <col min="7954" max="7955" width="22.25" style="246" customWidth="1"/>
    <col min="7956" max="7956" width="36.625" style="246" customWidth="1"/>
    <col min="7957" max="7957" width="26.25" style="246" customWidth="1"/>
    <col min="7958" max="7958" width="19.875" style="246" customWidth="1"/>
    <col min="7959" max="7959" width="24" style="246" customWidth="1"/>
    <col min="7960" max="7960" width="22" style="246" customWidth="1"/>
    <col min="7961" max="7961" width="20" style="246" customWidth="1"/>
    <col min="7962" max="8191" width="9" style="246"/>
    <col min="8192" max="8192" width="4.625" style="246" customWidth="1"/>
    <col min="8193" max="8193" width="26.25" style="246" customWidth="1"/>
    <col min="8194" max="8194" width="13.625" style="246" customWidth="1"/>
    <col min="8195" max="8195" width="8.75" style="246" bestFit="1" customWidth="1"/>
    <col min="8196" max="8196" width="9.75" style="246" bestFit="1" customWidth="1"/>
    <col min="8197" max="8198" width="9.75" style="246" customWidth="1"/>
    <col min="8199" max="8199" width="18.875" style="246" customWidth="1"/>
    <col min="8200" max="8200" width="10.25" style="246" customWidth="1"/>
    <col min="8201" max="8201" width="18.875" style="246" customWidth="1"/>
    <col min="8202" max="8202" width="16.25" style="246" customWidth="1"/>
    <col min="8203" max="8203" width="17" style="246" customWidth="1"/>
    <col min="8204" max="8204" width="17.625" style="246" customWidth="1"/>
    <col min="8205" max="8205" width="19.875" style="246" customWidth="1"/>
    <col min="8206" max="8206" width="17" style="246" customWidth="1"/>
    <col min="8207" max="8207" width="16.375" style="246" customWidth="1"/>
    <col min="8208" max="8208" width="16.75" style="246" customWidth="1"/>
    <col min="8209" max="8209" width="17.25" style="246" customWidth="1"/>
    <col min="8210" max="8211" width="22.25" style="246" customWidth="1"/>
    <col min="8212" max="8212" width="36.625" style="246" customWidth="1"/>
    <col min="8213" max="8213" width="26.25" style="246" customWidth="1"/>
    <col min="8214" max="8214" width="19.875" style="246" customWidth="1"/>
    <col min="8215" max="8215" width="24" style="246" customWidth="1"/>
    <col min="8216" max="8216" width="22" style="246" customWidth="1"/>
    <col min="8217" max="8217" width="20" style="246" customWidth="1"/>
    <col min="8218" max="8447" width="9" style="246"/>
    <col min="8448" max="8448" width="4.625" style="246" customWidth="1"/>
    <col min="8449" max="8449" width="26.25" style="246" customWidth="1"/>
    <col min="8450" max="8450" width="13.625" style="246" customWidth="1"/>
    <col min="8451" max="8451" width="8.75" style="246" bestFit="1" customWidth="1"/>
    <col min="8452" max="8452" width="9.75" style="246" bestFit="1" customWidth="1"/>
    <col min="8453" max="8454" width="9.75" style="246" customWidth="1"/>
    <col min="8455" max="8455" width="18.875" style="246" customWidth="1"/>
    <col min="8456" max="8456" width="10.25" style="246" customWidth="1"/>
    <col min="8457" max="8457" width="18.875" style="246" customWidth="1"/>
    <col min="8458" max="8458" width="16.25" style="246" customWidth="1"/>
    <col min="8459" max="8459" width="17" style="246" customWidth="1"/>
    <col min="8460" max="8460" width="17.625" style="246" customWidth="1"/>
    <col min="8461" max="8461" width="19.875" style="246" customWidth="1"/>
    <col min="8462" max="8462" width="17" style="246" customWidth="1"/>
    <col min="8463" max="8463" width="16.375" style="246" customWidth="1"/>
    <col min="8464" max="8464" width="16.75" style="246" customWidth="1"/>
    <col min="8465" max="8465" width="17.25" style="246" customWidth="1"/>
    <col min="8466" max="8467" width="22.25" style="246" customWidth="1"/>
    <col min="8468" max="8468" width="36.625" style="246" customWidth="1"/>
    <col min="8469" max="8469" width="26.25" style="246" customWidth="1"/>
    <col min="8470" max="8470" width="19.875" style="246" customWidth="1"/>
    <col min="8471" max="8471" width="24" style="246" customWidth="1"/>
    <col min="8472" max="8472" width="22" style="246" customWidth="1"/>
    <col min="8473" max="8473" width="20" style="246" customWidth="1"/>
    <col min="8474" max="8703" width="9" style="246"/>
    <col min="8704" max="8704" width="4.625" style="246" customWidth="1"/>
    <col min="8705" max="8705" width="26.25" style="246" customWidth="1"/>
    <col min="8706" max="8706" width="13.625" style="246" customWidth="1"/>
    <col min="8707" max="8707" width="8.75" style="246" bestFit="1" customWidth="1"/>
    <col min="8708" max="8708" width="9.75" style="246" bestFit="1" customWidth="1"/>
    <col min="8709" max="8710" width="9.75" style="246" customWidth="1"/>
    <col min="8711" max="8711" width="18.875" style="246" customWidth="1"/>
    <col min="8712" max="8712" width="10.25" style="246" customWidth="1"/>
    <col min="8713" max="8713" width="18.875" style="246" customWidth="1"/>
    <col min="8714" max="8714" width="16.25" style="246" customWidth="1"/>
    <col min="8715" max="8715" width="17" style="246" customWidth="1"/>
    <col min="8716" max="8716" width="17.625" style="246" customWidth="1"/>
    <col min="8717" max="8717" width="19.875" style="246" customWidth="1"/>
    <col min="8718" max="8718" width="17" style="246" customWidth="1"/>
    <col min="8719" max="8719" width="16.375" style="246" customWidth="1"/>
    <col min="8720" max="8720" width="16.75" style="246" customWidth="1"/>
    <col min="8721" max="8721" width="17.25" style="246" customWidth="1"/>
    <col min="8722" max="8723" width="22.25" style="246" customWidth="1"/>
    <col min="8724" max="8724" width="36.625" style="246" customWidth="1"/>
    <col min="8725" max="8725" width="26.25" style="246" customWidth="1"/>
    <col min="8726" max="8726" width="19.875" style="246" customWidth="1"/>
    <col min="8727" max="8727" width="24" style="246" customWidth="1"/>
    <col min="8728" max="8728" width="22" style="246" customWidth="1"/>
    <col min="8729" max="8729" width="20" style="246" customWidth="1"/>
    <col min="8730" max="8959" width="9" style="246"/>
    <col min="8960" max="8960" width="4.625" style="246" customWidth="1"/>
    <col min="8961" max="8961" width="26.25" style="246" customWidth="1"/>
    <col min="8962" max="8962" width="13.625" style="246" customWidth="1"/>
    <col min="8963" max="8963" width="8.75" style="246" bestFit="1" customWidth="1"/>
    <col min="8964" max="8964" width="9.75" style="246" bestFit="1" customWidth="1"/>
    <col min="8965" max="8966" width="9.75" style="246" customWidth="1"/>
    <col min="8967" max="8967" width="18.875" style="246" customWidth="1"/>
    <col min="8968" max="8968" width="10.25" style="246" customWidth="1"/>
    <col min="8969" max="8969" width="18.875" style="246" customWidth="1"/>
    <col min="8970" max="8970" width="16.25" style="246" customWidth="1"/>
    <col min="8971" max="8971" width="17" style="246" customWidth="1"/>
    <col min="8972" max="8972" width="17.625" style="246" customWidth="1"/>
    <col min="8973" max="8973" width="19.875" style="246" customWidth="1"/>
    <col min="8974" max="8974" width="17" style="246" customWidth="1"/>
    <col min="8975" max="8975" width="16.375" style="246" customWidth="1"/>
    <col min="8976" max="8976" width="16.75" style="246" customWidth="1"/>
    <col min="8977" max="8977" width="17.25" style="246" customWidth="1"/>
    <col min="8978" max="8979" width="22.25" style="246" customWidth="1"/>
    <col min="8980" max="8980" width="36.625" style="246" customWidth="1"/>
    <col min="8981" max="8981" width="26.25" style="246" customWidth="1"/>
    <col min="8982" max="8982" width="19.875" style="246" customWidth="1"/>
    <col min="8983" max="8983" width="24" style="246" customWidth="1"/>
    <col min="8984" max="8984" width="22" style="246" customWidth="1"/>
    <col min="8985" max="8985" width="20" style="246" customWidth="1"/>
    <col min="8986" max="9215" width="9" style="246"/>
    <col min="9216" max="9216" width="4.625" style="246" customWidth="1"/>
    <col min="9217" max="9217" width="26.25" style="246" customWidth="1"/>
    <col min="9218" max="9218" width="13.625" style="246" customWidth="1"/>
    <col min="9219" max="9219" width="8.75" style="246" bestFit="1" customWidth="1"/>
    <col min="9220" max="9220" width="9.75" style="246" bestFit="1" customWidth="1"/>
    <col min="9221" max="9222" width="9.75" style="246" customWidth="1"/>
    <col min="9223" max="9223" width="18.875" style="246" customWidth="1"/>
    <col min="9224" max="9224" width="10.25" style="246" customWidth="1"/>
    <col min="9225" max="9225" width="18.875" style="246" customWidth="1"/>
    <col min="9226" max="9226" width="16.25" style="246" customWidth="1"/>
    <col min="9227" max="9227" width="17" style="246" customWidth="1"/>
    <col min="9228" max="9228" width="17.625" style="246" customWidth="1"/>
    <col min="9229" max="9229" width="19.875" style="246" customWidth="1"/>
    <col min="9230" max="9230" width="17" style="246" customWidth="1"/>
    <col min="9231" max="9231" width="16.375" style="246" customWidth="1"/>
    <col min="9232" max="9232" width="16.75" style="246" customWidth="1"/>
    <col min="9233" max="9233" width="17.25" style="246" customWidth="1"/>
    <col min="9234" max="9235" width="22.25" style="246" customWidth="1"/>
    <col min="9236" max="9236" width="36.625" style="246" customWidth="1"/>
    <col min="9237" max="9237" width="26.25" style="246" customWidth="1"/>
    <col min="9238" max="9238" width="19.875" style="246" customWidth="1"/>
    <col min="9239" max="9239" width="24" style="246" customWidth="1"/>
    <col min="9240" max="9240" width="22" style="246" customWidth="1"/>
    <col min="9241" max="9241" width="20" style="246" customWidth="1"/>
    <col min="9242" max="9471" width="9" style="246"/>
    <col min="9472" max="9472" width="4.625" style="246" customWidth="1"/>
    <col min="9473" max="9473" width="26.25" style="246" customWidth="1"/>
    <col min="9474" max="9474" width="13.625" style="246" customWidth="1"/>
    <col min="9475" max="9475" width="8.75" style="246" bestFit="1" customWidth="1"/>
    <col min="9476" max="9476" width="9.75" style="246" bestFit="1" customWidth="1"/>
    <col min="9477" max="9478" width="9.75" style="246" customWidth="1"/>
    <col min="9479" max="9479" width="18.875" style="246" customWidth="1"/>
    <col min="9480" max="9480" width="10.25" style="246" customWidth="1"/>
    <col min="9481" max="9481" width="18.875" style="246" customWidth="1"/>
    <col min="9482" max="9482" width="16.25" style="246" customWidth="1"/>
    <col min="9483" max="9483" width="17" style="246" customWidth="1"/>
    <col min="9484" max="9484" width="17.625" style="246" customWidth="1"/>
    <col min="9485" max="9485" width="19.875" style="246" customWidth="1"/>
    <col min="9486" max="9486" width="17" style="246" customWidth="1"/>
    <col min="9487" max="9487" width="16.375" style="246" customWidth="1"/>
    <col min="9488" max="9488" width="16.75" style="246" customWidth="1"/>
    <col min="9489" max="9489" width="17.25" style="246" customWidth="1"/>
    <col min="9490" max="9491" width="22.25" style="246" customWidth="1"/>
    <col min="9492" max="9492" width="36.625" style="246" customWidth="1"/>
    <col min="9493" max="9493" width="26.25" style="246" customWidth="1"/>
    <col min="9494" max="9494" width="19.875" style="246" customWidth="1"/>
    <col min="9495" max="9495" width="24" style="246" customWidth="1"/>
    <col min="9496" max="9496" width="22" style="246" customWidth="1"/>
    <col min="9497" max="9497" width="20" style="246" customWidth="1"/>
    <col min="9498" max="9727" width="9" style="246"/>
    <col min="9728" max="9728" width="4.625" style="246" customWidth="1"/>
    <col min="9729" max="9729" width="26.25" style="246" customWidth="1"/>
    <col min="9730" max="9730" width="13.625" style="246" customWidth="1"/>
    <col min="9731" max="9731" width="8.75" style="246" bestFit="1" customWidth="1"/>
    <col min="9732" max="9732" width="9.75" style="246" bestFit="1" customWidth="1"/>
    <col min="9733" max="9734" width="9.75" style="246" customWidth="1"/>
    <col min="9735" max="9735" width="18.875" style="246" customWidth="1"/>
    <col min="9736" max="9736" width="10.25" style="246" customWidth="1"/>
    <col min="9737" max="9737" width="18.875" style="246" customWidth="1"/>
    <col min="9738" max="9738" width="16.25" style="246" customWidth="1"/>
    <col min="9739" max="9739" width="17" style="246" customWidth="1"/>
    <col min="9740" max="9740" width="17.625" style="246" customWidth="1"/>
    <col min="9741" max="9741" width="19.875" style="246" customWidth="1"/>
    <col min="9742" max="9742" width="17" style="246" customWidth="1"/>
    <col min="9743" max="9743" width="16.375" style="246" customWidth="1"/>
    <col min="9744" max="9744" width="16.75" style="246" customWidth="1"/>
    <col min="9745" max="9745" width="17.25" style="246" customWidth="1"/>
    <col min="9746" max="9747" width="22.25" style="246" customWidth="1"/>
    <col min="9748" max="9748" width="36.625" style="246" customWidth="1"/>
    <col min="9749" max="9749" width="26.25" style="246" customWidth="1"/>
    <col min="9750" max="9750" width="19.875" style="246" customWidth="1"/>
    <col min="9751" max="9751" width="24" style="246" customWidth="1"/>
    <col min="9752" max="9752" width="22" style="246" customWidth="1"/>
    <col min="9753" max="9753" width="20" style="246" customWidth="1"/>
    <col min="9754" max="9983" width="9" style="246"/>
    <col min="9984" max="9984" width="4.625" style="246" customWidth="1"/>
    <col min="9985" max="9985" width="26.25" style="246" customWidth="1"/>
    <col min="9986" max="9986" width="13.625" style="246" customWidth="1"/>
    <col min="9987" max="9987" width="8.75" style="246" bestFit="1" customWidth="1"/>
    <col min="9988" max="9988" width="9.75" style="246" bestFit="1" customWidth="1"/>
    <col min="9989" max="9990" width="9.75" style="246" customWidth="1"/>
    <col min="9991" max="9991" width="18.875" style="246" customWidth="1"/>
    <col min="9992" max="9992" width="10.25" style="246" customWidth="1"/>
    <col min="9993" max="9993" width="18.875" style="246" customWidth="1"/>
    <col min="9994" max="9994" width="16.25" style="246" customWidth="1"/>
    <col min="9995" max="9995" width="17" style="246" customWidth="1"/>
    <col min="9996" max="9996" width="17.625" style="246" customWidth="1"/>
    <col min="9997" max="9997" width="19.875" style="246" customWidth="1"/>
    <col min="9998" max="9998" width="17" style="246" customWidth="1"/>
    <col min="9999" max="9999" width="16.375" style="246" customWidth="1"/>
    <col min="10000" max="10000" width="16.75" style="246" customWidth="1"/>
    <col min="10001" max="10001" width="17.25" style="246" customWidth="1"/>
    <col min="10002" max="10003" width="22.25" style="246" customWidth="1"/>
    <col min="10004" max="10004" width="36.625" style="246" customWidth="1"/>
    <col min="10005" max="10005" width="26.25" style="246" customWidth="1"/>
    <col min="10006" max="10006" width="19.875" style="246" customWidth="1"/>
    <col min="10007" max="10007" width="24" style="246" customWidth="1"/>
    <col min="10008" max="10008" width="22" style="246" customWidth="1"/>
    <col min="10009" max="10009" width="20" style="246" customWidth="1"/>
    <col min="10010" max="10239" width="9" style="246"/>
    <col min="10240" max="10240" width="4.625" style="246" customWidth="1"/>
    <col min="10241" max="10241" width="26.25" style="246" customWidth="1"/>
    <col min="10242" max="10242" width="13.625" style="246" customWidth="1"/>
    <col min="10243" max="10243" width="8.75" style="246" bestFit="1" customWidth="1"/>
    <col min="10244" max="10244" width="9.75" style="246" bestFit="1" customWidth="1"/>
    <col min="10245" max="10246" width="9.75" style="246" customWidth="1"/>
    <col min="10247" max="10247" width="18.875" style="246" customWidth="1"/>
    <col min="10248" max="10248" width="10.25" style="246" customWidth="1"/>
    <col min="10249" max="10249" width="18.875" style="246" customWidth="1"/>
    <col min="10250" max="10250" width="16.25" style="246" customWidth="1"/>
    <col min="10251" max="10251" width="17" style="246" customWidth="1"/>
    <col min="10252" max="10252" width="17.625" style="246" customWidth="1"/>
    <col min="10253" max="10253" width="19.875" style="246" customWidth="1"/>
    <col min="10254" max="10254" width="17" style="246" customWidth="1"/>
    <col min="10255" max="10255" width="16.375" style="246" customWidth="1"/>
    <col min="10256" max="10256" width="16.75" style="246" customWidth="1"/>
    <col min="10257" max="10257" width="17.25" style="246" customWidth="1"/>
    <col min="10258" max="10259" width="22.25" style="246" customWidth="1"/>
    <col min="10260" max="10260" width="36.625" style="246" customWidth="1"/>
    <col min="10261" max="10261" width="26.25" style="246" customWidth="1"/>
    <col min="10262" max="10262" width="19.875" style="246" customWidth="1"/>
    <col min="10263" max="10263" width="24" style="246" customWidth="1"/>
    <col min="10264" max="10264" width="22" style="246" customWidth="1"/>
    <col min="10265" max="10265" width="20" style="246" customWidth="1"/>
    <col min="10266" max="10495" width="9" style="246"/>
    <col min="10496" max="10496" width="4.625" style="246" customWidth="1"/>
    <col min="10497" max="10497" width="26.25" style="246" customWidth="1"/>
    <col min="10498" max="10498" width="13.625" style="246" customWidth="1"/>
    <col min="10499" max="10499" width="8.75" style="246" bestFit="1" customWidth="1"/>
    <col min="10500" max="10500" width="9.75" style="246" bestFit="1" customWidth="1"/>
    <col min="10501" max="10502" width="9.75" style="246" customWidth="1"/>
    <col min="10503" max="10503" width="18.875" style="246" customWidth="1"/>
    <col min="10504" max="10504" width="10.25" style="246" customWidth="1"/>
    <col min="10505" max="10505" width="18.875" style="246" customWidth="1"/>
    <col min="10506" max="10506" width="16.25" style="246" customWidth="1"/>
    <col min="10507" max="10507" width="17" style="246" customWidth="1"/>
    <col min="10508" max="10508" width="17.625" style="246" customWidth="1"/>
    <col min="10509" max="10509" width="19.875" style="246" customWidth="1"/>
    <col min="10510" max="10510" width="17" style="246" customWidth="1"/>
    <col min="10511" max="10511" width="16.375" style="246" customWidth="1"/>
    <col min="10512" max="10512" width="16.75" style="246" customWidth="1"/>
    <col min="10513" max="10513" width="17.25" style="246" customWidth="1"/>
    <col min="10514" max="10515" width="22.25" style="246" customWidth="1"/>
    <col min="10516" max="10516" width="36.625" style="246" customWidth="1"/>
    <col min="10517" max="10517" width="26.25" style="246" customWidth="1"/>
    <col min="10518" max="10518" width="19.875" style="246" customWidth="1"/>
    <col min="10519" max="10519" width="24" style="246" customWidth="1"/>
    <col min="10520" max="10520" width="22" style="246" customWidth="1"/>
    <col min="10521" max="10521" width="20" style="246" customWidth="1"/>
    <col min="10522" max="10751" width="9" style="246"/>
    <col min="10752" max="10752" width="4.625" style="246" customWidth="1"/>
    <col min="10753" max="10753" width="26.25" style="246" customWidth="1"/>
    <col min="10754" max="10754" width="13.625" style="246" customWidth="1"/>
    <col min="10755" max="10755" width="8.75" style="246" bestFit="1" customWidth="1"/>
    <col min="10756" max="10756" width="9.75" style="246" bestFit="1" customWidth="1"/>
    <col min="10757" max="10758" width="9.75" style="246" customWidth="1"/>
    <col min="10759" max="10759" width="18.875" style="246" customWidth="1"/>
    <col min="10760" max="10760" width="10.25" style="246" customWidth="1"/>
    <col min="10761" max="10761" width="18.875" style="246" customWidth="1"/>
    <col min="10762" max="10762" width="16.25" style="246" customWidth="1"/>
    <col min="10763" max="10763" width="17" style="246" customWidth="1"/>
    <col min="10764" max="10764" width="17.625" style="246" customWidth="1"/>
    <col min="10765" max="10765" width="19.875" style="246" customWidth="1"/>
    <col min="10766" max="10766" width="17" style="246" customWidth="1"/>
    <col min="10767" max="10767" width="16.375" style="246" customWidth="1"/>
    <col min="10768" max="10768" width="16.75" style="246" customWidth="1"/>
    <col min="10769" max="10769" width="17.25" style="246" customWidth="1"/>
    <col min="10770" max="10771" width="22.25" style="246" customWidth="1"/>
    <col min="10772" max="10772" width="36.625" style="246" customWidth="1"/>
    <col min="10773" max="10773" width="26.25" style="246" customWidth="1"/>
    <col min="10774" max="10774" width="19.875" style="246" customWidth="1"/>
    <col min="10775" max="10775" width="24" style="246" customWidth="1"/>
    <col min="10776" max="10776" width="22" style="246" customWidth="1"/>
    <col min="10777" max="10777" width="20" style="246" customWidth="1"/>
    <col min="10778" max="11007" width="9" style="246"/>
    <col min="11008" max="11008" width="4.625" style="246" customWidth="1"/>
    <col min="11009" max="11009" width="26.25" style="246" customWidth="1"/>
    <col min="11010" max="11010" width="13.625" style="246" customWidth="1"/>
    <col min="11011" max="11011" width="8.75" style="246" bestFit="1" customWidth="1"/>
    <col min="11012" max="11012" width="9.75" style="246" bestFit="1" customWidth="1"/>
    <col min="11013" max="11014" width="9.75" style="246" customWidth="1"/>
    <col min="11015" max="11015" width="18.875" style="246" customWidth="1"/>
    <col min="11016" max="11016" width="10.25" style="246" customWidth="1"/>
    <col min="11017" max="11017" width="18.875" style="246" customWidth="1"/>
    <col min="11018" max="11018" width="16.25" style="246" customWidth="1"/>
    <col min="11019" max="11019" width="17" style="246" customWidth="1"/>
    <col min="11020" max="11020" width="17.625" style="246" customWidth="1"/>
    <col min="11021" max="11021" width="19.875" style="246" customWidth="1"/>
    <col min="11022" max="11022" width="17" style="246" customWidth="1"/>
    <col min="11023" max="11023" width="16.375" style="246" customWidth="1"/>
    <col min="11024" max="11024" width="16.75" style="246" customWidth="1"/>
    <col min="11025" max="11025" width="17.25" style="246" customWidth="1"/>
    <col min="11026" max="11027" width="22.25" style="246" customWidth="1"/>
    <col min="11028" max="11028" width="36.625" style="246" customWidth="1"/>
    <col min="11029" max="11029" width="26.25" style="246" customWidth="1"/>
    <col min="11030" max="11030" width="19.875" style="246" customWidth="1"/>
    <col min="11031" max="11031" width="24" style="246" customWidth="1"/>
    <col min="11032" max="11032" width="22" style="246" customWidth="1"/>
    <col min="11033" max="11033" width="20" style="246" customWidth="1"/>
    <col min="11034" max="11263" width="9" style="246"/>
    <col min="11264" max="11264" width="4.625" style="246" customWidth="1"/>
    <col min="11265" max="11265" width="26.25" style="246" customWidth="1"/>
    <col min="11266" max="11266" width="13.625" style="246" customWidth="1"/>
    <col min="11267" max="11267" width="8.75" style="246" bestFit="1" customWidth="1"/>
    <col min="11268" max="11268" width="9.75" style="246" bestFit="1" customWidth="1"/>
    <col min="11269" max="11270" width="9.75" style="246" customWidth="1"/>
    <col min="11271" max="11271" width="18.875" style="246" customWidth="1"/>
    <col min="11272" max="11272" width="10.25" style="246" customWidth="1"/>
    <col min="11273" max="11273" width="18.875" style="246" customWidth="1"/>
    <col min="11274" max="11274" width="16.25" style="246" customWidth="1"/>
    <col min="11275" max="11275" width="17" style="246" customWidth="1"/>
    <col min="11276" max="11276" width="17.625" style="246" customWidth="1"/>
    <col min="11277" max="11277" width="19.875" style="246" customWidth="1"/>
    <col min="11278" max="11278" width="17" style="246" customWidth="1"/>
    <col min="11279" max="11279" width="16.375" style="246" customWidth="1"/>
    <col min="11280" max="11280" width="16.75" style="246" customWidth="1"/>
    <col min="11281" max="11281" width="17.25" style="246" customWidth="1"/>
    <col min="11282" max="11283" width="22.25" style="246" customWidth="1"/>
    <col min="11284" max="11284" width="36.625" style="246" customWidth="1"/>
    <col min="11285" max="11285" width="26.25" style="246" customWidth="1"/>
    <col min="11286" max="11286" width="19.875" style="246" customWidth="1"/>
    <col min="11287" max="11287" width="24" style="246" customWidth="1"/>
    <col min="11288" max="11288" width="22" style="246" customWidth="1"/>
    <col min="11289" max="11289" width="20" style="246" customWidth="1"/>
    <col min="11290" max="11519" width="9" style="246"/>
    <col min="11520" max="11520" width="4.625" style="246" customWidth="1"/>
    <col min="11521" max="11521" width="26.25" style="246" customWidth="1"/>
    <col min="11522" max="11522" width="13.625" style="246" customWidth="1"/>
    <col min="11523" max="11523" width="8.75" style="246" bestFit="1" customWidth="1"/>
    <col min="11524" max="11524" width="9.75" style="246" bestFit="1" customWidth="1"/>
    <col min="11525" max="11526" width="9.75" style="246" customWidth="1"/>
    <col min="11527" max="11527" width="18.875" style="246" customWidth="1"/>
    <col min="11528" max="11528" width="10.25" style="246" customWidth="1"/>
    <col min="11529" max="11529" width="18.875" style="246" customWidth="1"/>
    <col min="11530" max="11530" width="16.25" style="246" customWidth="1"/>
    <col min="11531" max="11531" width="17" style="246" customWidth="1"/>
    <col min="11532" max="11532" width="17.625" style="246" customWidth="1"/>
    <col min="11533" max="11533" width="19.875" style="246" customWidth="1"/>
    <col min="11534" max="11534" width="17" style="246" customWidth="1"/>
    <col min="11535" max="11535" width="16.375" style="246" customWidth="1"/>
    <col min="11536" max="11536" width="16.75" style="246" customWidth="1"/>
    <col min="11537" max="11537" width="17.25" style="246" customWidth="1"/>
    <col min="11538" max="11539" width="22.25" style="246" customWidth="1"/>
    <col min="11540" max="11540" width="36.625" style="246" customWidth="1"/>
    <col min="11541" max="11541" width="26.25" style="246" customWidth="1"/>
    <col min="11542" max="11542" width="19.875" style="246" customWidth="1"/>
    <col min="11543" max="11543" width="24" style="246" customWidth="1"/>
    <col min="11544" max="11544" width="22" style="246" customWidth="1"/>
    <col min="11545" max="11545" width="20" style="246" customWidth="1"/>
    <col min="11546" max="11775" width="9" style="246"/>
    <col min="11776" max="11776" width="4.625" style="246" customWidth="1"/>
    <col min="11777" max="11777" width="26.25" style="246" customWidth="1"/>
    <col min="11778" max="11778" width="13.625" style="246" customWidth="1"/>
    <col min="11779" max="11779" width="8.75" style="246" bestFit="1" customWidth="1"/>
    <col min="11780" max="11780" width="9.75" style="246" bestFit="1" customWidth="1"/>
    <col min="11781" max="11782" width="9.75" style="246" customWidth="1"/>
    <col min="11783" max="11783" width="18.875" style="246" customWidth="1"/>
    <col min="11784" max="11784" width="10.25" style="246" customWidth="1"/>
    <col min="11785" max="11785" width="18.875" style="246" customWidth="1"/>
    <col min="11786" max="11786" width="16.25" style="246" customWidth="1"/>
    <col min="11787" max="11787" width="17" style="246" customWidth="1"/>
    <col min="11788" max="11788" width="17.625" style="246" customWidth="1"/>
    <col min="11789" max="11789" width="19.875" style="246" customWidth="1"/>
    <col min="11790" max="11790" width="17" style="246" customWidth="1"/>
    <col min="11791" max="11791" width="16.375" style="246" customWidth="1"/>
    <col min="11792" max="11792" width="16.75" style="246" customWidth="1"/>
    <col min="11793" max="11793" width="17.25" style="246" customWidth="1"/>
    <col min="11794" max="11795" width="22.25" style="246" customWidth="1"/>
    <col min="11796" max="11796" width="36.625" style="246" customWidth="1"/>
    <col min="11797" max="11797" width="26.25" style="246" customWidth="1"/>
    <col min="11798" max="11798" width="19.875" style="246" customWidth="1"/>
    <col min="11799" max="11799" width="24" style="246" customWidth="1"/>
    <col min="11800" max="11800" width="22" style="246" customWidth="1"/>
    <col min="11801" max="11801" width="20" style="246" customWidth="1"/>
    <col min="11802" max="12031" width="9" style="246"/>
    <col min="12032" max="12032" width="4.625" style="246" customWidth="1"/>
    <col min="12033" max="12033" width="26.25" style="246" customWidth="1"/>
    <col min="12034" max="12034" width="13.625" style="246" customWidth="1"/>
    <col min="12035" max="12035" width="8.75" style="246" bestFit="1" customWidth="1"/>
    <col min="12036" max="12036" width="9.75" style="246" bestFit="1" customWidth="1"/>
    <col min="12037" max="12038" width="9.75" style="246" customWidth="1"/>
    <col min="12039" max="12039" width="18.875" style="246" customWidth="1"/>
    <col min="12040" max="12040" width="10.25" style="246" customWidth="1"/>
    <col min="12041" max="12041" width="18.875" style="246" customWidth="1"/>
    <col min="12042" max="12042" width="16.25" style="246" customWidth="1"/>
    <col min="12043" max="12043" width="17" style="246" customWidth="1"/>
    <col min="12044" max="12044" width="17.625" style="246" customWidth="1"/>
    <col min="12045" max="12045" width="19.875" style="246" customWidth="1"/>
    <col min="12046" max="12046" width="17" style="246" customWidth="1"/>
    <col min="12047" max="12047" width="16.375" style="246" customWidth="1"/>
    <col min="12048" max="12048" width="16.75" style="246" customWidth="1"/>
    <col min="12049" max="12049" width="17.25" style="246" customWidth="1"/>
    <col min="12050" max="12051" width="22.25" style="246" customWidth="1"/>
    <col min="12052" max="12052" width="36.625" style="246" customWidth="1"/>
    <col min="12053" max="12053" width="26.25" style="246" customWidth="1"/>
    <col min="12054" max="12054" width="19.875" style="246" customWidth="1"/>
    <col min="12055" max="12055" width="24" style="246" customWidth="1"/>
    <col min="12056" max="12056" width="22" style="246" customWidth="1"/>
    <col min="12057" max="12057" width="20" style="246" customWidth="1"/>
    <col min="12058" max="12287" width="9" style="246"/>
    <col min="12288" max="12288" width="4.625" style="246" customWidth="1"/>
    <col min="12289" max="12289" width="26.25" style="246" customWidth="1"/>
    <col min="12290" max="12290" width="13.625" style="246" customWidth="1"/>
    <col min="12291" max="12291" width="8.75" style="246" bestFit="1" customWidth="1"/>
    <col min="12292" max="12292" width="9.75" style="246" bestFit="1" customWidth="1"/>
    <col min="12293" max="12294" width="9.75" style="246" customWidth="1"/>
    <col min="12295" max="12295" width="18.875" style="246" customWidth="1"/>
    <col min="12296" max="12296" width="10.25" style="246" customWidth="1"/>
    <col min="12297" max="12297" width="18.875" style="246" customWidth="1"/>
    <col min="12298" max="12298" width="16.25" style="246" customWidth="1"/>
    <col min="12299" max="12299" width="17" style="246" customWidth="1"/>
    <col min="12300" max="12300" width="17.625" style="246" customWidth="1"/>
    <col min="12301" max="12301" width="19.875" style="246" customWidth="1"/>
    <col min="12302" max="12302" width="17" style="246" customWidth="1"/>
    <col min="12303" max="12303" width="16.375" style="246" customWidth="1"/>
    <col min="12304" max="12304" width="16.75" style="246" customWidth="1"/>
    <col min="12305" max="12305" width="17.25" style="246" customWidth="1"/>
    <col min="12306" max="12307" width="22.25" style="246" customWidth="1"/>
    <col min="12308" max="12308" width="36.625" style="246" customWidth="1"/>
    <col min="12309" max="12309" width="26.25" style="246" customWidth="1"/>
    <col min="12310" max="12310" width="19.875" style="246" customWidth="1"/>
    <col min="12311" max="12311" width="24" style="246" customWidth="1"/>
    <col min="12312" max="12312" width="22" style="246" customWidth="1"/>
    <col min="12313" max="12313" width="20" style="246" customWidth="1"/>
    <col min="12314" max="12543" width="9" style="246"/>
    <col min="12544" max="12544" width="4.625" style="246" customWidth="1"/>
    <col min="12545" max="12545" width="26.25" style="246" customWidth="1"/>
    <col min="12546" max="12546" width="13.625" style="246" customWidth="1"/>
    <col min="12547" max="12547" width="8.75" style="246" bestFit="1" customWidth="1"/>
    <col min="12548" max="12548" width="9.75" style="246" bestFit="1" customWidth="1"/>
    <col min="12549" max="12550" width="9.75" style="246" customWidth="1"/>
    <col min="12551" max="12551" width="18.875" style="246" customWidth="1"/>
    <col min="12552" max="12552" width="10.25" style="246" customWidth="1"/>
    <col min="12553" max="12553" width="18.875" style="246" customWidth="1"/>
    <col min="12554" max="12554" width="16.25" style="246" customWidth="1"/>
    <col min="12555" max="12555" width="17" style="246" customWidth="1"/>
    <col min="12556" max="12556" width="17.625" style="246" customWidth="1"/>
    <col min="12557" max="12557" width="19.875" style="246" customWidth="1"/>
    <col min="12558" max="12558" width="17" style="246" customWidth="1"/>
    <col min="12559" max="12559" width="16.375" style="246" customWidth="1"/>
    <col min="12560" max="12560" width="16.75" style="246" customWidth="1"/>
    <col min="12561" max="12561" width="17.25" style="246" customWidth="1"/>
    <col min="12562" max="12563" width="22.25" style="246" customWidth="1"/>
    <col min="12564" max="12564" width="36.625" style="246" customWidth="1"/>
    <col min="12565" max="12565" width="26.25" style="246" customWidth="1"/>
    <col min="12566" max="12566" width="19.875" style="246" customWidth="1"/>
    <col min="12567" max="12567" width="24" style="246" customWidth="1"/>
    <col min="12568" max="12568" width="22" style="246" customWidth="1"/>
    <col min="12569" max="12569" width="20" style="246" customWidth="1"/>
    <col min="12570" max="12799" width="9" style="246"/>
    <col min="12800" max="12800" width="4.625" style="246" customWidth="1"/>
    <col min="12801" max="12801" width="26.25" style="246" customWidth="1"/>
    <col min="12802" max="12802" width="13.625" style="246" customWidth="1"/>
    <col min="12803" max="12803" width="8.75" style="246" bestFit="1" customWidth="1"/>
    <col min="12804" max="12804" width="9.75" style="246" bestFit="1" customWidth="1"/>
    <col min="12805" max="12806" width="9.75" style="246" customWidth="1"/>
    <col min="12807" max="12807" width="18.875" style="246" customWidth="1"/>
    <col min="12808" max="12808" width="10.25" style="246" customWidth="1"/>
    <col min="12809" max="12809" width="18.875" style="246" customWidth="1"/>
    <col min="12810" max="12810" width="16.25" style="246" customWidth="1"/>
    <col min="12811" max="12811" width="17" style="246" customWidth="1"/>
    <col min="12812" max="12812" width="17.625" style="246" customWidth="1"/>
    <col min="12813" max="12813" width="19.875" style="246" customWidth="1"/>
    <col min="12814" max="12814" width="17" style="246" customWidth="1"/>
    <col min="12815" max="12815" width="16.375" style="246" customWidth="1"/>
    <col min="12816" max="12816" width="16.75" style="246" customWidth="1"/>
    <col min="12817" max="12817" width="17.25" style="246" customWidth="1"/>
    <col min="12818" max="12819" width="22.25" style="246" customWidth="1"/>
    <col min="12820" max="12820" width="36.625" style="246" customWidth="1"/>
    <col min="12821" max="12821" width="26.25" style="246" customWidth="1"/>
    <col min="12822" max="12822" width="19.875" style="246" customWidth="1"/>
    <col min="12823" max="12823" width="24" style="246" customWidth="1"/>
    <col min="12824" max="12824" width="22" style="246" customWidth="1"/>
    <col min="12825" max="12825" width="20" style="246" customWidth="1"/>
    <col min="12826" max="13055" width="9" style="246"/>
    <col min="13056" max="13056" width="4.625" style="246" customWidth="1"/>
    <col min="13057" max="13057" width="26.25" style="246" customWidth="1"/>
    <col min="13058" max="13058" width="13.625" style="246" customWidth="1"/>
    <col min="13059" max="13059" width="8.75" style="246" bestFit="1" customWidth="1"/>
    <col min="13060" max="13060" width="9.75" style="246" bestFit="1" customWidth="1"/>
    <col min="13061" max="13062" width="9.75" style="246" customWidth="1"/>
    <col min="13063" max="13063" width="18.875" style="246" customWidth="1"/>
    <col min="13064" max="13064" width="10.25" style="246" customWidth="1"/>
    <col min="13065" max="13065" width="18.875" style="246" customWidth="1"/>
    <col min="13066" max="13066" width="16.25" style="246" customWidth="1"/>
    <col min="13067" max="13067" width="17" style="246" customWidth="1"/>
    <col min="13068" max="13068" width="17.625" style="246" customWidth="1"/>
    <col min="13069" max="13069" width="19.875" style="246" customWidth="1"/>
    <col min="13070" max="13070" width="17" style="246" customWidth="1"/>
    <col min="13071" max="13071" width="16.375" style="246" customWidth="1"/>
    <col min="13072" max="13072" width="16.75" style="246" customWidth="1"/>
    <col min="13073" max="13073" width="17.25" style="246" customWidth="1"/>
    <col min="13074" max="13075" width="22.25" style="246" customWidth="1"/>
    <col min="13076" max="13076" width="36.625" style="246" customWidth="1"/>
    <col min="13077" max="13077" width="26.25" style="246" customWidth="1"/>
    <col min="13078" max="13078" width="19.875" style="246" customWidth="1"/>
    <col min="13079" max="13079" width="24" style="246" customWidth="1"/>
    <col min="13080" max="13080" width="22" style="246" customWidth="1"/>
    <col min="13081" max="13081" width="20" style="246" customWidth="1"/>
    <col min="13082" max="13311" width="9" style="246"/>
    <col min="13312" max="13312" width="4.625" style="246" customWidth="1"/>
    <col min="13313" max="13313" width="26.25" style="246" customWidth="1"/>
    <col min="13314" max="13314" width="13.625" style="246" customWidth="1"/>
    <col min="13315" max="13315" width="8.75" style="246" bestFit="1" customWidth="1"/>
    <col min="13316" max="13316" width="9.75" style="246" bestFit="1" customWidth="1"/>
    <col min="13317" max="13318" width="9.75" style="246" customWidth="1"/>
    <col min="13319" max="13319" width="18.875" style="246" customWidth="1"/>
    <col min="13320" max="13320" width="10.25" style="246" customWidth="1"/>
    <col min="13321" max="13321" width="18.875" style="246" customWidth="1"/>
    <col min="13322" max="13322" width="16.25" style="246" customWidth="1"/>
    <col min="13323" max="13323" width="17" style="246" customWidth="1"/>
    <col min="13324" max="13324" width="17.625" style="246" customWidth="1"/>
    <col min="13325" max="13325" width="19.875" style="246" customWidth="1"/>
    <col min="13326" max="13326" width="17" style="246" customWidth="1"/>
    <col min="13327" max="13327" width="16.375" style="246" customWidth="1"/>
    <col min="13328" max="13328" width="16.75" style="246" customWidth="1"/>
    <col min="13329" max="13329" width="17.25" style="246" customWidth="1"/>
    <col min="13330" max="13331" width="22.25" style="246" customWidth="1"/>
    <col min="13332" max="13332" width="36.625" style="246" customWidth="1"/>
    <col min="13333" max="13333" width="26.25" style="246" customWidth="1"/>
    <col min="13334" max="13334" width="19.875" style="246" customWidth="1"/>
    <col min="13335" max="13335" width="24" style="246" customWidth="1"/>
    <col min="13336" max="13336" width="22" style="246" customWidth="1"/>
    <col min="13337" max="13337" width="20" style="246" customWidth="1"/>
    <col min="13338" max="13567" width="9" style="246"/>
    <col min="13568" max="13568" width="4.625" style="246" customWidth="1"/>
    <col min="13569" max="13569" width="26.25" style="246" customWidth="1"/>
    <col min="13570" max="13570" width="13.625" style="246" customWidth="1"/>
    <col min="13571" max="13571" width="8.75" style="246" bestFit="1" customWidth="1"/>
    <col min="13572" max="13572" width="9.75" style="246" bestFit="1" customWidth="1"/>
    <col min="13573" max="13574" width="9.75" style="246" customWidth="1"/>
    <col min="13575" max="13575" width="18.875" style="246" customWidth="1"/>
    <col min="13576" max="13576" width="10.25" style="246" customWidth="1"/>
    <col min="13577" max="13577" width="18.875" style="246" customWidth="1"/>
    <col min="13578" max="13578" width="16.25" style="246" customWidth="1"/>
    <col min="13579" max="13579" width="17" style="246" customWidth="1"/>
    <col min="13580" max="13580" width="17.625" style="246" customWidth="1"/>
    <col min="13581" max="13581" width="19.875" style="246" customWidth="1"/>
    <col min="13582" max="13582" width="17" style="246" customWidth="1"/>
    <col min="13583" max="13583" width="16.375" style="246" customWidth="1"/>
    <col min="13584" max="13584" width="16.75" style="246" customWidth="1"/>
    <col min="13585" max="13585" width="17.25" style="246" customWidth="1"/>
    <col min="13586" max="13587" width="22.25" style="246" customWidth="1"/>
    <col min="13588" max="13588" width="36.625" style="246" customWidth="1"/>
    <col min="13589" max="13589" width="26.25" style="246" customWidth="1"/>
    <col min="13590" max="13590" width="19.875" style="246" customWidth="1"/>
    <col min="13591" max="13591" width="24" style="246" customWidth="1"/>
    <col min="13592" max="13592" width="22" style="246" customWidth="1"/>
    <col min="13593" max="13593" width="20" style="246" customWidth="1"/>
    <col min="13594" max="13823" width="9" style="246"/>
    <col min="13824" max="13824" width="4.625" style="246" customWidth="1"/>
    <col min="13825" max="13825" width="26.25" style="246" customWidth="1"/>
    <col min="13826" max="13826" width="13.625" style="246" customWidth="1"/>
    <col min="13827" max="13827" width="8.75" style="246" bestFit="1" customWidth="1"/>
    <col min="13828" max="13828" width="9.75" style="246" bestFit="1" customWidth="1"/>
    <col min="13829" max="13830" width="9.75" style="246" customWidth="1"/>
    <col min="13831" max="13831" width="18.875" style="246" customWidth="1"/>
    <col min="13832" max="13832" width="10.25" style="246" customWidth="1"/>
    <col min="13833" max="13833" width="18.875" style="246" customWidth="1"/>
    <col min="13834" max="13834" width="16.25" style="246" customWidth="1"/>
    <col min="13835" max="13835" width="17" style="246" customWidth="1"/>
    <col min="13836" max="13836" width="17.625" style="246" customWidth="1"/>
    <col min="13837" max="13837" width="19.875" style="246" customWidth="1"/>
    <col min="13838" max="13838" width="17" style="246" customWidth="1"/>
    <col min="13839" max="13839" width="16.375" style="246" customWidth="1"/>
    <col min="13840" max="13840" width="16.75" style="246" customWidth="1"/>
    <col min="13841" max="13841" width="17.25" style="246" customWidth="1"/>
    <col min="13842" max="13843" width="22.25" style="246" customWidth="1"/>
    <col min="13844" max="13844" width="36.625" style="246" customWidth="1"/>
    <col min="13845" max="13845" width="26.25" style="246" customWidth="1"/>
    <col min="13846" max="13846" width="19.875" style="246" customWidth="1"/>
    <col min="13847" max="13847" width="24" style="246" customWidth="1"/>
    <col min="13848" max="13848" width="22" style="246" customWidth="1"/>
    <col min="13849" max="13849" width="20" style="246" customWidth="1"/>
    <col min="13850" max="14079" width="9" style="246"/>
    <col min="14080" max="14080" width="4.625" style="246" customWidth="1"/>
    <col min="14081" max="14081" width="26.25" style="246" customWidth="1"/>
    <col min="14082" max="14082" width="13.625" style="246" customWidth="1"/>
    <col min="14083" max="14083" width="8.75" style="246" bestFit="1" customWidth="1"/>
    <col min="14084" max="14084" width="9.75" style="246" bestFit="1" customWidth="1"/>
    <col min="14085" max="14086" width="9.75" style="246" customWidth="1"/>
    <col min="14087" max="14087" width="18.875" style="246" customWidth="1"/>
    <col min="14088" max="14088" width="10.25" style="246" customWidth="1"/>
    <col min="14089" max="14089" width="18.875" style="246" customWidth="1"/>
    <col min="14090" max="14090" width="16.25" style="246" customWidth="1"/>
    <col min="14091" max="14091" width="17" style="246" customWidth="1"/>
    <col min="14092" max="14092" width="17.625" style="246" customWidth="1"/>
    <col min="14093" max="14093" width="19.875" style="246" customWidth="1"/>
    <col min="14094" max="14094" width="17" style="246" customWidth="1"/>
    <col min="14095" max="14095" width="16.375" style="246" customWidth="1"/>
    <col min="14096" max="14096" width="16.75" style="246" customWidth="1"/>
    <col min="14097" max="14097" width="17.25" style="246" customWidth="1"/>
    <col min="14098" max="14099" width="22.25" style="246" customWidth="1"/>
    <col min="14100" max="14100" width="36.625" style="246" customWidth="1"/>
    <col min="14101" max="14101" width="26.25" style="246" customWidth="1"/>
    <col min="14102" max="14102" width="19.875" style="246" customWidth="1"/>
    <col min="14103" max="14103" width="24" style="246" customWidth="1"/>
    <col min="14104" max="14104" width="22" style="246" customWidth="1"/>
    <col min="14105" max="14105" width="20" style="246" customWidth="1"/>
    <col min="14106" max="14335" width="9" style="246"/>
    <col min="14336" max="14336" width="4.625" style="246" customWidth="1"/>
    <col min="14337" max="14337" width="26.25" style="246" customWidth="1"/>
    <col min="14338" max="14338" width="13.625" style="246" customWidth="1"/>
    <col min="14339" max="14339" width="8.75" style="246" bestFit="1" customWidth="1"/>
    <col min="14340" max="14340" width="9.75" style="246" bestFit="1" customWidth="1"/>
    <col min="14341" max="14342" width="9.75" style="246" customWidth="1"/>
    <col min="14343" max="14343" width="18.875" style="246" customWidth="1"/>
    <col min="14344" max="14344" width="10.25" style="246" customWidth="1"/>
    <col min="14345" max="14345" width="18.875" style="246" customWidth="1"/>
    <col min="14346" max="14346" width="16.25" style="246" customWidth="1"/>
    <col min="14347" max="14347" width="17" style="246" customWidth="1"/>
    <col min="14348" max="14348" width="17.625" style="246" customWidth="1"/>
    <col min="14349" max="14349" width="19.875" style="246" customWidth="1"/>
    <col min="14350" max="14350" width="17" style="246" customWidth="1"/>
    <col min="14351" max="14351" width="16.375" style="246" customWidth="1"/>
    <col min="14352" max="14352" width="16.75" style="246" customWidth="1"/>
    <col min="14353" max="14353" width="17.25" style="246" customWidth="1"/>
    <col min="14354" max="14355" width="22.25" style="246" customWidth="1"/>
    <col min="14356" max="14356" width="36.625" style="246" customWidth="1"/>
    <col min="14357" max="14357" width="26.25" style="246" customWidth="1"/>
    <col min="14358" max="14358" width="19.875" style="246" customWidth="1"/>
    <col min="14359" max="14359" width="24" style="246" customWidth="1"/>
    <col min="14360" max="14360" width="22" style="246" customWidth="1"/>
    <col min="14361" max="14361" width="20" style="246" customWidth="1"/>
    <col min="14362" max="14591" width="9" style="246"/>
    <col min="14592" max="14592" width="4.625" style="246" customWidth="1"/>
    <col min="14593" max="14593" width="26.25" style="246" customWidth="1"/>
    <col min="14594" max="14594" width="13.625" style="246" customWidth="1"/>
    <col min="14595" max="14595" width="8.75" style="246" bestFit="1" customWidth="1"/>
    <col min="14596" max="14596" width="9.75" style="246" bestFit="1" customWidth="1"/>
    <col min="14597" max="14598" width="9.75" style="246" customWidth="1"/>
    <col min="14599" max="14599" width="18.875" style="246" customWidth="1"/>
    <col min="14600" max="14600" width="10.25" style="246" customWidth="1"/>
    <col min="14601" max="14601" width="18.875" style="246" customWidth="1"/>
    <col min="14602" max="14602" width="16.25" style="246" customWidth="1"/>
    <col min="14603" max="14603" width="17" style="246" customWidth="1"/>
    <col min="14604" max="14604" width="17.625" style="246" customWidth="1"/>
    <col min="14605" max="14605" width="19.875" style="246" customWidth="1"/>
    <col min="14606" max="14606" width="17" style="246" customWidth="1"/>
    <col min="14607" max="14607" width="16.375" style="246" customWidth="1"/>
    <col min="14608" max="14608" width="16.75" style="246" customWidth="1"/>
    <col min="14609" max="14609" width="17.25" style="246" customWidth="1"/>
    <col min="14610" max="14611" width="22.25" style="246" customWidth="1"/>
    <col min="14612" max="14612" width="36.625" style="246" customWidth="1"/>
    <col min="14613" max="14613" width="26.25" style="246" customWidth="1"/>
    <col min="14614" max="14614" width="19.875" style="246" customWidth="1"/>
    <col min="14615" max="14615" width="24" style="246" customWidth="1"/>
    <col min="14616" max="14616" width="22" style="246" customWidth="1"/>
    <col min="14617" max="14617" width="20" style="246" customWidth="1"/>
    <col min="14618" max="14847" width="9" style="246"/>
    <col min="14848" max="14848" width="4.625" style="246" customWidth="1"/>
    <col min="14849" max="14849" width="26.25" style="246" customWidth="1"/>
    <col min="14850" max="14850" width="13.625" style="246" customWidth="1"/>
    <col min="14851" max="14851" width="8.75" style="246" bestFit="1" customWidth="1"/>
    <col min="14852" max="14852" width="9.75" style="246" bestFit="1" customWidth="1"/>
    <col min="14853" max="14854" width="9.75" style="246" customWidth="1"/>
    <col min="14855" max="14855" width="18.875" style="246" customWidth="1"/>
    <col min="14856" max="14856" width="10.25" style="246" customWidth="1"/>
    <col min="14857" max="14857" width="18.875" style="246" customWidth="1"/>
    <col min="14858" max="14858" width="16.25" style="246" customWidth="1"/>
    <col min="14859" max="14859" width="17" style="246" customWidth="1"/>
    <col min="14860" max="14860" width="17.625" style="246" customWidth="1"/>
    <col min="14861" max="14861" width="19.875" style="246" customWidth="1"/>
    <col min="14862" max="14862" width="17" style="246" customWidth="1"/>
    <col min="14863" max="14863" width="16.375" style="246" customWidth="1"/>
    <col min="14864" max="14864" width="16.75" style="246" customWidth="1"/>
    <col min="14865" max="14865" width="17.25" style="246" customWidth="1"/>
    <col min="14866" max="14867" width="22.25" style="246" customWidth="1"/>
    <col min="14868" max="14868" width="36.625" style="246" customWidth="1"/>
    <col min="14869" max="14869" width="26.25" style="246" customWidth="1"/>
    <col min="14870" max="14870" width="19.875" style="246" customWidth="1"/>
    <col min="14871" max="14871" width="24" style="246" customWidth="1"/>
    <col min="14872" max="14872" width="22" style="246" customWidth="1"/>
    <col min="14873" max="14873" width="20" style="246" customWidth="1"/>
    <col min="14874" max="15103" width="9" style="246"/>
    <col min="15104" max="15104" width="4.625" style="246" customWidth="1"/>
    <col min="15105" max="15105" width="26.25" style="246" customWidth="1"/>
    <col min="15106" max="15106" width="13.625" style="246" customWidth="1"/>
    <col min="15107" max="15107" width="8.75" style="246" bestFit="1" customWidth="1"/>
    <col min="15108" max="15108" width="9.75" style="246" bestFit="1" customWidth="1"/>
    <col min="15109" max="15110" width="9.75" style="246" customWidth="1"/>
    <col min="15111" max="15111" width="18.875" style="246" customWidth="1"/>
    <col min="15112" max="15112" width="10.25" style="246" customWidth="1"/>
    <col min="15113" max="15113" width="18.875" style="246" customWidth="1"/>
    <col min="15114" max="15114" width="16.25" style="246" customWidth="1"/>
    <col min="15115" max="15115" width="17" style="246" customWidth="1"/>
    <col min="15116" max="15116" width="17.625" style="246" customWidth="1"/>
    <col min="15117" max="15117" width="19.875" style="246" customWidth="1"/>
    <col min="15118" max="15118" width="17" style="246" customWidth="1"/>
    <col min="15119" max="15119" width="16.375" style="246" customWidth="1"/>
    <col min="15120" max="15120" width="16.75" style="246" customWidth="1"/>
    <col min="15121" max="15121" width="17.25" style="246" customWidth="1"/>
    <col min="15122" max="15123" width="22.25" style="246" customWidth="1"/>
    <col min="15124" max="15124" width="36.625" style="246" customWidth="1"/>
    <col min="15125" max="15125" width="26.25" style="246" customWidth="1"/>
    <col min="15126" max="15126" width="19.875" style="246" customWidth="1"/>
    <col min="15127" max="15127" width="24" style="246" customWidth="1"/>
    <col min="15128" max="15128" width="22" style="246" customWidth="1"/>
    <col min="15129" max="15129" width="20" style="246" customWidth="1"/>
    <col min="15130" max="15359" width="9" style="246"/>
    <col min="15360" max="15360" width="4.625" style="246" customWidth="1"/>
    <col min="15361" max="15361" width="26.25" style="246" customWidth="1"/>
    <col min="15362" max="15362" width="13.625" style="246" customWidth="1"/>
    <col min="15363" max="15363" width="8.75" style="246" bestFit="1" customWidth="1"/>
    <col min="15364" max="15364" width="9.75" style="246" bestFit="1" customWidth="1"/>
    <col min="15365" max="15366" width="9.75" style="246" customWidth="1"/>
    <col min="15367" max="15367" width="18.875" style="246" customWidth="1"/>
    <col min="15368" max="15368" width="10.25" style="246" customWidth="1"/>
    <col min="15369" max="15369" width="18.875" style="246" customWidth="1"/>
    <col min="15370" max="15370" width="16.25" style="246" customWidth="1"/>
    <col min="15371" max="15371" width="17" style="246" customWidth="1"/>
    <col min="15372" max="15372" width="17.625" style="246" customWidth="1"/>
    <col min="15373" max="15373" width="19.875" style="246" customWidth="1"/>
    <col min="15374" max="15374" width="17" style="246" customWidth="1"/>
    <col min="15375" max="15375" width="16.375" style="246" customWidth="1"/>
    <col min="15376" max="15376" width="16.75" style="246" customWidth="1"/>
    <col min="15377" max="15377" width="17.25" style="246" customWidth="1"/>
    <col min="15378" max="15379" width="22.25" style="246" customWidth="1"/>
    <col min="15380" max="15380" width="36.625" style="246" customWidth="1"/>
    <col min="15381" max="15381" width="26.25" style="246" customWidth="1"/>
    <col min="15382" max="15382" width="19.875" style="246" customWidth="1"/>
    <col min="15383" max="15383" width="24" style="246" customWidth="1"/>
    <col min="15384" max="15384" width="22" style="246" customWidth="1"/>
    <col min="15385" max="15385" width="20" style="246" customWidth="1"/>
    <col min="15386" max="15615" width="9" style="246"/>
    <col min="15616" max="15616" width="4.625" style="246" customWidth="1"/>
    <col min="15617" max="15617" width="26.25" style="246" customWidth="1"/>
    <col min="15618" max="15618" width="13.625" style="246" customWidth="1"/>
    <col min="15619" max="15619" width="8.75" style="246" bestFit="1" customWidth="1"/>
    <col min="15620" max="15620" width="9.75" style="246" bestFit="1" customWidth="1"/>
    <col min="15621" max="15622" width="9.75" style="246" customWidth="1"/>
    <col min="15623" max="15623" width="18.875" style="246" customWidth="1"/>
    <col min="15624" max="15624" width="10.25" style="246" customWidth="1"/>
    <col min="15625" max="15625" width="18.875" style="246" customWidth="1"/>
    <col min="15626" max="15626" width="16.25" style="246" customWidth="1"/>
    <col min="15627" max="15627" width="17" style="246" customWidth="1"/>
    <col min="15628" max="15628" width="17.625" style="246" customWidth="1"/>
    <col min="15629" max="15629" width="19.875" style="246" customWidth="1"/>
    <col min="15630" max="15630" width="17" style="246" customWidth="1"/>
    <col min="15631" max="15631" width="16.375" style="246" customWidth="1"/>
    <col min="15632" max="15632" width="16.75" style="246" customWidth="1"/>
    <col min="15633" max="15633" width="17.25" style="246" customWidth="1"/>
    <col min="15634" max="15635" width="22.25" style="246" customWidth="1"/>
    <col min="15636" max="15636" width="36.625" style="246" customWidth="1"/>
    <col min="15637" max="15637" width="26.25" style="246" customWidth="1"/>
    <col min="15638" max="15638" width="19.875" style="246" customWidth="1"/>
    <col min="15639" max="15639" width="24" style="246" customWidth="1"/>
    <col min="15640" max="15640" width="22" style="246" customWidth="1"/>
    <col min="15641" max="15641" width="20" style="246" customWidth="1"/>
    <col min="15642" max="15871" width="9" style="246"/>
    <col min="15872" max="15872" width="4.625" style="246" customWidth="1"/>
    <col min="15873" max="15873" width="26.25" style="246" customWidth="1"/>
    <col min="15874" max="15874" width="13.625" style="246" customWidth="1"/>
    <col min="15875" max="15875" width="8.75" style="246" bestFit="1" customWidth="1"/>
    <col min="15876" max="15876" width="9.75" style="246" bestFit="1" customWidth="1"/>
    <col min="15877" max="15878" width="9.75" style="246" customWidth="1"/>
    <col min="15879" max="15879" width="18.875" style="246" customWidth="1"/>
    <col min="15880" max="15880" width="10.25" style="246" customWidth="1"/>
    <col min="15881" max="15881" width="18.875" style="246" customWidth="1"/>
    <col min="15882" max="15882" width="16.25" style="246" customWidth="1"/>
    <col min="15883" max="15883" width="17" style="246" customWidth="1"/>
    <col min="15884" max="15884" width="17.625" style="246" customWidth="1"/>
    <col min="15885" max="15885" width="19.875" style="246" customWidth="1"/>
    <col min="15886" max="15886" width="17" style="246" customWidth="1"/>
    <col min="15887" max="15887" width="16.375" style="246" customWidth="1"/>
    <col min="15888" max="15888" width="16.75" style="246" customWidth="1"/>
    <col min="15889" max="15889" width="17.25" style="246" customWidth="1"/>
    <col min="15890" max="15891" width="22.25" style="246" customWidth="1"/>
    <col min="15892" max="15892" width="36.625" style="246" customWidth="1"/>
    <col min="15893" max="15893" width="26.25" style="246" customWidth="1"/>
    <col min="15894" max="15894" width="19.875" style="246" customWidth="1"/>
    <col min="15895" max="15895" width="24" style="246" customWidth="1"/>
    <col min="15896" max="15896" width="22" style="246" customWidth="1"/>
    <col min="15897" max="15897" width="20" style="246" customWidth="1"/>
    <col min="15898" max="16127" width="9" style="246"/>
    <col min="16128" max="16128" width="4.625" style="246" customWidth="1"/>
    <col min="16129" max="16129" width="26.25" style="246" customWidth="1"/>
    <col min="16130" max="16130" width="13.625" style="246" customWidth="1"/>
    <col min="16131" max="16131" width="8.75" style="246" bestFit="1" customWidth="1"/>
    <col min="16132" max="16132" width="9.75" style="246" bestFit="1" customWidth="1"/>
    <col min="16133" max="16134" width="9.75" style="246" customWidth="1"/>
    <col min="16135" max="16135" width="18.875" style="246" customWidth="1"/>
    <col min="16136" max="16136" width="10.25" style="246" customWidth="1"/>
    <col min="16137" max="16137" width="18.875" style="246" customWidth="1"/>
    <col min="16138" max="16138" width="16.25" style="246" customWidth="1"/>
    <col min="16139" max="16139" width="17" style="246" customWidth="1"/>
    <col min="16140" max="16140" width="17.625" style="246" customWidth="1"/>
    <col min="16141" max="16141" width="19.875" style="246" customWidth="1"/>
    <col min="16142" max="16142" width="17" style="246" customWidth="1"/>
    <col min="16143" max="16143" width="16.375" style="246" customWidth="1"/>
    <col min="16144" max="16144" width="16.75" style="246" customWidth="1"/>
    <col min="16145" max="16145" width="17.25" style="246" customWidth="1"/>
    <col min="16146" max="16147" width="22.25" style="246" customWidth="1"/>
    <col min="16148" max="16148" width="36.625" style="246" customWidth="1"/>
    <col min="16149" max="16149" width="26.25" style="246" customWidth="1"/>
    <col min="16150" max="16150" width="19.875" style="246" customWidth="1"/>
    <col min="16151" max="16151" width="24" style="246" customWidth="1"/>
    <col min="16152" max="16152" width="22" style="246" customWidth="1"/>
    <col min="16153" max="16153" width="20" style="246" customWidth="1"/>
    <col min="16154" max="16383" width="9" style="246"/>
    <col min="16384" max="16384" width="9" style="246" customWidth="1"/>
  </cols>
  <sheetData>
    <row r="1" spans="1:26" ht="18.75" customHeight="1">
      <c r="A1" s="4056" t="s">
        <v>165</v>
      </c>
      <c r="B1" s="4056"/>
      <c r="C1" s="4056"/>
      <c r="D1" s="4056"/>
      <c r="E1" s="4056"/>
      <c r="F1" s="4056"/>
      <c r="G1" s="4056"/>
      <c r="H1" s="4056"/>
      <c r="I1" s="4056"/>
      <c r="J1" s="4056"/>
      <c r="K1" s="4056"/>
      <c r="L1" s="4056"/>
      <c r="M1" s="4056"/>
      <c r="N1" s="4056"/>
      <c r="O1" s="4056"/>
      <c r="P1" s="4056"/>
      <c r="Q1" s="4056"/>
    </row>
    <row r="2" spans="1:26" ht="18.75" customHeight="1">
      <c r="A2" s="3899" t="s">
        <v>171</v>
      </c>
      <c r="B2" s="3899"/>
      <c r="C2" s="3899"/>
      <c r="D2" s="3899"/>
      <c r="E2" s="3899"/>
      <c r="F2" s="3899"/>
      <c r="G2" s="3899"/>
      <c r="H2" s="3899"/>
      <c r="I2" s="3899"/>
      <c r="J2" s="3899"/>
      <c r="K2" s="3899"/>
      <c r="L2" s="3899"/>
      <c r="M2" s="3899"/>
      <c r="N2" s="3899"/>
      <c r="O2" s="3899"/>
      <c r="P2" s="3899"/>
      <c r="Q2" s="3899"/>
    </row>
    <row r="3" spans="1:26" ht="18.75" customHeight="1">
      <c r="A3" s="4183" t="s">
        <v>726</v>
      </c>
      <c r="B3" s="4183"/>
      <c r="C3" s="4183"/>
      <c r="D3" s="4183"/>
      <c r="E3" s="4183"/>
      <c r="F3" s="4183"/>
      <c r="G3" s="4183"/>
      <c r="H3" s="4183"/>
      <c r="I3" s="4183"/>
      <c r="J3" s="4183"/>
      <c r="K3" s="4183"/>
      <c r="L3" s="4183"/>
      <c r="M3" s="4183"/>
      <c r="N3" s="4183"/>
      <c r="O3" s="4183"/>
      <c r="P3" s="4183"/>
      <c r="Q3" s="4183"/>
    </row>
    <row r="4" spans="1:26" ht="18.75" customHeight="1">
      <c r="A4" s="4075" t="s">
        <v>602</v>
      </c>
      <c r="B4" s="4075"/>
      <c r="C4" s="4075"/>
      <c r="D4" s="4075"/>
      <c r="E4" s="4075"/>
      <c r="F4" s="4075"/>
      <c r="G4" s="4075"/>
      <c r="H4" s="4075"/>
      <c r="I4" s="4075"/>
      <c r="J4" s="4075"/>
      <c r="K4" s="987"/>
      <c r="L4" s="988"/>
      <c r="M4" s="988"/>
      <c r="N4" s="988"/>
      <c r="O4" s="988"/>
    </row>
    <row r="5" spans="1:26" ht="18.75" customHeight="1">
      <c r="A5" s="3899" t="s">
        <v>541</v>
      </c>
      <c r="B5" s="3899"/>
      <c r="C5" s="3899"/>
      <c r="D5" s="3899"/>
      <c r="E5" s="3899"/>
      <c r="F5" s="3899"/>
      <c r="G5" s="3899"/>
      <c r="H5" s="3899"/>
      <c r="I5" s="3899"/>
      <c r="J5" s="3899"/>
      <c r="K5" s="990"/>
      <c r="L5" s="699"/>
      <c r="M5" s="699"/>
      <c r="N5" s="699"/>
      <c r="O5" s="699"/>
    </row>
    <row r="6" spans="1:26" ht="18.75" customHeight="1">
      <c r="H6" s="991"/>
      <c r="I6" s="991"/>
      <c r="J6" s="991"/>
      <c r="K6" s="992"/>
    </row>
    <row r="7" spans="1:26" ht="18.75" customHeight="1">
      <c r="H7" s="991"/>
      <c r="I7" s="991"/>
      <c r="J7" s="991"/>
      <c r="K7" s="992"/>
    </row>
    <row r="8" spans="1:26" ht="22.5" customHeight="1">
      <c r="A8" s="4187" t="s">
        <v>855</v>
      </c>
      <c r="B8" s="4187"/>
      <c r="C8" s="4187"/>
      <c r="D8" s="4187"/>
      <c r="E8" s="4187"/>
      <c r="F8" s="4187"/>
      <c r="G8" s="4187"/>
      <c r="H8" s="4187"/>
      <c r="I8" s="4187"/>
      <c r="J8" s="4187"/>
      <c r="K8" s="4187"/>
      <c r="L8" s="4187"/>
      <c r="M8" s="4187"/>
      <c r="N8" s="4187"/>
      <c r="O8" s="4187"/>
      <c r="P8" s="4187"/>
      <c r="Q8" s="4187"/>
    </row>
    <row r="9" spans="1:26" ht="22.5" customHeight="1">
      <c r="A9" s="4188" t="s">
        <v>772</v>
      </c>
      <c r="B9" s="4188"/>
      <c r="C9" s="4188"/>
      <c r="D9" s="4188"/>
      <c r="E9" s="4188"/>
      <c r="F9" s="4188"/>
      <c r="G9" s="4188"/>
      <c r="H9" s="4188"/>
      <c r="I9" s="4188"/>
      <c r="J9" s="4188"/>
      <c r="K9" s="4188"/>
      <c r="L9" s="4188"/>
      <c r="M9" s="4188"/>
      <c r="N9" s="4188"/>
      <c r="O9" s="4188"/>
      <c r="P9" s="4188"/>
      <c r="Q9" s="4188"/>
    </row>
    <row r="10" spans="1:26" ht="18.75">
      <c r="A10" s="993"/>
      <c r="B10" s="994"/>
      <c r="C10" s="995"/>
      <c r="D10" s="995"/>
      <c r="E10" s="995"/>
      <c r="F10" s="995"/>
      <c r="G10" s="995"/>
      <c r="H10" s="996"/>
      <c r="I10" s="996"/>
      <c r="J10" s="996"/>
      <c r="K10" s="997"/>
      <c r="L10" s="993"/>
      <c r="M10" s="993"/>
      <c r="N10" s="993"/>
      <c r="O10" s="993"/>
      <c r="P10" s="998"/>
      <c r="Q10" s="993"/>
      <c r="R10" s="999"/>
      <c r="U10" s="999"/>
      <c r="V10" s="999"/>
      <c r="W10" s="999"/>
      <c r="X10" s="999"/>
      <c r="Y10" s="999"/>
      <c r="Z10" s="999"/>
    </row>
    <row r="11" spans="1:26" ht="20.25" hidden="1" customHeight="1">
      <c r="A11" s="999"/>
      <c r="B11" s="999"/>
      <c r="C11" s="999"/>
      <c r="D11" s="999"/>
      <c r="E11" s="999"/>
      <c r="F11" s="999"/>
      <c r="G11" s="999"/>
      <c r="H11" s="1000"/>
      <c r="I11" s="1000"/>
      <c r="J11" s="1000"/>
      <c r="K11" s="1001"/>
      <c r="L11" s="999"/>
      <c r="M11" s="999"/>
      <c r="N11" s="999"/>
      <c r="O11" s="999"/>
      <c r="P11" s="1002"/>
      <c r="Q11" s="999"/>
      <c r="R11" s="999"/>
      <c r="U11" s="999"/>
      <c r="V11" s="999"/>
      <c r="W11" s="999"/>
      <c r="X11" s="999"/>
      <c r="Y11" s="999"/>
      <c r="Z11" s="999"/>
    </row>
    <row r="12" spans="1:26" s="999" customFormat="1" ht="63.75" customHeight="1">
      <c r="A12" s="4189" t="s">
        <v>19</v>
      </c>
      <c r="B12" s="4189" t="s">
        <v>20</v>
      </c>
      <c r="C12" s="4189" t="s">
        <v>5</v>
      </c>
      <c r="D12" s="4190" t="s">
        <v>793</v>
      </c>
      <c r="E12" s="4190" t="s">
        <v>774</v>
      </c>
      <c r="F12" s="4191" t="s">
        <v>775</v>
      </c>
      <c r="G12" s="4192"/>
      <c r="H12" s="4193" t="s">
        <v>776</v>
      </c>
      <c r="I12" s="4193"/>
      <c r="J12" s="4193"/>
      <c r="K12" s="4194" t="s">
        <v>777</v>
      </c>
      <c r="L12" s="4194"/>
      <c r="M12" s="4194"/>
      <c r="N12" s="4194"/>
      <c r="O12" s="4195" t="s">
        <v>802</v>
      </c>
      <c r="P12" s="4200" t="s">
        <v>803</v>
      </c>
      <c r="Q12" s="4189" t="s">
        <v>634</v>
      </c>
    </row>
    <row r="13" spans="1:26" s="1003" customFormat="1" ht="39" customHeight="1">
      <c r="A13" s="4189"/>
      <c r="B13" s="4189"/>
      <c r="C13" s="4189"/>
      <c r="D13" s="4189"/>
      <c r="E13" s="4190"/>
      <c r="F13" s="4203" t="s">
        <v>778</v>
      </c>
      <c r="G13" s="4203" t="s">
        <v>779</v>
      </c>
      <c r="H13" s="4190" t="s">
        <v>780</v>
      </c>
      <c r="I13" s="4205" t="s">
        <v>781</v>
      </c>
      <c r="J13" s="4205" t="s">
        <v>24</v>
      </c>
      <c r="K13" s="4206" t="s">
        <v>782</v>
      </c>
      <c r="L13" s="4190" t="s">
        <v>783</v>
      </c>
      <c r="M13" s="4190" t="s">
        <v>784</v>
      </c>
      <c r="N13" s="4198" t="s">
        <v>801</v>
      </c>
      <c r="O13" s="4196"/>
      <c r="P13" s="4201"/>
      <c r="Q13" s="4189"/>
      <c r="R13" s="999"/>
      <c r="U13" s="1004"/>
      <c r="V13" s="1004"/>
      <c r="W13" s="993"/>
      <c r="X13" s="999"/>
      <c r="Y13" s="999"/>
      <c r="Z13" s="999"/>
    </row>
    <row r="14" spans="1:26" s="1003" customFormat="1" ht="99.75" customHeight="1">
      <c r="A14" s="4189"/>
      <c r="B14" s="4189"/>
      <c r="C14" s="4189"/>
      <c r="D14" s="4189"/>
      <c r="E14" s="4190"/>
      <c r="F14" s="4204"/>
      <c r="G14" s="4204"/>
      <c r="H14" s="4190"/>
      <c r="I14" s="4205"/>
      <c r="J14" s="4205"/>
      <c r="K14" s="4206"/>
      <c r="L14" s="4190"/>
      <c r="M14" s="4190"/>
      <c r="N14" s="4199"/>
      <c r="O14" s="4197"/>
      <c r="P14" s="4202"/>
      <c r="Q14" s="4189"/>
      <c r="R14" s="999"/>
      <c r="U14" s="988"/>
      <c r="V14" s="988"/>
      <c r="W14" s="1005"/>
    </row>
    <row r="15" spans="1:26" s="1003" customFormat="1" ht="30" hidden="1" customHeight="1">
      <c r="A15" s="1006" t="s">
        <v>52</v>
      </c>
      <c r="B15" s="1006" t="s">
        <v>92</v>
      </c>
      <c r="C15" s="1006" t="s">
        <v>53</v>
      </c>
      <c r="D15" s="1006" t="s">
        <v>93</v>
      </c>
      <c r="E15" s="1007" t="s">
        <v>157</v>
      </c>
      <c r="F15" s="1008" t="s">
        <v>606</v>
      </c>
      <c r="G15" s="1008" t="s">
        <v>607</v>
      </c>
      <c r="H15" s="1008" t="s">
        <v>608</v>
      </c>
      <c r="I15" s="1008" t="s">
        <v>609</v>
      </c>
      <c r="J15" s="1009">
        <v>-5</v>
      </c>
      <c r="K15" s="1010" t="s">
        <v>785</v>
      </c>
      <c r="L15" s="1010" t="s">
        <v>786</v>
      </c>
      <c r="M15" s="1011">
        <v>-8</v>
      </c>
      <c r="N15" s="1012" t="s">
        <v>787</v>
      </c>
      <c r="O15" s="1011">
        <v>-10</v>
      </c>
      <c r="P15" s="1013" t="s">
        <v>788</v>
      </c>
      <c r="Q15" s="1006"/>
      <c r="R15" s="999"/>
      <c r="U15" s="988"/>
      <c r="V15" s="988"/>
      <c r="W15" s="1005"/>
    </row>
    <row r="16" spans="1:26" s="1003" customFormat="1" ht="18.75">
      <c r="A16" s="1014" t="s">
        <v>147</v>
      </c>
      <c r="B16" s="1015" t="s">
        <v>789</v>
      </c>
      <c r="C16" s="1014"/>
      <c r="D16" s="1014"/>
      <c r="E16" s="1016"/>
      <c r="F16" s="1016"/>
      <c r="G16" s="1016"/>
      <c r="H16" s="1071">
        <f t="shared" ref="H16:P16" si="0">SUM(H17:H17)</f>
        <v>450</v>
      </c>
      <c r="I16" s="1071">
        <f t="shared" si="0"/>
        <v>40</v>
      </c>
      <c r="J16" s="1071">
        <f t="shared" si="0"/>
        <v>490</v>
      </c>
      <c r="K16" s="1071">
        <f t="shared" si="0"/>
        <v>245</v>
      </c>
      <c r="L16" s="1071" t="e">
        <f t="shared" si="0"/>
        <v>#REF!</v>
      </c>
      <c r="M16" s="1074">
        <f t="shared" si="0"/>
        <v>176859</v>
      </c>
      <c r="N16" s="1091">
        <f>SUM(N17:N17)</f>
        <v>0</v>
      </c>
      <c r="O16" s="1091" t="e">
        <f t="shared" si="0"/>
        <v>#REF!</v>
      </c>
      <c r="P16" s="1071" t="e">
        <f t="shared" si="0"/>
        <v>#REF!</v>
      </c>
      <c r="Q16" s="1006"/>
      <c r="R16" s="999"/>
      <c r="U16" s="988"/>
      <c r="V16" s="988"/>
      <c r="W16" s="1005"/>
    </row>
    <row r="17" spans="1:22" s="1026" customFormat="1" ht="24.95" customHeight="1">
      <c r="A17" s="1017">
        <v>1</v>
      </c>
      <c r="B17" s="1018" t="s">
        <v>96</v>
      </c>
      <c r="C17" s="1019" t="s">
        <v>162</v>
      </c>
      <c r="D17" s="898" t="s">
        <v>790</v>
      </c>
      <c r="E17" s="1020" t="s">
        <v>18</v>
      </c>
      <c r="F17" s="1021" t="e">
        <f>+'Tính lương tổ'!#REF!</f>
        <v>#REF!</v>
      </c>
      <c r="G17" s="1021">
        <f>+'Tính lương tổ'!G12</f>
        <v>89.379459999999995</v>
      </c>
      <c r="H17" s="1072">
        <v>450</v>
      </c>
      <c r="I17" s="1072">
        <v>40</v>
      </c>
      <c r="J17" s="1072">
        <f>H17+I17</f>
        <v>490</v>
      </c>
      <c r="K17" s="1073">
        <f>J17*50%</f>
        <v>245</v>
      </c>
      <c r="L17" s="1073" t="e">
        <f>H17*0.5*F17</f>
        <v>#REF!</v>
      </c>
      <c r="M17" s="1075">
        <f>IF(G17&lt;100%,0,100)+ROUND(IF(G17&gt;100%,((G17-100%)*20*100),0),0)</f>
        <v>176859</v>
      </c>
      <c r="N17" s="1092">
        <f>IF(G17&gt;=100%,0,(G17-100%)*10*100)</f>
        <v>0</v>
      </c>
      <c r="O17" s="1091" t="e">
        <f>M17+K17+L17+N17</f>
        <v>#REF!</v>
      </c>
      <c r="P17" s="1119" t="e">
        <f>IF(O17&lt;K17,K17,O17)</f>
        <v>#REF!</v>
      </c>
      <c r="Q17" s="1022"/>
      <c r="R17" s="1023"/>
      <c r="S17" s="1024"/>
      <c r="T17" s="1025"/>
    </row>
    <row r="18" spans="1:22" s="697" customFormat="1" ht="19.5" customHeight="1">
      <c r="A18" s="999"/>
      <c r="B18" s="999"/>
      <c r="C18" s="999"/>
      <c r="D18" s="999"/>
      <c r="E18" s="999"/>
      <c r="F18" s="999"/>
      <c r="G18" s="999"/>
      <c r="H18" s="1000"/>
      <c r="I18" s="1000"/>
      <c r="J18" s="1000"/>
      <c r="K18" s="1001"/>
      <c r="L18" s="999"/>
      <c r="M18" s="999"/>
      <c r="N18" s="999"/>
      <c r="O18" s="999"/>
      <c r="P18" s="1002"/>
      <c r="Q18" s="999"/>
      <c r="R18" s="1027"/>
    </row>
    <row r="19" spans="1:22" s="815" customFormat="1" ht="18" customHeight="1">
      <c r="A19" s="4074" t="s">
        <v>791</v>
      </c>
      <c r="B19" s="4074"/>
      <c r="C19" s="4074"/>
      <c r="D19" s="4074"/>
      <c r="E19" s="4074"/>
      <c r="F19" s="4074"/>
      <c r="G19" s="4074"/>
      <c r="H19" s="4074"/>
      <c r="I19" s="1028"/>
      <c r="J19" s="4074" t="s">
        <v>792</v>
      </c>
      <c r="K19" s="4074"/>
      <c r="L19" s="4074"/>
      <c r="M19" s="1029"/>
      <c r="N19" s="4074" t="s">
        <v>167</v>
      </c>
      <c r="O19" s="4074"/>
      <c r="P19" s="4074"/>
      <c r="Q19" s="4074"/>
      <c r="R19" s="1029"/>
    </row>
    <row r="20" spans="1:22" s="697" customFormat="1" ht="18" customHeight="1">
      <c r="A20" s="999"/>
      <c r="B20" s="999"/>
      <c r="C20" s="999"/>
      <c r="D20" s="999"/>
      <c r="E20" s="999"/>
      <c r="F20" s="999"/>
      <c r="G20" s="999"/>
      <c r="H20" s="1030"/>
      <c r="I20" s="1030"/>
      <c r="J20" s="1030"/>
      <c r="K20" s="1031"/>
      <c r="L20" s="999"/>
      <c r="M20" s="999"/>
      <c r="N20" s="999"/>
      <c r="O20" s="999"/>
      <c r="P20" s="1002"/>
      <c r="Q20" s="999"/>
      <c r="R20" s="999"/>
    </row>
    <row r="21" spans="1:22" s="697" customFormat="1" ht="18" customHeight="1">
      <c r="H21" s="1032"/>
      <c r="I21" s="1032"/>
      <c r="J21" s="1032"/>
      <c r="K21" s="1033"/>
      <c r="P21" s="831"/>
    </row>
    <row r="22" spans="1:22" s="697" customFormat="1" ht="18" customHeight="1">
      <c r="H22" s="1032"/>
      <c r="I22" s="1032"/>
      <c r="J22" s="1032"/>
      <c r="K22" s="1033"/>
      <c r="P22" s="842"/>
      <c r="Q22" s="1034"/>
    </row>
    <row r="23" spans="1:22" s="697" customFormat="1" ht="18" customHeight="1">
      <c r="H23" s="1032"/>
      <c r="I23" s="1032"/>
      <c r="J23" s="1032"/>
      <c r="K23" s="1033"/>
      <c r="P23" s="1035"/>
      <c r="S23" s="1033"/>
    </row>
    <row r="24" spans="1:22" s="697" customFormat="1" ht="18" customHeight="1">
      <c r="H24" s="1032"/>
      <c r="I24" s="1032"/>
      <c r="J24" s="1032"/>
      <c r="K24" s="1033"/>
      <c r="P24" s="1036"/>
    </row>
    <row r="25" spans="1:22" s="697" customFormat="1" ht="18" customHeight="1">
      <c r="H25" s="1032"/>
      <c r="I25" s="1032"/>
      <c r="J25" s="1032"/>
      <c r="K25" s="1033"/>
      <c r="P25" s="831"/>
      <c r="Q25" s="1034"/>
    </row>
    <row r="26" spans="1:22" s="697" customFormat="1" ht="18" customHeight="1">
      <c r="H26" s="1032"/>
      <c r="I26" s="1032"/>
      <c r="J26" s="1032"/>
      <c r="K26" s="1033"/>
      <c r="L26" s="899"/>
      <c r="M26" s="899"/>
      <c r="N26" s="899"/>
      <c r="O26" s="899"/>
      <c r="P26" s="831"/>
    </row>
    <row r="27" spans="1:22" s="697" customFormat="1" ht="18" customHeight="1">
      <c r="H27" s="1032"/>
      <c r="I27" s="1032"/>
      <c r="J27" s="1032"/>
      <c r="K27" s="1033"/>
      <c r="P27" s="842"/>
      <c r="S27" s="246"/>
      <c r="T27" s="999"/>
      <c r="U27" s="999"/>
      <c r="V27" s="999"/>
    </row>
    <row r="28" spans="1:22" s="697" customFormat="1" ht="18" customHeight="1">
      <c r="H28" s="1032"/>
      <c r="I28" s="1032"/>
      <c r="J28" s="1032"/>
      <c r="K28" s="1033"/>
      <c r="P28" s="831"/>
      <c r="S28" s="246"/>
      <c r="T28" s="999"/>
      <c r="U28" s="999"/>
      <c r="V28" s="999"/>
    </row>
    <row r="29" spans="1:22" s="697" customFormat="1" ht="18" customHeight="1">
      <c r="H29" s="1032"/>
      <c r="I29" s="1032"/>
      <c r="J29" s="1032"/>
      <c r="K29" s="1033"/>
      <c r="P29" s="3899"/>
      <c r="Q29" s="3899"/>
      <c r="S29" s="1023"/>
      <c r="T29" s="1029"/>
      <c r="U29" s="1029"/>
      <c r="V29" s="1029"/>
    </row>
    <row r="30" spans="1:22" s="697" customFormat="1" ht="38.25" customHeight="1">
      <c r="H30" s="1032"/>
      <c r="I30" s="1032"/>
      <c r="J30" s="1032"/>
      <c r="K30" s="1033"/>
      <c r="P30" s="831"/>
      <c r="S30" s="988"/>
      <c r="T30" s="1004"/>
      <c r="U30" s="1004"/>
      <c r="V30" s="993"/>
    </row>
    <row r="31" spans="1:22" s="697" customFormat="1" ht="18" customHeight="1">
      <c r="H31" s="1032"/>
      <c r="I31" s="1032"/>
      <c r="J31" s="1032"/>
      <c r="K31" s="1033"/>
      <c r="P31" s="831"/>
      <c r="S31" s="988"/>
      <c r="T31" s="988"/>
      <c r="U31" s="988"/>
      <c r="V31" s="1037"/>
    </row>
    <row r="32" spans="1:22" s="697" customFormat="1" ht="18" customHeight="1">
      <c r="H32" s="1032"/>
      <c r="I32" s="1032"/>
      <c r="J32" s="1032"/>
      <c r="K32" s="1033"/>
      <c r="P32" s="831"/>
      <c r="S32" s="988"/>
      <c r="T32" s="988"/>
      <c r="U32" s="988"/>
      <c r="V32" s="1037"/>
    </row>
    <row r="33" spans="8:22" s="697" customFormat="1" ht="18" customHeight="1">
      <c r="H33" s="1032"/>
      <c r="I33" s="1032"/>
      <c r="J33" s="1032"/>
      <c r="K33" s="1033"/>
      <c r="P33" s="831"/>
      <c r="S33" s="988"/>
      <c r="T33" s="988"/>
      <c r="U33" s="988"/>
      <c r="V33" s="1037"/>
    </row>
    <row r="34" spans="8:22" s="697" customFormat="1" ht="18" customHeight="1">
      <c r="H34" s="1032"/>
      <c r="I34" s="1032"/>
      <c r="J34" s="1032"/>
      <c r="K34" s="1033"/>
      <c r="P34" s="831"/>
      <c r="S34" s="988"/>
      <c r="T34" s="988"/>
      <c r="U34" s="988"/>
      <c r="V34" s="1037"/>
    </row>
    <row r="35" spans="8:22" s="697" customFormat="1" ht="41.25" customHeight="1">
      <c r="H35" s="1032"/>
      <c r="I35" s="1032"/>
      <c r="J35" s="1032"/>
      <c r="K35" s="1033"/>
      <c r="P35" s="831"/>
      <c r="S35" s="1038"/>
      <c r="T35" s="1039"/>
      <c r="U35" s="1039"/>
      <c r="V35" s="1039"/>
    </row>
    <row r="36" spans="8:22" s="697" customFormat="1" ht="51" customHeight="1">
      <c r="H36" s="1032"/>
      <c r="I36" s="1032"/>
      <c r="J36" s="1032"/>
      <c r="K36" s="1033"/>
      <c r="P36" s="831"/>
      <c r="S36" s="1025"/>
      <c r="T36" s="1040"/>
      <c r="U36" s="1040"/>
      <c r="V36" s="1040"/>
    </row>
    <row r="37" spans="8:22" s="697" customFormat="1" ht="18" customHeight="1">
      <c r="H37" s="1032"/>
      <c r="I37" s="1032"/>
      <c r="J37" s="1032"/>
      <c r="K37" s="1033"/>
      <c r="P37" s="831"/>
      <c r="S37" s="988"/>
      <c r="V37" s="1041"/>
    </row>
    <row r="38" spans="8:22" s="697" customFormat="1" ht="18" customHeight="1">
      <c r="H38" s="1032"/>
      <c r="I38" s="1032"/>
      <c r="J38" s="1032"/>
      <c r="K38" s="1033"/>
      <c r="P38" s="831"/>
      <c r="S38" s="988"/>
      <c r="V38" s="1041"/>
    </row>
    <row r="39" spans="8:22" s="697" customFormat="1" ht="18" customHeight="1">
      <c r="H39" s="1032"/>
      <c r="I39" s="1032"/>
      <c r="J39" s="1032"/>
      <c r="K39" s="1033"/>
      <c r="P39" s="831"/>
      <c r="S39" s="988"/>
      <c r="V39" s="1041"/>
    </row>
    <row r="40" spans="8:22" s="697" customFormat="1" ht="18" customHeight="1">
      <c r="H40" s="1032"/>
      <c r="I40" s="1032"/>
      <c r="J40" s="1032"/>
      <c r="K40" s="1033"/>
      <c r="P40" s="831"/>
      <c r="S40" s="988"/>
      <c r="V40" s="1041"/>
    </row>
    <row r="41" spans="8:22" ht="18" customHeight="1"/>
    <row r="42" spans="8:22" ht="18" customHeight="1"/>
    <row r="43" spans="8:22" ht="18" customHeight="1"/>
    <row r="44" spans="8:22" ht="18" customHeight="1"/>
    <row r="45" spans="8:22" ht="18" customHeight="1"/>
    <row r="46" spans="8:22" ht="18" customHeight="1"/>
    <row r="47" spans="8:22" ht="18" customHeight="1"/>
  </sheetData>
  <mergeCells count="31">
    <mergeCell ref="P29:Q29"/>
    <mergeCell ref="N13:N14"/>
    <mergeCell ref="A19:H19"/>
    <mergeCell ref="J19:L19"/>
    <mergeCell ref="N19:Q19"/>
    <mergeCell ref="P12:P14"/>
    <mergeCell ref="Q12:Q14"/>
    <mergeCell ref="F13:F14"/>
    <mergeCell ref="G13:G14"/>
    <mergeCell ref="H13:H14"/>
    <mergeCell ref="I13:I14"/>
    <mergeCell ref="J13:J14"/>
    <mergeCell ref="K13:K14"/>
    <mergeCell ref="L13:L14"/>
    <mergeCell ref="M13:M14"/>
    <mergeCell ref="A9:Q9"/>
    <mergeCell ref="A12:A14"/>
    <mergeCell ref="B12:B14"/>
    <mergeCell ref="C12:C14"/>
    <mergeCell ref="D12:D14"/>
    <mergeCell ref="E12:E14"/>
    <mergeCell ref="F12:G12"/>
    <mergeCell ref="H12:J12"/>
    <mergeCell ref="K12:N12"/>
    <mergeCell ref="O12:O14"/>
    <mergeCell ref="A8:Q8"/>
    <mergeCell ref="A1:Q1"/>
    <mergeCell ref="A2:Q2"/>
    <mergeCell ref="A3:Q3"/>
    <mergeCell ref="A4:J4"/>
    <mergeCell ref="A5:J5"/>
  </mergeCells>
  <pageMargins left="0.19685039370078741" right="0.19685039370078741" top="0.39370078740157483" bottom="0.35433070866141736" header="0.31496062992125984" footer="0.31496062992125984"/>
  <pageSetup paperSize="9" scale="70" orientation="landscape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8"/>
  <sheetViews>
    <sheetView view="pageLayout" topLeftCell="A4" zoomScale="85" zoomScaleNormal="100" zoomScalePageLayoutView="85" workbookViewId="0">
      <selection sqref="A1:XFD1048576"/>
    </sheetView>
  </sheetViews>
  <sheetFormatPr defaultColWidth="9.25" defaultRowHeight="15"/>
  <cols>
    <col min="1" max="1" width="4.375" style="1949" customWidth="1"/>
    <col min="2" max="2" width="4.625" style="1956" customWidth="1"/>
    <col min="3" max="33" width="5.25" style="1942" customWidth="1"/>
    <col min="34" max="34" width="9.375" style="1942" customWidth="1"/>
    <col min="35" max="36" width="9.25" style="1942"/>
    <col min="37" max="37" width="9.375" style="1942" customWidth="1"/>
    <col min="38" max="16384" width="9.25" style="1942"/>
  </cols>
  <sheetData>
    <row r="1" spans="1:36" s="1941" customFormat="1" ht="14.25">
      <c r="A1" s="4207" t="s">
        <v>602</v>
      </c>
      <c r="B1" s="4207"/>
      <c r="C1" s="4207"/>
      <c r="D1" s="4207"/>
      <c r="E1" s="4207"/>
      <c r="F1" s="4207"/>
      <c r="G1" s="4207"/>
      <c r="H1" s="4207"/>
      <c r="I1" s="4207"/>
      <c r="J1" s="4207"/>
      <c r="U1" s="4207" t="s">
        <v>165</v>
      </c>
      <c r="V1" s="4207"/>
      <c r="W1" s="4207"/>
      <c r="X1" s="4207"/>
      <c r="Y1" s="4207"/>
      <c r="Z1" s="4207"/>
      <c r="AA1" s="4207"/>
      <c r="AB1" s="4207"/>
      <c r="AC1" s="4207"/>
      <c r="AD1" s="4207"/>
      <c r="AE1" s="4207"/>
      <c r="AF1" s="4207"/>
      <c r="AG1" s="4207"/>
      <c r="AH1" s="4207"/>
    </row>
    <row r="2" spans="1:36" s="1941" customFormat="1" ht="14.25">
      <c r="A2" s="4207" t="s">
        <v>541</v>
      </c>
      <c r="B2" s="4207"/>
      <c r="C2" s="4207"/>
      <c r="D2" s="4207"/>
      <c r="E2" s="4207"/>
      <c r="F2" s="4207"/>
      <c r="G2" s="4207"/>
      <c r="H2" s="4207"/>
      <c r="I2" s="4207"/>
      <c r="J2" s="4207"/>
      <c r="U2" s="4207" t="s">
        <v>171</v>
      </c>
      <c r="V2" s="4207"/>
      <c r="W2" s="4207"/>
      <c r="X2" s="4207"/>
      <c r="Y2" s="4207"/>
      <c r="Z2" s="4207"/>
      <c r="AA2" s="4207"/>
      <c r="AB2" s="4207"/>
      <c r="AC2" s="4207"/>
      <c r="AD2" s="4207"/>
      <c r="AE2" s="4207"/>
      <c r="AF2" s="4207"/>
      <c r="AG2" s="4207"/>
      <c r="AH2" s="4207"/>
    </row>
    <row r="3" spans="1:36" s="1941" customFormat="1" ht="14.25">
      <c r="A3" s="1959"/>
      <c r="B3" s="1959"/>
      <c r="C3" s="1959"/>
      <c r="D3" s="1959"/>
      <c r="E3" s="1959"/>
      <c r="F3" s="1959"/>
      <c r="G3" s="1959"/>
      <c r="H3" s="1959"/>
      <c r="I3" s="1959"/>
      <c r="J3" s="1959"/>
      <c r="U3" s="1959"/>
      <c r="V3" s="1959"/>
      <c r="W3" s="1959"/>
      <c r="X3" s="1959"/>
      <c r="Y3" s="1959"/>
      <c r="Z3" s="1959"/>
      <c r="AA3" s="1959"/>
      <c r="AB3" s="1959"/>
      <c r="AC3" s="1959"/>
      <c r="AD3" s="1959"/>
      <c r="AE3" s="1959"/>
      <c r="AF3" s="2165"/>
      <c r="AG3" s="1959"/>
      <c r="AH3" s="1959"/>
    </row>
    <row r="4" spans="1:36" s="1941" customFormat="1" ht="14.25">
      <c r="A4" s="1959"/>
      <c r="B4" s="1959"/>
      <c r="C4" s="1959"/>
      <c r="D4" s="1959"/>
      <c r="E4" s="1959"/>
      <c r="F4" s="1959"/>
      <c r="G4" s="1959"/>
      <c r="H4" s="1959"/>
      <c r="I4" s="1959"/>
      <c r="J4" s="1959"/>
      <c r="U4" s="1959"/>
      <c r="V4" s="1959"/>
      <c r="W4" s="1959"/>
      <c r="X4" s="1959"/>
      <c r="Y4" s="1959"/>
      <c r="Z4" s="1959"/>
      <c r="AA4" s="1959"/>
      <c r="AB4" s="1959"/>
      <c r="AC4" s="1959"/>
      <c r="AD4" s="1959"/>
      <c r="AE4" s="1959"/>
      <c r="AF4" s="2165"/>
      <c r="AG4" s="1959"/>
      <c r="AH4" s="1959"/>
    </row>
    <row r="5" spans="1:36" s="1941" customFormat="1" ht="14.25">
      <c r="A5" s="1959"/>
      <c r="B5" s="1959"/>
      <c r="C5" s="1959"/>
      <c r="D5" s="1959"/>
      <c r="E5" s="1959"/>
      <c r="F5" s="1959"/>
      <c r="G5" s="1959"/>
      <c r="H5" s="1959"/>
      <c r="I5" s="1959"/>
      <c r="J5" s="1959"/>
      <c r="U5" s="1959"/>
      <c r="V5" s="1959"/>
      <c r="W5" s="1959"/>
      <c r="X5" s="1959"/>
      <c r="Y5" s="1959"/>
      <c r="Z5" s="1959"/>
      <c r="AA5" s="1959"/>
      <c r="AB5" s="1959"/>
      <c r="AC5" s="1959"/>
      <c r="AD5" s="1959"/>
      <c r="AE5" s="1959"/>
      <c r="AF5" s="2165"/>
      <c r="AG5" s="1959"/>
      <c r="AH5" s="1959"/>
    </row>
    <row r="7" spans="1:36">
      <c r="A7" s="4207" t="s">
        <v>1176</v>
      </c>
      <c r="B7" s="4207"/>
      <c r="C7" s="4207"/>
      <c r="D7" s="4207"/>
      <c r="E7" s="4207"/>
      <c r="F7" s="4207"/>
      <c r="G7" s="4207"/>
      <c r="H7" s="4207"/>
      <c r="I7" s="4207"/>
      <c r="J7" s="4207"/>
      <c r="K7" s="4207"/>
      <c r="L7" s="4207"/>
      <c r="M7" s="4207"/>
      <c r="N7" s="4207"/>
      <c r="O7" s="4207"/>
      <c r="P7" s="4207"/>
      <c r="Q7" s="4207"/>
      <c r="R7" s="4207"/>
      <c r="S7" s="4207"/>
      <c r="T7" s="4207"/>
      <c r="U7" s="4207"/>
      <c r="V7" s="4207"/>
      <c r="W7" s="4207"/>
      <c r="X7" s="4207"/>
      <c r="Y7" s="4207"/>
      <c r="Z7" s="4207"/>
      <c r="AA7" s="4207"/>
      <c r="AB7" s="4207"/>
      <c r="AC7" s="4207"/>
      <c r="AD7" s="4207"/>
      <c r="AE7" s="4207"/>
      <c r="AF7" s="4207"/>
      <c r="AG7" s="4207"/>
      <c r="AH7" s="4207"/>
    </row>
    <row r="8" spans="1:36" s="1941" customFormat="1" ht="14.25">
      <c r="A8" s="1940" t="s">
        <v>1125</v>
      </c>
      <c r="B8" s="1954"/>
    </row>
    <row r="9" spans="1:36">
      <c r="A9" s="4208" t="s">
        <v>1</v>
      </c>
      <c r="B9" s="4209" t="s">
        <v>1136</v>
      </c>
      <c r="C9" s="4211" t="s">
        <v>829</v>
      </c>
      <c r="D9" s="4211"/>
      <c r="E9" s="4211"/>
      <c r="F9" s="4211"/>
      <c r="G9" s="4211"/>
      <c r="H9" s="4211"/>
      <c r="I9" s="4211"/>
      <c r="J9" s="4211"/>
      <c r="K9" s="4211"/>
      <c r="L9" s="4211"/>
      <c r="M9" s="4211"/>
      <c r="N9" s="4211"/>
      <c r="O9" s="4211"/>
      <c r="P9" s="4211"/>
      <c r="Q9" s="4211"/>
      <c r="R9" s="4211"/>
      <c r="S9" s="4211"/>
      <c r="T9" s="4211"/>
      <c r="U9" s="4211"/>
      <c r="V9" s="4211"/>
      <c r="W9" s="4211"/>
      <c r="X9" s="4211"/>
      <c r="Y9" s="4211"/>
      <c r="Z9" s="4211"/>
      <c r="AA9" s="4211"/>
      <c r="AB9" s="4211"/>
      <c r="AC9" s="4211"/>
      <c r="AD9" s="4211"/>
      <c r="AE9" s="4211"/>
      <c r="AF9" s="4211"/>
      <c r="AG9" s="4211"/>
      <c r="AH9" s="4212" t="s">
        <v>1126</v>
      </c>
    </row>
    <row r="10" spans="1:36">
      <c r="A10" s="4208"/>
      <c r="B10" s="4210"/>
      <c r="C10" s="1943">
        <v>1</v>
      </c>
      <c r="D10" s="1943">
        <v>2</v>
      </c>
      <c r="E10" s="1943">
        <v>3</v>
      </c>
      <c r="F10" s="1943">
        <v>4</v>
      </c>
      <c r="G10" s="1943">
        <v>5</v>
      </c>
      <c r="H10" s="1943">
        <v>6</v>
      </c>
      <c r="I10" s="1943">
        <v>7</v>
      </c>
      <c r="J10" s="1943">
        <v>8</v>
      </c>
      <c r="K10" s="1943">
        <v>9</v>
      </c>
      <c r="L10" s="1943">
        <v>10</v>
      </c>
      <c r="M10" s="1943">
        <v>11</v>
      </c>
      <c r="N10" s="1943">
        <v>12</v>
      </c>
      <c r="O10" s="1943">
        <v>13</v>
      </c>
      <c r="P10" s="1943">
        <v>14</v>
      </c>
      <c r="Q10" s="1943">
        <v>15</v>
      </c>
      <c r="R10" s="1943">
        <v>16</v>
      </c>
      <c r="S10" s="1943">
        <v>17</v>
      </c>
      <c r="T10" s="1943">
        <v>18</v>
      </c>
      <c r="U10" s="1943">
        <v>19</v>
      </c>
      <c r="V10" s="1943">
        <v>20</v>
      </c>
      <c r="W10" s="1943">
        <v>21</v>
      </c>
      <c r="X10" s="1943">
        <v>22</v>
      </c>
      <c r="Y10" s="1943">
        <v>23</v>
      </c>
      <c r="Z10" s="1943">
        <v>24</v>
      </c>
      <c r="AA10" s="1943">
        <v>25</v>
      </c>
      <c r="AB10" s="1943">
        <v>26</v>
      </c>
      <c r="AC10" s="1943">
        <v>27</v>
      </c>
      <c r="AD10" s="1943">
        <v>28</v>
      </c>
      <c r="AE10" s="1943">
        <v>29</v>
      </c>
      <c r="AF10" s="1943">
        <v>30</v>
      </c>
      <c r="AG10" s="1943">
        <v>31</v>
      </c>
      <c r="AH10" s="4212"/>
    </row>
    <row r="11" spans="1:36">
      <c r="A11" s="1944">
        <v>1</v>
      </c>
      <c r="B11" s="1955">
        <v>1</v>
      </c>
      <c r="C11" s="2170">
        <f>Mủ!D12</f>
        <v>331</v>
      </c>
      <c r="D11" s="2170">
        <f>Mủ!E12</f>
        <v>1552</v>
      </c>
      <c r="E11" s="2170">
        <f>Mủ!F12</f>
        <v>2928</v>
      </c>
      <c r="F11" s="2170">
        <f>Mủ!G12</f>
        <v>3497</v>
      </c>
      <c r="G11" s="2170">
        <f>Mủ!H12</f>
        <v>2007</v>
      </c>
      <c r="H11" s="2170">
        <f>Mủ!I12</f>
        <v>3861</v>
      </c>
      <c r="I11" s="2170">
        <f>Mủ!J12</f>
        <v>3410</v>
      </c>
      <c r="J11" s="2170">
        <f>Mủ!K12</f>
        <v>3399</v>
      </c>
      <c r="K11" s="2170">
        <f>Mủ!L12</f>
        <v>3296</v>
      </c>
      <c r="L11" s="2170">
        <f>Mủ!M12</f>
        <v>3651</v>
      </c>
      <c r="M11" s="2170">
        <f>Mủ!N12</f>
        <v>3214</v>
      </c>
      <c r="N11" s="2170">
        <f>Mủ!O12</f>
        <v>2837</v>
      </c>
      <c r="O11" s="2170">
        <f>Mủ!P12</f>
        <v>2749</v>
      </c>
      <c r="P11" s="2170">
        <f>Mủ!Q12</f>
        <v>3113</v>
      </c>
      <c r="Q11" s="2170">
        <f>Mủ!R12</f>
        <v>3262</v>
      </c>
      <c r="R11" s="2170">
        <f>Mủ!S12</f>
        <v>2357</v>
      </c>
      <c r="S11" s="2170">
        <f>Mủ!T12</f>
        <v>1960</v>
      </c>
      <c r="T11" s="2170">
        <f>Mủ!U12</f>
        <v>3592</v>
      </c>
      <c r="U11" s="2170">
        <f>Mủ!V12</f>
        <v>2365</v>
      </c>
      <c r="V11" s="2170">
        <f>Mủ!W12</f>
        <v>2818</v>
      </c>
      <c r="W11" s="2170">
        <f>Mủ!X12</f>
        <v>3904</v>
      </c>
      <c r="X11" s="2170">
        <f>Mủ!Y12</f>
        <v>2390</v>
      </c>
      <c r="Y11" s="2170">
        <f>Mủ!Z12</f>
        <v>2805</v>
      </c>
      <c r="Z11" s="2170">
        <f>Mủ!AA12</f>
        <v>1907</v>
      </c>
      <c r="AA11" s="2170">
        <f>Mủ!AB12</f>
        <v>2308</v>
      </c>
      <c r="AB11" s="2170">
        <f>Mủ!AC12</f>
        <v>2957</v>
      </c>
      <c r="AC11" s="2170">
        <f>Mủ!AD12</f>
        <v>2969</v>
      </c>
      <c r="AD11" s="2170">
        <f>Mủ!AE12</f>
        <v>2366</v>
      </c>
      <c r="AE11" s="2170">
        <f>Mủ!AF12</f>
        <v>2108</v>
      </c>
      <c r="AF11" s="2170">
        <f>Mủ!AG12</f>
        <v>3105</v>
      </c>
      <c r="AG11" s="2170">
        <f>Mủ!AH12</f>
        <v>1125</v>
      </c>
      <c r="AH11" s="1945">
        <f>SUM(C11:AG11)</f>
        <v>84143</v>
      </c>
      <c r="AJ11" s="1946"/>
    </row>
    <row r="12" spans="1:36">
      <c r="A12" s="1944">
        <v>2</v>
      </c>
      <c r="B12" s="1955">
        <v>2</v>
      </c>
      <c r="C12" s="2170">
        <f>Mủ!D49</f>
        <v>987</v>
      </c>
      <c r="D12" s="2170">
        <f>Mủ!E49</f>
        <v>1294</v>
      </c>
      <c r="E12" s="2170">
        <f>Mủ!F49</f>
        <v>1249</v>
      </c>
      <c r="F12" s="2170">
        <f>Mủ!G49</f>
        <v>1833</v>
      </c>
      <c r="G12" s="2170">
        <f>Mủ!H49</f>
        <v>1476</v>
      </c>
      <c r="H12" s="2170">
        <f>Mủ!I49</f>
        <v>1363</v>
      </c>
      <c r="I12" s="2170">
        <f>Mủ!J49</f>
        <v>1113</v>
      </c>
      <c r="J12" s="2170">
        <f>Mủ!K49</f>
        <v>1808</v>
      </c>
      <c r="K12" s="2170">
        <f>Mủ!L49</f>
        <v>1418</v>
      </c>
      <c r="L12" s="2170">
        <f>Mủ!M49</f>
        <v>1368</v>
      </c>
      <c r="M12" s="2170">
        <f>Mủ!N49</f>
        <v>1048</v>
      </c>
      <c r="N12" s="2170">
        <f>Mủ!O49</f>
        <v>1467</v>
      </c>
      <c r="O12" s="2170">
        <f>Mủ!P49</f>
        <v>967</v>
      </c>
      <c r="P12" s="2170">
        <f>Mủ!Q49</f>
        <v>795</v>
      </c>
      <c r="Q12" s="2170">
        <f>Mủ!R49</f>
        <v>962</v>
      </c>
      <c r="R12" s="2170">
        <f>Mủ!S49</f>
        <v>2189</v>
      </c>
      <c r="S12" s="2170">
        <f>Mủ!T49</f>
        <v>946</v>
      </c>
      <c r="T12" s="2170">
        <f>Mủ!U49</f>
        <v>1622</v>
      </c>
      <c r="U12" s="2170">
        <f>Mủ!V49</f>
        <v>1098</v>
      </c>
      <c r="V12" s="2170">
        <f>Mủ!W49</f>
        <v>1025</v>
      </c>
      <c r="W12" s="2170">
        <f>Mủ!X49</f>
        <v>965</v>
      </c>
      <c r="X12" s="2170">
        <f>Mủ!Y49</f>
        <v>1123</v>
      </c>
      <c r="Y12" s="2170">
        <f>Mủ!Z49</f>
        <v>729</v>
      </c>
      <c r="Z12" s="2170">
        <f>Mủ!AA49</f>
        <v>1735</v>
      </c>
      <c r="AA12" s="2170">
        <f>Mủ!AB49</f>
        <v>1356</v>
      </c>
      <c r="AB12" s="2170">
        <f>Mủ!AC49</f>
        <v>1347</v>
      </c>
      <c r="AC12" s="2170">
        <f>Mủ!AD49</f>
        <v>872</v>
      </c>
      <c r="AD12" s="2170">
        <f>Mủ!AE49</f>
        <v>877</v>
      </c>
      <c r="AE12" s="2170">
        <f>Mủ!AF49</f>
        <v>201</v>
      </c>
      <c r="AF12" s="2170">
        <f>Mủ!AG49</f>
        <v>967</v>
      </c>
      <c r="AG12" s="2170">
        <f>Mủ!AH49</f>
        <v>844</v>
      </c>
      <c r="AH12" s="1945">
        <f t="shared" ref="AH12:AH14" si="0">SUM(C12:AG12)</f>
        <v>37044</v>
      </c>
    </row>
    <row r="13" spans="1:36">
      <c r="A13" s="1944">
        <v>3</v>
      </c>
      <c r="B13" s="1955">
        <v>3</v>
      </c>
      <c r="C13" s="2170">
        <f>Mủ!D65</f>
        <v>127</v>
      </c>
      <c r="D13" s="2170">
        <f>Mủ!E65</f>
        <v>644</v>
      </c>
      <c r="E13" s="2170">
        <f>Mủ!F65</f>
        <v>907</v>
      </c>
      <c r="F13" s="2170">
        <f>Mủ!G65</f>
        <v>1171</v>
      </c>
      <c r="G13" s="2170">
        <f>Mủ!H65</f>
        <v>846</v>
      </c>
      <c r="H13" s="2170">
        <f>Mủ!I65</f>
        <v>1014</v>
      </c>
      <c r="I13" s="2170">
        <f>Mủ!J65</f>
        <v>802</v>
      </c>
      <c r="J13" s="2170">
        <f>Mủ!K65</f>
        <v>919</v>
      </c>
      <c r="K13" s="2170">
        <f>Mủ!L65</f>
        <v>645</v>
      </c>
      <c r="L13" s="2170">
        <f>Mủ!M65</f>
        <v>845</v>
      </c>
      <c r="M13" s="2170">
        <f>Mủ!N65</f>
        <v>842</v>
      </c>
      <c r="N13" s="2170">
        <f>Mủ!O65</f>
        <v>1463</v>
      </c>
      <c r="O13" s="2170">
        <f>Mủ!P65</f>
        <v>1095</v>
      </c>
      <c r="P13" s="2170">
        <f>Mủ!Q65</f>
        <v>1019</v>
      </c>
      <c r="Q13" s="2170">
        <f>Mủ!R65</f>
        <v>866</v>
      </c>
      <c r="R13" s="2170">
        <f>Mủ!S65</f>
        <v>486</v>
      </c>
      <c r="S13" s="2170">
        <f>Mủ!T65</f>
        <v>834</v>
      </c>
      <c r="T13" s="2170">
        <f>Mủ!U65</f>
        <v>1419</v>
      </c>
      <c r="U13" s="2170">
        <f>Mủ!V65</f>
        <v>312</v>
      </c>
      <c r="V13" s="2170">
        <f>Mủ!W65</f>
        <v>745</v>
      </c>
      <c r="W13" s="2170">
        <f>Mủ!X65</f>
        <v>1176</v>
      </c>
      <c r="X13" s="2170">
        <f>Mủ!Y65</f>
        <v>647</v>
      </c>
      <c r="Y13" s="2170">
        <f>Mủ!Z65</f>
        <v>610</v>
      </c>
      <c r="Z13" s="2170">
        <f>Mủ!AA65</f>
        <v>566</v>
      </c>
      <c r="AA13" s="2170">
        <f>Mủ!AB65</f>
        <v>281</v>
      </c>
      <c r="AB13" s="2170">
        <f>Mủ!AC65</f>
        <v>882</v>
      </c>
      <c r="AC13" s="2170">
        <f>Mủ!AD65</f>
        <v>824</v>
      </c>
      <c r="AD13" s="2170">
        <f>Mủ!AE65</f>
        <v>927</v>
      </c>
      <c r="AE13" s="2170">
        <f>Mủ!AF65</f>
        <v>694</v>
      </c>
      <c r="AF13" s="2170">
        <f>Mủ!AG65</f>
        <v>734</v>
      </c>
      <c r="AG13" s="2170">
        <f>Mủ!AH65</f>
        <v>0</v>
      </c>
      <c r="AH13" s="1945">
        <f t="shared" si="0"/>
        <v>24342</v>
      </c>
    </row>
    <row r="14" spans="1:36">
      <c r="A14" s="4213" t="s">
        <v>21</v>
      </c>
      <c r="B14" s="4214"/>
      <c r="C14" s="1943">
        <f>SUM(C11:C13)</f>
        <v>1445</v>
      </c>
      <c r="D14" s="1943">
        <f t="shared" ref="D14:AG14" si="1">SUM(D11:D13)</f>
        <v>3490</v>
      </c>
      <c r="E14" s="1943">
        <f t="shared" si="1"/>
        <v>5084</v>
      </c>
      <c r="F14" s="1943">
        <f t="shared" si="1"/>
        <v>6501</v>
      </c>
      <c r="G14" s="1943">
        <f t="shared" si="1"/>
        <v>4329</v>
      </c>
      <c r="H14" s="1943">
        <f t="shared" si="1"/>
        <v>6238</v>
      </c>
      <c r="I14" s="1943">
        <f t="shared" si="1"/>
        <v>5325</v>
      </c>
      <c r="J14" s="1943">
        <f t="shared" si="1"/>
        <v>6126</v>
      </c>
      <c r="K14" s="1943">
        <f t="shared" si="1"/>
        <v>5359</v>
      </c>
      <c r="L14" s="1943">
        <f t="shared" si="1"/>
        <v>5864</v>
      </c>
      <c r="M14" s="1943">
        <f t="shared" si="1"/>
        <v>5104</v>
      </c>
      <c r="N14" s="1943">
        <f t="shared" si="1"/>
        <v>5767</v>
      </c>
      <c r="O14" s="1943">
        <f t="shared" si="1"/>
        <v>4811</v>
      </c>
      <c r="P14" s="1943">
        <f t="shared" si="1"/>
        <v>4927</v>
      </c>
      <c r="Q14" s="1943">
        <f t="shared" si="1"/>
        <v>5090</v>
      </c>
      <c r="R14" s="1943">
        <f t="shared" si="1"/>
        <v>5032</v>
      </c>
      <c r="S14" s="1943">
        <f t="shared" si="1"/>
        <v>3740</v>
      </c>
      <c r="T14" s="1943">
        <f t="shared" si="1"/>
        <v>6633</v>
      </c>
      <c r="U14" s="1943">
        <f t="shared" si="1"/>
        <v>3775</v>
      </c>
      <c r="V14" s="1943">
        <f t="shared" si="1"/>
        <v>4588</v>
      </c>
      <c r="W14" s="1943">
        <f t="shared" si="1"/>
        <v>6045</v>
      </c>
      <c r="X14" s="1943">
        <f t="shared" si="1"/>
        <v>4160</v>
      </c>
      <c r="Y14" s="1943">
        <f t="shared" si="1"/>
        <v>4144</v>
      </c>
      <c r="Z14" s="1943">
        <f t="shared" si="1"/>
        <v>4208</v>
      </c>
      <c r="AA14" s="1943">
        <f t="shared" si="1"/>
        <v>3945</v>
      </c>
      <c r="AB14" s="1943">
        <f t="shared" si="1"/>
        <v>5186</v>
      </c>
      <c r="AC14" s="1943">
        <f t="shared" si="1"/>
        <v>4665</v>
      </c>
      <c r="AD14" s="1943">
        <f t="shared" si="1"/>
        <v>4170</v>
      </c>
      <c r="AE14" s="1943">
        <f t="shared" si="1"/>
        <v>3003</v>
      </c>
      <c r="AF14" s="1943">
        <f t="shared" si="1"/>
        <v>4806</v>
      </c>
      <c r="AG14" s="1943">
        <f t="shared" si="1"/>
        <v>1969</v>
      </c>
      <c r="AH14" s="1945">
        <f t="shared" si="0"/>
        <v>145529</v>
      </c>
    </row>
    <row r="16" spans="1:36" s="1941" customFormat="1" ht="14.25">
      <c r="A16" s="1940" t="s">
        <v>1127</v>
      </c>
      <c r="B16" s="1954"/>
    </row>
    <row r="17" spans="1:34" ht="15" customHeight="1">
      <c r="A17" s="4208" t="s">
        <v>1</v>
      </c>
      <c r="B17" s="4209" t="s">
        <v>1136</v>
      </c>
      <c r="C17" s="4211" t="s">
        <v>829</v>
      </c>
      <c r="D17" s="4211"/>
      <c r="E17" s="4211"/>
      <c r="F17" s="4211"/>
      <c r="G17" s="4211"/>
      <c r="H17" s="4211"/>
      <c r="I17" s="4211"/>
      <c r="J17" s="4211"/>
      <c r="K17" s="4211"/>
      <c r="L17" s="4211"/>
      <c r="M17" s="4211"/>
      <c r="N17" s="4211"/>
      <c r="O17" s="4211"/>
      <c r="P17" s="4211"/>
      <c r="Q17" s="4211"/>
      <c r="R17" s="4211"/>
      <c r="S17" s="4211"/>
      <c r="T17" s="4211"/>
      <c r="U17" s="4211"/>
      <c r="V17" s="4211"/>
      <c r="W17" s="4211"/>
      <c r="X17" s="4211"/>
      <c r="Y17" s="4211"/>
      <c r="Z17" s="4211"/>
      <c r="AA17" s="4211"/>
      <c r="AB17" s="4211"/>
      <c r="AC17" s="4211"/>
      <c r="AD17" s="4211"/>
      <c r="AE17" s="4211"/>
      <c r="AF17" s="4211"/>
      <c r="AG17" s="4211"/>
      <c r="AH17" s="4212" t="s">
        <v>1128</v>
      </c>
    </row>
    <row r="18" spans="1:34">
      <c r="A18" s="4208"/>
      <c r="B18" s="4210"/>
      <c r="C18" s="1943">
        <v>1</v>
      </c>
      <c r="D18" s="1943">
        <v>2</v>
      </c>
      <c r="E18" s="1943">
        <v>3</v>
      </c>
      <c r="F18" s="1943">
        <v>4</v>
      </c>
      <c r="G18" s="1943">
        <v>5</v>
      </c>
      <c r="H18" s="1943">
        <v>6</v>
      </c>
      <c r="I18" s="1943">
        <v>7</v>
      </c>
      <c r="J18" s="1943">
        <v>8</v>
      </c>
      <c r="K18" s="1943">
        <v>9</v>
      </c>
      <c r="L18" s="1943">
        <v>10</v>
      </c>
      <c r="M18" s="1943">
        <v>11</v>
      </c>
      <c r="N18" s="1943">
        <v>12</v>
      </c>
      <c r="O18" s="1943">
        <v>13</v>
      </c>
      <c r="P18" s="1943">
        <v>14</v>
      </c>
      <c r="Q18" s="1943">
        <v>15</v>
      </c>
      <c r="R18" s="1943">
        <v>16</v>
      </c>
      <c r="S18" s="1943">
        <v>17</v>
      </c>
      <c r="T18" s="1943">
        <v>18</v>
      </c>
      <c r="U18" s="1943">
        <v>19</v>
      </c>
      <c r="V18" s="1943">
        <v>20</v>
      </c>
      <c r="W18" s="1943">
        <v>21</v>
      </c>
      <c r="X18" s="1943">
        <v>22</v>
      </c>
      <c r="Y18" s="1943">
        <v>23</v>
      </c>
      <c r="Z18" s="1943">
        <v>24</v>
      </c>
      <c r="AA18" s="1943">
        <v>25</v>
      </c>
      <c r="AB18" s="1943">
        <v>26</v>
      </c>
      <c r="AC18" s="1943">
        <v>27</v>
      </c>
      <c r="AD18" s="1943">
        <v>28</v>
      </c>
      <c r="AE18" s="1943">
        <v>29</v>
      </c>
      <c r="AF18" s="1943">
        <v>30</v>
      </c>
      <c r="AG18" s="1943">
        <v>31</v>
      </c>
      <c r="AH18" s="4212"/>
    </row>
    <row r="19" spans="1:34">
      <c r="A19" s="1944">
        <v>1</v>
      </c>
      <c r="B19" s="1955">
        <v>1</v>
      </c>
      <c r="C19" s="1943"/>
      <c r="D19" s="1943"/>
      <c r="E19" s="1943"/>
      <c r="F19" s="1943"/>
      <c r="G19" s="1943"/>
      <c r="H19" s="1943"/>
      <c r="I19" s="1943"/>
      <c r="J19" s="1943"/>
      <c r="K19" s="1943"/>
      <c r="L19" s="1943"/>
      <c r="M19" s="1943"/>
      <c r="N19" s="1943"/>
      <c r="O19" s="1943"/>
      <c r="P19" s="1943"/>
      <c r="Q19" s="1943"/>
      <c r="R19" s="1943"/>
      <c r="S19" s="1943"/>
      <c r="T19" s="1943"/>
      <c r="U19" s="1943"/>
      <c r="V19" s="1943"/>
      <c r="W19" s="1943"/>
      <c r="X19" s="1943"/>
      <c r="Y19" s="1943"/>
      <c r="Z19" s="1943"/>
      <c r="AA19" s="1943"/>
      <c r="AB19" s="1943"/>
      <c r="AC19" s="1943"/>
      <c r="AD19" s="1943"/>
      <c r="AE19" s="1943"/>
      <c r="AF19" s="1943"/>
      <c r="AG19" s="1943"/>
      <c r="AH19" s="1945">
        <f t="shared" ref="AH19:AH22" si="2">SUM(C19:AG19)</f>
        <v>0</v>
      </c>
    </row>
    <row r="20" spans="1:34">
      <c r="A20" s="1944">
        <v>2</v>
      </c>
      <c r="B20" s="1955">
        <v>2</v>
      </c>
      <c r="C20" s="1943"/>
      <c r="D20" s="1943"/>
      <c r="E20" s="1943"/>
      <c r="F20" s="1943"/>
      <c r="G20" s="1943"/>
      <c r="H20" s="1943"/>
      <c r="I20" s="1943"/>
      <c r="J20" s="1943"/>
      <c r="K20" s="1943"/>
      <c r="L20" s="1943"/>
      <c r="M20" s="1943"/>
      <c r="N20" s="1943"/>
      <c r="O20" s="1943"/>
      <c r="P20" s="1943"/>
      <c r="Q20" s="1943"/>
      <c r="R20" s="1943"/>
      <c r="S20" s="1943"/>
      <c r="T20" s="1943"/>
      <c r="U20" s="1943"/>
      <c r="V20" s="1943"/>
      <c r="W20" s="1943"/>
      <c r="X20" s="1943"/>
      <c r="Y20" s="1943"/>
      <c r="Z20" s="1943"/>
      <c r="AA20" s="1943"/>
      <c r="AB20" s="1943"/>
      <c r="AC20" s="1943"/>
      <c r="AD20" s="1943"/>
      <c r="AE20" s="1943"/>
      <c r="AF20" s="1943"/>
      <c r="AG20" s="1943"/>
      <c r="AH20" s="1945">
        <f t="shared" si="2"/>
        <v>0</v>
      </c>
    </row>
    <row r="21" spans="1:34">
      <c r="A21" s="1944">
        <v>3</v>
      </c>
      <c r="B21" s="1955">
        <v>3</v>
      </c>
      <c r="C21" s="1943"/>
      <c r="D21" s="1943"/>
      <c r="E21" s="1943"/>
      <c r="F21" s="1943"/>
      <c r="G21" s="1943"/>
      <c r="H21" s="1943"/>
      <c r="I21" s="1943"/>
      <c r="J21" s="1943"/>
      <c r="K21" s="1943"/>
      <c r="L21" s="1943"/>
      <c r="M21" s="1943"/>
      <c r="N21" s="1943"/>
      <c r="O21" s="1943"/>
      <c r="P21" s="1943"/>
      <c r="Q21" s="1943"/>
      <c r="R21" s="1943"/>
      <c r="S21" s="1943"/>
      <c r="T21" s="1943"/>
      <c r="U21" s="1943"/>
      <c r="V21" s="1943"/>
      <c r="W21" s="1943"/>
      <c r="X21" s="1943"/>
      <c r="Y21" s="1943"/>
      <c r="Z21" s="1943"/>
      <c r="AA21" s="1943"/>
      <c r="AB21" s="1943"/>
      <c r="AC21" s="1943"/>
      <c r="AD21" s="1943"/>
      <c r="AE21" s="1943"/>
      <c r="AF21" s="1943"/>
      <c r="AG21" s="1943"/>
      <c r="AH21" s="1945">
        <f t="shared" si="2"/>
        <v>0</v>
      </c>
    </row>
    <row r="22" spans="1:34">
      <c r="A22" s="4213" t="s">
        <v>21</v>
      </c>
      <c r="B22" s="4214"/>
      <c r="C22" s="1943">
        <f t="shared" ref="C22:AG22" si="3">SUM(C19:C21)</f>
        <v>0</v>
      </c>
      <c r="D22" s="1943">
        <f t="shared" si="3"/>
        <v>0</v>
      </c>
      <c r="E22" s="1943">
        <f t="shared" si="3"/>
        <v>0</v>
      </c>
      <c r="F22" s="1943">
        <f t="shared" si="3"/>
        <v>0</v>
      </c>
      <c r="G22" s="1943">
        <f t="shared" si="3"/>
        <v>0</v>
      </c>
      <c r="H22" s="1943">
        <f t="shared" si="3"/>
        <v>0</v>
      </c>
      <c r="I22" s="1943">
        <f t="shared" si="3"/>
        <v>0</v>
      </c>
      <c r="J22" s="1943">
        <f t="shared" si="3"/>
        <v>0</v>
      </c>
      <c r="K22" s="1943">
        <f t="shared" si="3"/>
        <v>0</v>
      </c>
      <c r="L22" s="1943">
        <f t="shared" si="3"/>
        <v>0</v>
      </c>
      <c r="M22" s="1943">
        <f t="shared" si="3"/>
        <v>0</v>
      </c>
      <c r="N22" s="1943">
        <f t="shared" si="3"/>
        <v>0</v>
      </c>
      <c r="O22" s="1943">
        <f t="shared" si="3"/>
        <v>0</v>
      </c>
      <c r="P22" s="1943">
        <f t="shared" si="3"/>
        <v>0</v>
      </c>
      <c r="Q22" s="1943">
        <f t="shared" si="3"/>
        <v>0</v>
      </c>
      <c r="R22" s="1943">
        <f t="shared" si="3"/>
        <v>0</v>
      </c>
      <c r="S22" s="1943">
        <f t="shared" si="3"/>
        <v>0</v>
      </c>
      <c r="T22" s="1943">
        <f t="shared" si="3"/>
        <v>0</v>
      </c>
      <c r="U22" s="1943">
        <f t="shared" si="3"/>
        <v>0</v>
      </c>
      <c r="V22" s="1943">
        <f t="shared" si="3"/>
        <v>0</v>
      </c>
      <c r="W22" s="1943">
        <f t="shared" si="3"/>
        <v>0</v>
      </c>
      <c r="X22" s="1943">
        <f t="shared" si="3"/>
        <v>0</v>
      </c>
      <c r="Y22" s="1943">
        <f t="shared" si="3"/>
        <v>0</v>
      </c>
      <c r="Z22" s="1943">
        <f t="shared" si="3"/>
        <v>0</v>
      </c>
      <c r="AA22" s="1943">
        <f t="shared" si="3"/>
        <v>0</v>
      </c>
      <c r="AB22" s="1943">
        <f t="shared" si="3"/>
        <v>0</v>
      </c>
      <c r="AC22" s="1943">
        <f t="shared" si="3"/>
        <v>0</v>
      </c>
      <c r="AD22" s="1943">
        <f t="shared" si="3"/>
        <v>0</v>
      </c>
      <c r="AE22" s="1943">
        <f t="shared" si="3"/>
        <v>0</v>
      </c>
      <c r="AF22" s="1943"/>
      <c r="AG22" s="1943">
        <f t="shared" si="3"/>
        <v>0</v>
      </c>
      <c r="AH22" s="1945">
        <f t="shared" si="2"/>
        <v>0</v>
      </c>
    </row>
    <row r="23" spans="1:34">
      <c r="A23" s="1947"/>
      <c r="B23" s="4220" t="s">
        <v>1129</v>
      </c>
      <c r="C23" s="4220"/>
      <c r="D23" s="4221">
        <f>+AH14</f>
        <v>145529</v>
      </c>
      <c r="E23" s="4221"/>
      <c r="F23" s="1948" t="s">
        <v>1130</v>
      </c>
      <c r="G23" s="1948" t="s">
        <v>1131</v>
      </c>
      <c r="H23" s="1948"/>
      <c r="I23" s="1948">
        <v>40</v>
      </c>
      <c r="J23" s="1948" t="s">
        <v>1132</v>
      </c>
      <c r="K23" s="1948"/>
      <c r="L23" s="1948"/>
      <c r="M23" s="1948"/>
      <c r="N23" s="1948"/>
      <c r="O23" s="1948"/>
      <c r="P23" s="1948"/>
      <c r="Q23" s="1948"/>
      <c r="R23" s="1948"/>
      <c r="S23" s="1948"/>
      <c r="T23" s="1948"/>
      <c r="U23" s="1948"/>
      <c r="V23" s="1948"/>
      <c r="W23" s="1948"/>
      <c r="X23" s="1948"/>
      <c r="Y23" s="1948"/>
      <c r="Z23" s="1948"/>
      <c r="AA23" s="1948"/>
      <c r="AB23" s="1948"/>
      <c r="AC23" s="1948"/>
      <c r="AD23" s="1948"/>
      <c r="AE23" s="1948"/>
      <c r="AF23" s="1948"/>
      <c r="AG23" s="1948"/>
      <c r="AH23" s="1948"/>
    </row>
    <row r="24" spans="1:34">
      <c r="A24" s="1947"/>
      <c r="B24" s="4216" t="s">
        <v>1133</v>
      </c>
      <c r="C24" s="4216"/>
      <c r="D24" s="4217">
        <f>+AH22</f>
        <v>0</v>
      </c>
      <c r="E24" s="4217"/>
      <c r="F24" s="1948" t="s">
        <v>1130</v>
      </c>
      <c r="G24" s="1948" t="s">
        <v>1131</v>
      </c>
      <c r="H24" s="1948"/>
      <c r="I24" s="1948"/>
      <c r="J24" s="1948" t="s">
        <v>1132</v>
      </c>
      <c r="K24" s="1948"/>
      <c r="L24" s="1948"/>
      <c r="M24" s="1948"/>
      <c r="N24" s="1948"/>
      <c r="O24" s="1948"/>
      <c r="P24" s="1948"/>
      <c r="Q24" s="1948"/>
      <c r="R24" s="1948"/>
      <c r="S24" s="1948"/>
      <c r="T24" s="1948"/>
      <c r="U24" s="1948"/>
      <c r="V24" s="1948"/>
      <c r="W24" s="1948"/>
      <c r="X24" s="1948"/>
      <c r="Y24" s="1948"/>
      <c r="Z24" s="1948"/>
      <c r="AA24" s="1948"/>
      <c r="AB24" s="1948"/>
      <c r="AC24" s="1948"/>
      <c r="AD24" s="1948"/>
      <c r="AE24" s="1948"/>
      <c r="AF24" s="1948"/>
      <c r="AG24" s="1948"/>
      <c r="AH24" s="1948"/>
    </row>
    <row r="25" spans="1:34">
      <c r="B25" s="4218" t="s">
        <v>1134</v>
      </c>
      <c r="C25" s="4218"/>
      <c r="D25" s="4219">
        <f>+(D23*I23+D24*I24)/100</f>
        <v>58211.6</v>
      </c>
      <c r="E25" s="4219"/>
      <c r="F25" s="1950" t="s">
        <v>1130</v>
      </c>
      <c r="Y25" s="4222" t="s">
        <v>1177</v>
      </c>
      <c r="Z25" s="4222"/>
      <c r="AA25" s="4222"/>
      <c r="AB25" s="4222"/>
      <c r="AC25" s="4222"/>
      <c r="AD25" s="4222"/>
      <c r="AE25" s="4222"/>
      <c r="AF25" s="4222"/>
      <c r="AG25" s="4222"/>
      <c r="AH25" s="4222"/>
    </row>
    <row r="27" spans="1:34" s="1941" customFormat="1" ht="14.25" customHeight="1">
      <c r="A27" s="4215" t="s">
        <v>46</v>
      </c>
      <c r="B27" s="4215"/>
      <c r="C27" s="4215"/>
      <c r="D27" s="4215"/>
      <c r="E27" s="4215"/>
      <c r="F27" s="4215"/>
      <c r="G27" s="4215"/>
      <c r="H27" s="1952"/>
      <c r="I27" s="1952"/>
      <c r="J27" s="1952"/>
      <c r="K27" s="1952"/>
      <c r="N27" s="4207" t="s">
        <v>1135</v>
      </c>
      <c r="O27" s="4207"/>
      <c r="P27" s="4207"/>
      <c r="Q27" s="4207"/>
      <c r="R27" s="4207"/>
      <c r="S27" s="4207"/>
      <c r="T27" s="1952"/>
      <c r="U27" s="1952"/>
      <c r="V27" s="1952"/>
      <c r="W27" s="1952"/>
      <c r="X27" s="1952"/>
      <c r="Y27" s="1952"/>
      <c r="Z27" s="1952"/>
      <c r="AA27" s="4207" t="s">
        <v>541</v>
      </c>
      <c r="AB27" s="4207"/>
      <c r="AC27" s="4207"/>
      <c r="AD27" s="4207"/>
      <c r="AE27" s="4207"/>
      <c r="AF27" s="4207"/>
      <c r="AG27" s="4207"/>
      <c r="AH27" s="4207"/>
    </row>
    <row r="28" spans="1:34" s="1941" customFormat="1" ht="14.25">
      <c r="A28" s="1951"/>
      <c r="B28" s="1953"/>
      <c r="C28" s="1953"/>
      <c r="D28" s="1953"/>
      <c r="V28" s="1952"/>
      <c r="X28" s="1952"/>
      <c r="Y28" s="1952"/>
      <c r="Z28" s="1952"/>
      <c r="AA28" s="1952"/>
      <c r="AB28" s="1952"/>
      <c r="AC28" s="1952"/>
      <c r="AD28" s="1952"/>
      <c r="AE28" s="1952"/>
      <c r="AF28" s="1952"/>
      <c r="AG28" s="1952"/>
      <c r="AH28" s="1952"/>
    </row>
  </sheetData>
  <mergeCells count="25">
    <mergeCell ref="A14:B14"/>
    <mergeCell ref="A22:B22"/>
    <mergeCell ref="AA27:AH27"/>
    <mergeCell ref="N27:S27"/>
    <mergeCell ref="A27:G27"/>
    <mergeCell ref="B24:C24"/>
    <mergeCell ref="D24:E24"/>
    <mergeCell ref="B25:C25"/>
    <mergeCell ref="D25:E25"/>
    <mergeCell ref="A17:A18"/>
    <mergeCell ref="B17:B18"/>
    <mergeCell ref="C17:AG17"/>
    <mergeCell ref="AH17:AH18"/>
    <mergeCell ref="B23:C23"/>
    <mergeCell ref="D23:E23"/>
    <mergeCell ref="Y25:AH25"/>
    <mergeCell ref="U1:AH1"/>
    <mergeCell ref="U2:AH2"/>
    <mergeCell ref="A7:AH7"/>
    <mergeCell ref="A9:A10"/>
    <mergeCell ref="B9:B10"/>
    <mergeCell ref="C9:AG9"/>
    <mergeCell ref="AH9:AH10"/>
    <mergeCell ref="A2:J2"/>
    <mergeCell ref="A1:J1"/>
  </mergeCells>
  <pageMargins left="0.7" right="0.7" top="0.5" bottom="0.75" header="0.3" footer="0.3"/>
  <pageSetup paperSize="9" scale="64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8"/>
  <sheetViews>
    <sheetView workbookViewId="0">
      <selection sqref="A1:XFD1048576"/>
    </sheetView>
  </sheetViews>
  <sheetFormatPr defaultColWidth="9.25" defaultRowHeight="15"/>
  <cols>
    <col min="1" max="1" width="4.375" style="1949" customWidth="1"/>
    <col min="2" max="2" width="4.625" style="1956" customWidth="1"/>
    <col min="3" max="33" width="5.25" style="1942" customWidth="1"/>
    <col min="34" max="34" width="9.375" style="1942" customWidth="1"/>
    <col min="35" max="36" width="9.25" style="1942"/>
    <col min="37" max="37" width="9.375" style="1942" customWidth="1"/>
    <col min="38" max="16384" width="9.25" style="1942"/>
  </cols>
  <sheetData>
    <row r="1" spans="1:36" s="1941" customFormat="1" ht="14.25">
      <c r="A1" s="4207" t="s">
        <v>602</v>
      </c>
      <c r="B1" s="4207"/>
      <c r="C1" s="4207"/>
      <c r="D1" s="4207"/>
      <c r="E1" s="4207"/>
      <c r="F1" s="4207"/>
      <c r="G1" s="4207"/>
      <c r="H1" s="4207"/>
      <c r="I1" s="4207"/>
      <c r="J1" s="4207"/>
      <c r="U1" s="4207" t="s">
        <v>165</v>
      </c>
      <c r="V1" s="4207"/>
      <c r="W1" s="4207"/>
      <c r="X1" s="4207"/>
      <c r="Y1" s="4207"/>
      <c r="Z1" s="4207"/>
      <c r="AA1" s="4207"/>
      <c r="AB1" s="4207"/>
      <c r="AC1" s="4207"/>
      <c r="AD1" s="4207"/>
      <c r="AE1" s="4207"/>
      <c r="AF1" s="4207"/>
      <c r="AG1" s="4207"/>
      <c r="AH1" s="4207"/>
    </row>
    <row r="2" spans="1:36" s="1941" customFormat="1" ht="14.25">
      <c r="A2" s="4207" t="s">
        <v>541</v>
      </c>
      <c r="B2" s="4207"/>
      <c r="C2" s="4207"/>
      <c r="D2" s="4207"/>
      <c r="E2" s="4207"/>
      <c r="F2" s="4207"/>
      <c r="G2" s="4207"/>
      <c r="H2" s="4207"/>
      <c r="I2" s="4207"/>
      <c r="J2" s="4207"/>
      <c r="U2" s="4207" t="s">
        <v>171</v>
      </c>
      <c r="V2" s="4207"/>
      <c r="W2" s="4207"/>
      <c r="X2" s="4207"/>
      <c r="Y2" s="4207"/>
      <c r="Z2" s="4207"/>
      <c r="AA2" s="4207"/>
      <c r="AB2" s="4207"/>
      <c r="AC2" s="4207"/>
      <c r="AD2" s="4207"/>
      <c r="AE2" s="4207"/>
      <c r="AF2" s="4207"/>
      <c r="AG2" s="4207"/>
      <c r="AH2" s="4207"/>
    </row>
    <row r="3" spans="1:36" s="1941" customFormat="1" ht="14.25">
      <c r="A3" s="2165"/>
      <c r="B3" s="2165"/>
      <c r="C3" s="2165"/>
      <c r="D3" s="2165"/>
      <c r="E3" s="2165"/>
      <c r="F3" s="2165"/>
      <c r="G3" s="2165"/>
      <c r="H3" s="2165"/>
      <c r="I3" s="2165"/>
      <c r="J3" s="2165"/>
      <c r="U3" s="2165"/>
      <c r="V3" s="2165"/>
      <c r="W3" s="2165"/>
      <c r="X3" s="2165"/>
      <c r="Y3" s="2165"/>
      <c r="Z3" s="2165"/>
      <c r="AA3" s="2165"/>
      <c r="AB3" s="2165"/>
      <c r="AC3" s="2165"/>
      <c r="AD3" s="2165"/>
      <c r="AE3" s="2165"/>
      <c r="AF3" s="2165"/>
      <c r="AG3" s="2165"/>
      <c r="AH3" s="2165"/>
    </row>
    <row r="4" spans="1:36" s="1941" customFormat="1" ht="14.25">
      <c r="A4" s="2165"/>
      <c r="B4" s="2165"/>
      <c r="C4" s="2165"/>
      <c r="D4" s="2165"/>
      <c r="E4" s="2165"/>
      <c r="F4" s="2165"/>
      <c r="G4" s="2165"/>
      <c r="H4" s="2165"/>
      <c r="I4" s="2165"/>
      <c r="J4" s="2165"/>
      <c r="U4" s="2165"/>
      <c r="V4" s="2165"/>
      <c r="W4" s="2165"/>
      <c r="X4" s="2165"/>
      <c r="Y4" s="2165"/>
      <c r="Z4" s="2165"/>
      <c r="AA4" s="2165"/>
      <c r="AB4" s="2165"/>
      <c r="AC4" s="2165"/>
      <c r="AD4" s="2165"/>
      <c r="AE4" s="2165"/>
      <c r="AF4" s="2165"/>
      <c r="AG4" s="2165"/>
      <c r="AH4" s="2165"/>
    </row>
    <row r="5" spans="1:36" s="1941" customFormat="1" ht="14.25">
      <c r="A5" s="2165"/>
      <c r="B5" s="2165"/>
      <c r="C5" s="2165"/>
      <c r="D5" s="2165"/>
      <c r="E5" s="2165"/>
      <c r="F5" s="2165"/>
      <c r="G5" s="2165"/>
      <c r="H5" s="2165"/>
      <c r="I5" s="2165"/>
      <c r="J5" s="2165"/>
      <c r="U5" s="2165"/>
      <c r="V5" s="2165"/>
      <c r="W5" s="2165"/>
      <c r="X5" s="2165"/>
      <c r="Y5" s="2165"/>
      <c r="Z5" s="2165"/>
      <c r="AA5" s="2165"/>
      <c r="AB5" s="2165"/>
      <c r="AC5" s="2165"/>
      <c r="AD5" s="2165"/>
      <c r="AE5" s="2165"/>
      <c r="AF5" s="2165"/>
      <c r="AG5" s="2165"/>
      <c r="AH5" s="2165"/>
    </row>
    <row r="7" spans="1:36">
      <c r="A7" s="4207" t="s">
        <v>1179</v>
      </c>
      <c r="B7" s="4207"/>
      <c r="C7" s="4207"/>
      <c r="D7" s="4207"/>
      <c r="E7" s="4207"/>
      <c r="F7" s="4207"/>
      <c r="G7" s="4207"/>
      <c r="H7" s="4207"/>
      <c r="I7" s="4207"/>
      <c r="J7" s="4207"/>
      <c r="K7" s="4207"/>
      <c r="L7" s="4207"/>
      <c r="M7" s="4207"/>
      <c r="N7" s="4207"/>
      <c r="O7" s="4207"/>
      <c r="P7" s="4207"/>
      <c r="Q7" s="4207"/>
      <c r="R7" s="4207"/>
      <c r="S7" s="4207"/>
      <c r="T7" s="4207"/>
      <c r="U7" s="4207"/>
      <c r="V7" s="4207"/>
      <c r="W7" s="4207"/>
      <c r="X7" s="4207"/>
      <c r="Y7" s="4207"/>
      <c r="Z7" s="4207"/>
      <c r="AA7" s="4207"/>
      <c r="AB7" s="4207"/>
      <c r="AC7" s="4207"/>
      <c r="AD7" s="4207"/>
      <c r="AE7" s="4207"/>
      <c r="AF7" s="4207"/>
      <c r="AG7" s="4207"/>
      <c r="AH7" s="4207"/>
    </row>
    <row r="8" spans="1:36" s="1941" customFormat="1" ht="14.25">
      <c r="A8" s="1940" t="s">
        <v>1125</v>
      </c>
      <c r="B8" s="1954"/>
    </row>
    <row r="9" spans="1:36">
      <c r="A9" s="4208" t="s">
        <v>1</v>
      </c>
      <c r="B9" s="4209" t="s">
        <v>1136</v>
      </c>
      <c r="C9" s="4211" t="s">
        <v>829</v>
      </c>
      <c r="D9" s="4211"/>
      <c r="E9" s="4211"/>
      <c r="F9" s="4211"/>
      <c r="G9" s="4211"/>
      <c r="H9" s="4211"/>
      <c r="I9" s="4211"/>
      <c r="J9" s="4211"/>
      <c r="K9" s="4211"/>
      <c r="L9" s="4211"/>
      <c r="M9" s="4211"/>
      <c r="N9" s="4211"/>
      <c r="O9" s="4211"/>
      <c r="P9" s="4211"/>
      <c r="Q9" s="4211"/>
      <c r="R9" s="4211"/>
      <c r="S9" s="4211"/>
      <c r="T9" s="4211"/>
      <c r="U9" s="4211"/>
      <c r="V9" s="4211"/>
      <c r="W9" s="4211"/>
      <c r="X9" s="4211"/>
      <c r="Y9" s="4211"/>
      <c r="Z9" s="4211"/>
      <c r="AA9" s="4211"/>
      <c r="AB9" s="4211"/>
      <c r="AC9" s="4211"/>
      <c r="AD9" s="4211"/>
      <c r="AE9" s="4211"/>
      <c r="AF9" s="4211"/>
      <c r="AG9" s="4211"/>
      <c r="AH9" s="4212" t="s">
        <v>1126</v>
      </c>
    </row>
    <row r="10" spans="1:36">
      <c r="A10" s="4208"/>
      <c r="B10" s="4210"/>
      <c r="C10" s="1943">
        <v>1</v>
      </c>
      <c r="D10" s="1943">
        <v>2</v>
      </c>
      <c r="E10" s="1943">
        <v>3</v>
      </c>
      <c r="F10" s="1943">
        <v>4</v>
      </c>
      <c r="G10" s="1943">
        <v>5</v>
      </c>
      <c r="H10" s="1943">
        <v>6</v>
      </c>
      <c r="I10" s="1943">
        <v>7</v>
      </c>
      <c r="J10" s="1943">
        <v>8</v>
      </c>
      <c r="K10" s="1943">
        <v>9</v>
      </c>
      <c r="L10" s="1943">
        <v>10</v>
      </c>
      <c r="M10" s="1943">
        <v>11</v>
      </c>
      <c r="N10" s="1943">
        <v>12</v>
      </c>
      <c r="O10" s="1943">
        <v>13</v>
      </c>
      <c r="P10" s="1943">
        <v>14</v>
      </c>
      <c r="Q10" s="1943">
        <v>15</v>
      </c>
      <c r="R10" s="1943">
        <v>16</v>
      </c>
      <c r="S10" s="1943">
        <v>17</v>
      </c>
      <c r="T10" s="1943">
        <v>18</v>
      </c>
      <c r="U10" s="1943">
        <v>19</v>
      </c>
      <c r="V10" s="1943">
        <v>20</v>
      </c>
      <c r="W10" s="1943">
        <v>21</v>
      </c>
      <c r="X10" s="1943">
        <v>22</v>
      </c>
      <c r="Y10" s="1943">
        <v>23</v>
      </c>
      <c r="Z10" s="1943">
        <v>24</v>
      </c>
      <c r="AA10" s="1943">
        <v>25</v>
      </c>
      <c r="AB10" s="1943">
        <v>26</v>
      </c>
      <c r="AC10" s="1943">
        <v>27</v>
      </c>
      <c r="AD10" s="1943">
        <v>28</v>
      </c>
      <c r="AE10" s="1943">
        <v>29</v>
      </c>
      <c r="AF10" s="1943">
        <v>30</v>
      </c>
      <c r="AG10" s="1943">
        <v>31</v>
      </c>
      <c r="AH10" s="4212"/>
    </row>
    <row r="11" spans="1:36">
      <c r="A11" s="2166">
        <v>1</v>
      </c>
      <c r="B11" s="1955">
        <v>1</v>
      </c>
      <c r="C11" s="2170">
        <f>'Chấm công công nhân'!M12</f>
        <v>24</v>
      </c>
      <c r="D11" s="2170">
        <f>'Chấm công công nhân'!N12</f>
        <v>19</v>
      </c>
      <c r="E11" s="2170">
        <f>'Chấm công công nhân'!O12</f>
        <v>19</v>
      </c>
      <c r="F11" s="2170">
        <f>'Chấm công công nhân'!P12</f>
        <v>36</v>
      </c>
      <c r="G11" s="2170">
        <f>'Chấm công công nhân'!Q12</f>
        <v>36</v>
      </c>
      <c r="H11" s="2170">
        <f>'Chấm công công nhân'!R12</f>
        <v>32</v>
      </c>
      <c r="I11" s="2170">
        <f>'Chấm công công nhân'!S12</f>
        <v>36</v>
      </c>
      <c r="J11" s="2170">
        <f>'Chấm công công nhân'!T12</f>
        <v>36</v>
      </c>
      <c r="K11" s="2170">
        <f>'Chấm công công nhân'!U12</f>
        <v>36</v>
      </c>
      <c r="L11" s="2170">
        <f>'Chấm công công nhân'!V12</f>
        <v>34</v>
      </c>
      <c r="M11" s="2170">
        <f>'Chấm công công nhân'!W12</f>
        <v>34</v>
      </c>
      <c r="N11" s="2170">
        <f>'Chấm công công nhân'!X12</f>
        <v>34</v>
      </c>
      <c r="O11" s="2170">
        <f>'Chấm công công nhân'!Y12</f>
        <v>32</v>
      </c>
      <c r="P11" s="2170">
        <f>'Chấm công công nhân'!Z12</f>
        <v>36</v>
      </c>
      <c r="Q11" s="2170">
        <f>'Chấm công công nhân'!AA12</f>
        <v>32</v>
      </c>
      <c r="R11" s="2170">
        <f>'Chấm công công nhân'!AB12</f>
        <v>31</v>
      </c>
      <c r="S11" s="2170">
        <f>'Chấm công công nhân'!AC12</f>
        <v>24</v>
      </c>
      <c r="T11" s="2170">
        <f>'Chấm công công nhân'!AD12</f>
        <v>24</v>
      </c>
      <c r="U11" s="2170">
        <f>'Chấm công công nhân'!AE12</f>
        <v>33</v>
      </c>
      <c r="V11" s="2170">
        <f>'Chấm công công nhân'!AF12</f>
        <v>31</v>
      </c>
      <c r="W11" s="2170">
        <f>'Chấm công công nhân'!AG12</f>
        <v>33</v>
      </c>
      <c r="X11" s="2170">
        <f>'Chấm công công nhân'!AH12</f>
        <v>35</v>
      </c>
      <c r="Y11" s="2170">
        <f>'Chấm công công nhân'!AI12</f>
        <v>36</v>
      </c>
      <c r="Z11" s="2170">
        <f>'Chấm công công nhân'!AJ12</f>
        <v>32</v>
      </c>
      <c r="AA11" s="2170">
        <f>'Chấm công công nhân'!AK12</f>
        <v>24</v>
      </c>
      <c r="AB11" s="2170">
        <f>'Chấm công công nhân'!AL12</f>
        <v>30</v>
      </c>
      <c r="AC11" s="2170">
        <f>'Chấm công công nhân'!AM12</f>
        <v>27</v>
      </c>
      <c r="AD11" s="2170">
        <f>'Chấm công công nhân'!AN12</f>
        <v>33</v>
      </c>
      <c r="AE11" s="2170">
        <f>'Chấm công công nhân'!AO12</f>
        <v>30</v>
      </c>
      <c r="AF11" s="2170">
        <f>'Chấm công công nhân'!AP12</f>
        <v>28</v>
      </c>
      <c r="AG11" s="2170">
        <f>'Chấm công công nhân'!AQ12</f>
        <v>32</v>
      </c>
      <c r="AH11" s="1945">
        <f>SUM(C11:AG11)</f>
        <v>959</v>
      </c>
      <c r="AJ11" s="1946"/>
    </row>
    <row r="12" spans="1:36">
      <c r="A12" s="2166">
        <v>2</v>
      </c>
      <c r="B12" s="1955">
        <v>2</v>
      </c>
      <c r="C12" s="2170">
        <f>'Chấm công công nhân'!M49</f>
        <v>15</v>
      </c>
      <c r="D12" s="2170">
        <f>'Chấm công công nhân'!N49</f>
        <v>15</v>
      </c>
      <c r="E12" s="2170">
        <f>'Chấm công công nhân'!O49</f>
        <v>15</v>
      </c>
      <c r="F12" s="2170">
        <f>'Chấm công công nhân'!P49</f>
        <v>15</v>
      </c>
      <c r="G12" s="2170">
        <f>'Chấm công công nhân'!Q49</f>
        <v>15</v>
      </c>
      <c r="H12" s="2170">
        <f>'Chấm công công nhân'!R49</f>
        <v>15</v>
      </c>
      <c r="I12" s="2170">
        <f>'Chấm công công nhân'!S49</f>
        <v>15</v>
      </c>
      <c r="J12" s="2170">
        <f>'Chấm công công nhân'!T49</f>
        <v>15</v>
      </c>
      <c r="K12" s="2170">
        <f>'Chấm công công nhân'!U49</f>
        <v>13</v>
      </c>
      <c r="L12" s="2170">
        <f>'Chấm công công nhân'!V49</f>
        <v>15</v>
      </c>
      <c r="M12" s="2170">
        <f>'Chấm công công nhân'!W49</f>
        <v>15</v>
      </c>
      <c r="N12" s="2170">
        <f>'Chấm công công nhân'!X49</f>
        <v>15</v>
      </c>
      <c r="O12" s="2170">
        <f>'Chấm công công nhân'!Y49</f>
        <v>15</v>
      </c>
      <c r="P12" s="2170">
        <f>'Chấm công công nhân'!Z49</f>
        <v>12</v>
      </c>
      <c r="Q12" s="2170">
        <f>'Chấm công công nhân'!AA49</f>
        <v>13</v>
      </c>
      <c r="R12" s="2170">
        <f>'Chấm công công nhân'!AB49</f>
        <v>15</v>
      </c>
      <c r="S12" s="2170">
        <f>'Chấm công công nhân'!AC49</f>
        <v>14</v>
      </c>
      <c r="T12" s="2170">
        <f>'Chấm công công nhân'!AD49</f>
        <v>15</v>
      </c>
      <c r="U12" s="2170">
        <f>'Chấm công công nhân'!AE49</f>
        <v>14</v>
      </c>
      <c r="V12" s="2170">
        <f>'Chấm công công nhân'!AF49</f>
        <v>11</v>
      </c>
      <c r="W12" s="2170">
        <f>'Chấm công công nhân'!AG49</f>
        <v>12</v>
      </c>
      <c r="X12" s="2170">
        <f>'Chấm công công nhân'!AH49</f>
        <v>15</v>
      </c>
      <c r="Y12" s="2170">
        <f>'Chấm công công nhân'!AI49</f>
        <v>15</v>
      </c>
      <c r="Z12" s="2170">
        <f>'Chấm công công nhân'!AJ49</f>
        <v>15</v>
      </c>
      <c r="AA12" s="2170">
        <f>'Chấm công công nhân'!AK49</f>
        <v>15</v>
      </c>
      <c r="AB12" s="2170">
        <f>'Chấm công công nhân'!AL49</f>
        <v>15</v>
      </c>
      <c r="AC12" s="2170">
        <f>'Chấm công công nhân'!AM49</f>
        <v>15</v>
      </c>
      <c r="AD12" s="2170">
        <f>'Chấm công công nhân'!AN49</f>
        <v>15</v>
      </c>
      <c r="AE12" s="2170">
        <f>'Chấm công công nhân'!AO49</f>
        <v>15</v>
      </c>
      <c r="AF12" s="2170">
        <f>'Chấm công công nhân'!AP49</f>
        <v>15</v>
      </c>
      <c r="AG12" s="2170">
        <f>'Chấm công công nhân'!AQ49</f>
        <v>15</v>
      </c>
      <c r="AH12" s="1945">
        <f t="shared" ref="AH12:AH14" si="0">SUM(C12:AG12)</f>
        <v>449</v>
      </c>
    </row>
    <row r="13" spans="1:36">
      <c r="A13" s="2166">
        <v>3</v>
      </c>
      <c r="B13" s="1955">
        <v>3</v>
      </c>
      <c r="C13" s="2170">
        <f>'Chấm công công nhân'!M65</f>
        <v>10</v>
      </c>
      <c r="D13" s="2170">
        <f>'Chấm công công nhân'!N65</f>
        <v>10</v>
      </c>
      <c r="E13" s="2170">
        <f>'Chấm công công nhân'!O65</f>
        <v>14</v>
      </c>
      <c r="F13" s="2170">
        <f>'Chấm công công nhân'!P65</f>
        <v>14</v>
      </c>
      <c r="G13" s="2170">
        <f>'Chấm công công nhân'!Q65</f>
        <v>13</v>
      </c>
      <c r="H13" s="2170">
        <f>'Chấm công công nhân'!R65</f>
        <v>15</v>
      </c>
      <c r="I13" s="2170">
        <f>'Chấm công công nhân'!S65</f>
        <v>13</v>
      </c>
      <c r="J13" s="2170">
        <f>'Chấm công công nhân'!T65</f>
        <v>11</v>
      </c>
      <c r="K13" s="2170">
        <f>'Chấm công công nhân'!U65</f>
        <v>10</v>
      </c>
      <c r="L13" s="2170">
        <f>'Chấm công công nhân'!V65</f>
        <v>13</v>
      </c>
      <c r="M13" s="2170">
        <f>'Chấm công công nhân'!W65</f>
        <v>13</v>
      </c>
      <c r="N13" s="2170">
        <f>'Chấm công công nhân'!X65</f>
        <v>14</v>
      </c>
      <c r="O13" s="2170">
        <f>'Chấm công công nhân'!Y65</f>
        <v>14</v>
      </c>
      <c r="P13" s="2170">
        <f>'Chấm công công nhân'!Z65</f>
        <v>13</v>
      </c>
      <c r="Q13" s="2170">
        <f>'Chấm công công nhân'!AA65</f>
        <v>14</v>
      </c>
      <c r="R13" s="2170">
        <f>'Chấm công công nhân'!AB65</f>
        <v>5</v>
      </c>
      <c r="S13" s="2170">
        <f>'Chấm công công nhân'!AC65</f>
        <v>7</v>
      </c>
      <c r="T13" s="2170">
        <f>'Chấm công công nhân'!AD65</f>
        <v>13</v>
      </c>
      <c r="U13" s="2170">
        <f>'Chấm công công nhân'!AE65</f>
        <v>3</v>
      </c>
      <c r="V13" s="2170">
        <f>'Chấm công công nhân'!AF65</f>
        <v>7</v>
      </c>
      <c r="W13" s="2170">
        <f>'Chấm công công nhân'!AG65</f>
        <v>14</v>
      </c>
      <c r="X13" s="2170">
        <f>'Chấm công công nhân'!AH65</f>
        <v>11</v>
      </c>
      <c r="Y13" s="2170">
        <f>'Chấm công công nhân'!AI65</f>
        <v>11</v>
      </c>
      <c r="Z13" s="2170">
        <f>'Chấm công công nhân'!AJ65</f>
        <v>11</v>
      </c>
      <c r="AA13" s="2170">
        <f>'Chấm công công nhân'!AK65</f>
        <v>12</v>
      </c>
      <c r="AB13" s="2170">
        <f>'Chấm công công nhân'!AL65</f>
        <v>11</v>
      </c>
      <c r="AC13" s="2170">
        <f>'Chấm công công nhân'!AM65</f>
        <v>10</v>
      </c>
      <c r="AD13" s="2170">
        <f>'Chấm công công nhân'!AN65</f>
        <v>6</v>
      </c>
      <c r="AE13" s="2170">
        <f>'Chấm công công nhân'!AO65</f>
        <v>12</v>
      </c>
      <c r="AF13" s="2170">
        <f>'Chấm công công nhân'!AP65</f>
        <v>11</v>
      </c>
      <c r="AG13" s="2170">
        <f>'Chấm công công nhân'!AQ65</f>
        <v>11</v>
      </c>
      <c r="AH13" s="1945">
        <f t="shared" si="0"/>
        <v>346</v>
      </c>
    </row>
    <row r="14" spans="1:36">
      <c r="A14" s="4213" t="s">
        <v>21</v>
      </c>
      <c r="B14" s="4214"/>
      <c r="C14" s="1943">
        <f>SUM(C11:C13)</f>
        <v>49</v>
      </c>
      <c r="D14" s="1943">
        <f t="shared" ref="D14:AG14" si="1">SUM(D11:D13)</f>
        <v>44</v>
      </c>
      <c r="E14" s="1943">
        <f t="shared" si="1"/>
        <v>48</v>
      </c>
      <c r="F14" s="1943">
        <f t="shared" si="1"/>
        <v>65</v>
      </c>
      <c r="G14" s="1943">
        <f t="shared" si="1"/>
        <v>64</v>
      </c>
      <c r="H14" s="1943">
        <f t="shared" si="1"/>
        <v>62</v>
      </c>
      <c r="I14" s="1943">
        <f t="shared" si="1"/>
        <v>64</v>
      </c>
      <c r="J14" s="1943">
        <f t="shared" si="1"/>
        <v>62</v>
      </c>
      <c r="K14" s="1943">
        <f t="shared" si="1"/>
        <v>59</v>
      </c>
      <c r="L14" s="1943">
        <f t="shared" si="1"/>
        <v>62</v>
      </c>
      <c r="M14" s="1943">
        <f t="shared" si="1"/>
        <v>62</v>
      </c>
      <c r="N14" s="1943">
        <f t="shared" si="1"/>
        <v>63</v>
      </c>
      <c r="O14" s="1943">
        <f t="shared" si="1"/>
        <v>61</v>
      </c>
      <c r="P14" s="1943">
        <f t="shared" si="1"/>
        <v>61</v>
      </c>
      <c r="Q14" s="1943">
        <f t="shared" si="1"/>
        <v>59</v>
      </c>
      <c r="R14" s="1943">
        <f t="shared" si="1"/>
        <v>51</v>
      </c>
      <c r="S14" s="1943">
        <f t="shared" si="1"/>
        <v>45</v>
      </c>
      <c r="T14" s="1943">
        <f t="shared" si="1"/>
        <v>52</v>
      </c>
      <c r="U14" s="1943">
        <f t="shared" si="1"/>
        <v>50</v>
      </c>
      <c r="V14" s="1943">
        <f t="shared" si="1"/>
        <v>49</v>
      </c>
      <c r="W14" s="1943">
        <f t="shared" si="1"/>
        <v>59</v>
      </c>
      <c r="X14" s="1943">
        <f t="shared" si="1"/>
        <v>61</v>
      </c>
      <c r="Y14" s="1943">
        <f t="shared" si="1"/>
        <v>62</v>
      </c>
      <c r="Z14" s="1943">
        <f t="shared" si="1"/>
        <v>58</v>
      </c>
      <c r="AA14" s="1943">
        <f t="shared" si="1"/>
        <v>51</v>
      </c>
      <c r="AB14" s="1943">
        <f t="shared" si="1"/>
        <v>56</v>
      </c>
      <c r="AC14" s="1943">
        <f t="shared" si="1"/>
        <v>52</v>
      </c>
      <c r="AD14" s="1943">
        <f t="shared" si="1"/>
        <v>54</v>
      </c>
      <c r="AE14" s="1943">
        <f t="shared" si="1"/>
        <v>57</v>
      </c>
      <c r="AF14" s="1943">
        <f t="shared" si="1"/>
        <v>54</v>
      </c>
      <c r="AG14" s="1943">
        <f t="shared" si="1"/>
        <v>58</v>
      </c>
      <c r="AH14" s="1945">
        <f t="shared" si="0"/>
        <v>1754</v>
      </c>
    </row>
    <row r="17" spans="1:34" s="1941" customFormat="1" ht="14.25" customHeight="1">
      <c r="A17" s="4215" t="s">
        <v>46</v>
      </c>
      <c r="B17" s="4215"/>
      <c r="C17" s="4215"/>
      <c r="D17" s="4215"/>
      <c r="E17" s="4215"/>
      <c r="F17" s="4215"/>
      <c r="G17" s="4215"/>
      <c r="H17" s="1952"/>
      <c r="I17" s="1952"/>
      <c r="J17" s="1952"/>
      <c r="K17" s="1952"/>
      <c r="N17" s="4207" t="s">
        <v>1135</v>
      </c>
      <c r="O17" s="4207"/>
      <c r="P17" s="4207"/>
      <c r="Q17" s="4207"/>
      <c r="R17" s="4207"/>
      <c r="S17" s="4207"/>
      <c r="T17" s="1952"/>
      <c r="U17" s="1952"/>
      <c r="V17" s="1952"/>
      <c r="W17" s="1952"/>
      <c r="X17" s="1952"/>
      <c r="Y17" s="1952"/>
      <c r="Z17" s="1952"/>
      <c r="AA17" s="4207" t="s">
        <v>541</v>
      </c>
      <c r="AB17" s="4207"/>
      <c r="AC17" s="4207"/>
      <c r="AD17" s="4207"/>
      <c r="AE17" s="4207"/>
      <c r="AF17" s="4207"/>
      <c r="AG17" s="4207"/>
      <c r="AH17" s="4207"/>
    </row>
    <row r="18" spans="1:34" s="1941" customFormat="1" ht="14.25">
      <c r="A18" s="2165"/>
      <c r="B18" s="2167"/>
      <c r="C18" s="2167"/>
      <c r="D18" s="2167"/>
      <c r="V18" s="1952"/>
      <c r="X18" s="1952"/>
      <c r="Y18" s="1952"/>
      <c r="Z18" s="1952"/>
      <c r="AA18" s="1952"/>
      <c r="AB18" s="1952"/>
      <c r="AC18" s="1952"/>
      <c r="AD18" s="1952"/>
      <c r="AE18" s="1952"/>
      <c r="AF18" s="1952"/>
      <c r="AG18" s="1952"/>
      <c r="AH18" s="1952"/>
    </row>
  </sheetData>
  <mergeCells count="13">
    <mergeCell ref="A17:G17"/>
    <mergeCell ref="N17:S17"/>
    <mergeCell ref="AA17:AH17"/>
    <mergeCell ref="A14:B14"/>
    <mergeCell ref="A1:J1"/>
    <mergeCell ref="U1:AH1"/>
    <mergeCell ref="A2:J2"/>
    <mergeCell ref="U2:AH2"/>
    <mergeCell ref="A7:AH7"/>
    <mergeCell ref="A9:A10"/>
    <mergeCell ref="B9:B10"/>
    <mergeCell ref="C9:AG9"/>
    <mergeCell ref="AH9:AH10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192"/>
  <sheetViews>
    <sheetView topLeftCell="A7" zoomScaleNormal="100" workbookViewId="0">
      <selection activeCell="X8" sqref="X8"/>
    </sheetView>
  </sheetViews>
  <sheetFormatPr defaultColWidth="9.375" defaultRowHeight="15.75"/>
  <cols>
    <col min="1" max="1" width="4.25" style="740" customWidth="1"/>
    <col min="2" max="2" width="5.375" style="740" hidden="1" customWidth="1"/>
    <col min="3" max="3" width="13" style="740" customWidth="1"/>
    <col min="4" max="4" width="7.75" style="740" customWidth="1"/>
    <col min="5" max="5" width="6.375" style="740" customWidth="1"/>
    <col min="6" max="6" width="5.375" style="740" customWidth="1"/>
    <col min="7" max="7" width="6.375" style="740" customWidth="1"/>
    <col min="8" max="8" width="8.125" style="740" customWidth="1"/>
    <col min="9" max="9" width="5.375" style="740" customWidth="1"/>
    <col min="10" max="10" width="9.375" style="740" customWidth="1"/>
    <col min="11" max="11" width="6" style="740" customWidth="1"/>
    <col min="12" max="12" width="8.125" style="740" customWidth="1"/>
    <col min="13" max="13" width="9.375" style="740" customWidth="1"/>
    <col min="14" max="14" width="10.375" style="740" customWidth="1"/>
    <col min="15" max="15" width="0" style="740" hidden="1" customWidth="1"/>
    <col min="16" max="16" width="0" style="741" hidden="1" customWidth="1"/>
    <col min="17" max="21" width="0" style="740" hidden="1" customWidth="1"/>
    <col min="22" max="16384" width="9.375" style="740"/>
  </cols>
  <sheetData>
    <row r="1" spans="1:29">
      <c r="A1" s="4229" t="s">
        <v>165</v>
      </c>
      <c r="B1" s="4229"/>
      <c r="C1" s="4229"/>
      <c r="D1" s="4229"/>
      <c r="E1" s="4229"/>
      <c r="F1" s="4229"/>
      <c r="G1" s="4229"/>
      <c r="H1" s="4229"/>
      <c r="I1" s="4229"/>
      <c r="J1" s="4229"/>
      <c r="K1" s="4229"/>
      <c r="L1" s="4229"/>
      <c r="M1" s="4229"/>
      <c r="N1" s="4229"/>
    </row>
    <row r="2" spans="1:29">
      <c r="A2" s="4228" t="s">
        <v>171</v>
      </c>
      <c r="B2" s="4228"/>
      <c r="C2" s="4228"/>
      <c r="D2" s="4228"/>
      <c r="E2" s="4228"/>
      <c r="F2" s="4228"/>
      <c r="G2" s="4228"/>
      <c r="H2" s="4228"/>
      <c r="I2" s="4228"/>
      <c r="J2" s="4228"/>
      <c r="K2" s="4228"/>
      <c r="L2" s="4228"/>
      <c r="M2" s="4228"/>
      <c r="N2" s="4228"/>
    </row>
    <row r="4" spans="1:29">
      <c r="A4" s="484" t="s">
        <v>727</v>
      </c>
      <c r="B4" s="484"/>
      <c r="C4" s="484"/>
      <c r="D4" s="484"/>
      <c r="E4" s="484"/>
      <c r="F4" s="484"/>
      <c r="G4" s="484"/>
      <c r="I4" s="484"/>
      <c r="J4" s="484"/>
      <c r="K4" s="484"/>
      <c r="L4" s="484"/>
      <c r="M4" s="484"/>
      <c r="N4" s="484"/>
    </row>
    <row r="5" spans="1:29">
      <c r="A5" s="4228" t="s">
        <v>541</v>
      </c>
      <c r="B5" s="4228"/>
      <c r="C5" s="4228"/>
      <c r="D5" s="4228"/>
      <c r="E5" s="4228"/>
      <c r="F5" s="4228"/>
      <c r="G5" s="483"/>
      <c r="I5" s="754"/>
      <c r="J5" s="754"/>
      <c r="K5" s="754"/>
      <c r="L5" s="754"/>
      <c r="M5" s="754"/>
      <c r="N5" s="754"/>
    </row>
    <row r="6" spans="1:29" ht="15.75" customHeight="1">
      <c r="B6" s="483"/>
      <c r="C6" s="483"/>
      <c r="D6" s="483"/>
      <c r="E6" s="483"/>
      <c r="F6" s="483"/>
      <c r="G6" s="483"/>
      <c r="H6" s="483"/>
      <c r="I6" s="483"/>
      <c r="J6" s="484"/>
      <c r="K6" s="484"/>
      <c r="L6" s="484"/>
      <c r="M6" s="484"/>
      <c r="N6" s="484"/>
    </row>
    <row r="7" spans="1:29" ht="20.25" customHeight="1">
      <c r="A7" s="4230" t="s">
        <v>1820</v>
      </c>
      <c r="B7" s="4230"/>
      <c r="C7" s="4230"/>
      <c r="D7" s="4230"/>
      <c r="E7" s="4230"/>
      <c r="F7" s="4230"/>
      <c r="G7" s="4230"/>
      <c r="H7" s="4230"/>
      <c r="I7" s="4230"/>
      <c r="J7" s="4230"/>
      <c r="K7" s="4230"/>
      <c r="L7" s="4230"/>
      <c r="M7" s="4230"/>
      <c r="N7" s="4230"/>
    </row>
    <row r="8" spans="1:29" ht="24" customHeight="1">
      <c r="A8" s="485"/>
      <c r="B8" s="485"/>
      <c r="C8" s="485"/>
      <c r="D8" s="485"/>
      <c r="E8" s="485"/>
      <c r="F8" s="485"/>
      <c r="G8" s="485"/>
      <c r="H8" s="485"/>
      <c r="I8" s="484"/>
      <c r="J8" s="484"/>
      <c r="K8" s="484"/>
      <c r="L8" s="484"/>
      <c r="M8" s="484"/>
      <c r="N8" s="484"/>
    </row>
    <row r="9" spans="1:29" ht="85.5" customHeight="1">
      <c r="A9" s="742" t="s">
        <v>19</v>
      </c>
      <c r="B9" s="742" t="s">
        <v>239</v>
      </c>
      <c r="C9" s="742" t="s">
        <v>20</v>
      </c>
      <c r="D9" s="743" t="s">
        <v>325</v>
      </c>
      <c r="E9" s="744" t="s">
        <v>300</v>
      </c>
      <c r="F9" s="744" t="s">
        <v>301</v>
      </c>
      <c r="G9" s="744" t="s">
        <v>302</v>
      </c>
      <c r="H9" s="744" t="s">
        <v>303</v>
      </c>
      <c r="I9" s="744" t="s">
        <v>304</v>
      </c>
      <c r="J9" s="744" t="s">
        <v>305</v>
      </c>
      <c r="K9" s="744" t="s">
        <v>306</v>
      </c>
      <c r="L9" s="744" t="s">
        <v>307</v>
      </c>
      <c r="M9" s="744" t="s">
        <v>308</v>
      </c>
      <c r="N9" s="742" t="s">
        <v>309</v>
      </c>
      <c r="AB9" s="740">
        <f>12-4</f>
        <v>8</v>
      </c>
    </row>
    <row r="10" spans="1:29" ht="21" customHeight="1">
      <c r="A10" s="4233" t="s">
        <v>272</v>
      </c>
      <c r="B10" s="4233"/>
      <c r="C10" s="4233"/>
      <c r="D10" s="2169"/>
      <c r="E10" s="2169"/>
      <c r="F10" s="2169"/>
      <c r="G10" s="2169"/>
      <c r="H10" s="2169"/>
      <c r="I10" s="2169"/>
      <c r="J10" s="2169"/>
      <c r="K10" s="2169"/>
      <c r="L10" s="2169"/>
      <c r="M10" s="2169"/>
      <c r="N10" s="2169"/>
    </row>
    <row r="11" spans="1:29" s="748" customFormat="1" ht="21.75" customHeight="1">
      <c r="A11" s="955">
        <v>1</v>
      </c>
      <c r="B11" s="683" t="s">
        <v>242</v>
      </c>
      <c r="C11" s="1616" t="str">
        <f>'Chấm công công nhân'!L13</f>
        <v>Vắt Đi</v>
      </c>
      <c r="D11" s="956" t="s">
        <v>40</v>
      </c>
      <c r="E11" s="1656">
        <f>'Chấm công công nhân'!AV13</f>
        <v>30</v>
      </c>
      <c r="F11" s="957"/>
      <c r="G11" s="957"/>
      <c r="H11" s="957">
        <f>SUM(E11:G11)</f>
        <v>30</v>
      </c>
      <c r="I11" s="958" t="str">
        <f>IF(H11&gt;=16,"40",IF(H11&gt;=13,"35",IF(H11&gt;=10,"30","25")))</f>
        <v>40</v>
      </c>
      <c r="J11" s="959" t="str">
        <f>Mủ!AK13</f>
        <v>A</v>
      </c>
      <c r="K11" s="960"/>
      <c r="L11" s="961">
        <f>I11+K11</f>
        <v>40</v>
      </c>
      <c r="M11" s="962" t="str">
        <f>J11</f>
        <v>A</v>
      </c>
      <c r="N11" s="963"/>
      <c r="O11" s="632" t="str">
        <f>IF(H11&lt;20,25,IF(H11&lt;=22,30,IF(H11&gt;=26,"40",35)))</f>
        <v>40</v>
      </c>
      <c r="P11" s="746">
        <f>IF(J11="A",60,IF(J11="B",50,IF(J11="C",45,IF(J11="d",40))))</f>
        <v>60</v>
      </c>
      <c r="Q11" s="747">
        <f>+O11+P11</f>
        <v>100</v>
      </c>
      <c r="R11" s="634" t="str">
        <f>IF(Q11&lt;70,"D",IF(Q11&gt;=95,"A",IF(Q11&lt;=80,"C","B")))</f>
        <v>A</v>
      </c>
      <c r="S11" s="740" t="b">
        <f>EXACT(M11,R11)</f>
        <v>1</v>
      </c>
      <c r="T11" s="740"/>
      <c r="U11" s="745" t="s">
        <v>92</v>
      </c>
      <c r="V11" s="740"/>
      <c r="W11" s="740"/>
      <c r="X11" s="740"/>
      <c r="Y11" s="740"/>
      <c r="Z11" s="740"/>
      <c r="AA11" s="740"/>
      <c r="AB11" s="740"/>
      <c r="AC11" s="740"/>
    </row>
    <row r="12" spans="1:29" s="748" customFormat="1" ht="21.75" customHeight="1">
      <c r="A12" s="955">
        <v>2</v>
      </c>
      <c r="B12" s="683" t="s">
        <v>241</v>
      </c>
      <c r="C12" s="1616" t="str">
        <f>'Chấm công công nhân'!L14</f>
        <v>T Ô Vên</v>
      </c>
      <c r="D12" s="956" t="s">
        <v>40</v>
      </c>
      <c r="E12" s="1656">
        <f>'Chấm công công nhân'!AV14</f>
        <v>31</v>
      </c>
      <c r="F12" s="957"/>
      <c r="G12" s="957"/>
      <c r="H12" s="957">
        <f t="shared" ref="H12:H42" si="0">SUM(E12:G12)</f>
        <v>31</v>
      </c>
      <c r="I12" s="958" t="str">
        <f t="shared" ref="I12:I15" si="1">IF(H12&gt;=16,"40",IF(H12&gt;=13,"35",IF(H12&gt;=10,"30","25")))</f>
        <v>40</v>
      </c>
      <c r="J12" s="959" t="str">
        <f>Mủ!AK14</f>
        <v>B</v>
      </c>
      <c r="K12" s="960"/>
      <c r="L12" s="961">
        <f t="shared" ref="L12:L74" si="2">I12+K12</f>
        <v>40</v>
      </c>
      <c r="M12" s="962" t="str">
        <f t="shared" ref="M12:M46" si="3">J12</f>
        <v>B</v>
      </c>
      <c r="N12" s="963"/>
      <c r="O12" s="632" t="str">
        <f t="shared" ref="O12:O42" si="4">IF(H12&lt;20,25,IF(H12&lt;=22,30,IF(H12&gt;=26,"40",35)))</f>
        <v>40</v>
      </c>
      <c r="P12" s="746">
        <f t="shared" ref="P12:P62" si="5">IF(J12="A",60,IF(J12="B",50,IF(J12="C",45,IF(J12="d",40))))</f>
        <v>50</v>
      </c>
      <c r="Q12" s="747">
        <f t="shared" ref="Q12:Q42" si="6">+O12+P12</f>
        <v>90</v>
      </c>
      <c r="R12" s="634" t="str">
        <f t="shared" ref="R12:R42" si="7">IF(Q12&lt;70,"D",IF(Q12&gt;=95,"A",IF(Q12&lt;=80,"C","B")))</f>
        <v>B</v>
      </c>
      <c r="S12" s="740" t="b">
        <f t="shared" ref="S12:S42" si="8">EXACT(M12,R12)</f>
        <v>1</v>
      </c>
      <c r="T12" s="740"/>
      <c r="U12" s="745" t="s">
        <v>92</v>
      </c>
      <c r="V12" s="740"/>
      <c r="W12" s="740"/>
      <c r="X12" s="740"/>
      <c r="Y12" s="740"/>
      <c r="Z12" s="740"/>
      <c r="AA12" s="740"/>
      <c r="AB12" s="740"/>
      <c r="AC12" s="740"/>
    </row>
    <row r="13" spans="1:29" s="748" customFormat="1" ht="21.75" customHeight="1">
      <c r="A13" s="955">
        <v>3</v>
      </c>
      <c r="B13" s="683" t="s">
        <v>245</v>
      </c>
      <c r="C13" s="1616" t="str">
        <f>'Chấm công công nhân'!L15</f>
        <v>Nàng Túc</v>
      </c>
      <c r="D13" s="956" t="s">
        <v>40</v>
      </c>
      <c r="E13" s="1656">
        <f>'Chấm công công nhân'!AV15</f>
        <v>31</v>
      </c>
      <c r="F13" s="957"/>
      <c r="G13" s="957"/>
      <c r="H13" s="957">
        <f t="shared" si="0"/>
        <v>31</v>
      </c>
      <c r="I13" s="958" t="str">
        <f t="shared" si="1"/>
        <v>40</v>
      </c>
      <c r="J13" s="959" t="str">
        <f>Mủ!AK15</f>
        <v>A</v>
      </c>
      <c r="K13" s="960"/>
      <c r="L13" s="961">
        <f t="shared" si="2"/>
        <v>40</v>
      </c>
      <c r="M13" s="962" t="str">
        <f t="shared" si="3"/>
        <v>A</v>
      </c>
      <c r="N13" s="963"/>
      <c r="O13" s="632" t="str">
        <f t="shared" si="4"/>
        <v>40</v>
      </c>
      <c r="P13" s="746">
        <f t="shared" si="5"/>
        <v>60</v>
      </c>
      <c r="Q13" s="747">
        <f t="shared" si="6"/>
        <v>100</v>
      </c>
      <c r="R13" s="634" t="str">
        <f t="shared" si="7"/>
        <v>A</v>
      </c>
      <c r="S13" s="740" t="b">
        <f t="shared" si="8"/>
        <v>1</v>
      </c>
      <c r="T13" s="740"/>
      <c r="U13" s="745" t="s">
        <v>52</v>
      </c>
      <c r="V13" s="740"/>
      <c r="W13" s="740"/>
      <c r="X13" s="740"/>
      <c r="Y13" s="740"/>
      <c r="Z13" s="740"/>
      <c r="AA13" s="740"/>
      <c r="AB13" s="740"/>
      <c r="AC13" s="740"/>
    </row>
    <row r="14" spans="1:29" s="748" customFormat="1" ht="21.75" customHeight="1">
      <c r="A14" s="955">
        <v>4</v>
      </c>
      <c r="B14" s="683" t="s">
        <v>285</v>
      </c>
      <c r="C14" s="1616" t="str">
        <f>'Chấm công công nhân'!L16</f>
        <v>Thảo Say</v>
      </c>
      <c r="D14" s="956" t="s">
        <v>40</v>
      </c>
      <c r="E14" s="1656">
        <f>'Chấm công công nhân'!AV16</f>
        <v>18</v>
      </c>
      <c r="F14" s="957"/>
      <c r="G14" s="957"/>
      <c r="H14" s="957">
        <f>SUM(E14:G14)</f>
        <v>18</v>
      </c>
      <c r="I14" s="958" t="str">
        <f t="shared" si="1"/>
        <v>40</v>
      </c>
      <c r="J14" s="959" t="str">
        <f>Mủ!AK16</f>
        <v>B</v>
      </c>
      <c r="K14" s="960"/>
      <c r="L14" s="961">
        <f t="shared" si="2"/>
        <v>40</v>
      </c>
      <c r="M14" s="962" t="str">
        <f t="shared" si="3"/>
        <v>B</v>
      </c>
      <c r="N14" s="963"/>
      <c r="O14" s="632">
        <f t="shared" si="4"/>
        <v>25</v>
      </c>
      <c r="P14" s="746">
        <f t="shared" si="5"/>
        <v>50</v>
      </c>
      <c r="Q14" s="747">
        <f t="shared" si="6"/>
        <v>75</v>
      </c>
      <c r="R14" s="634" t="str">
        <f t="shared" si="7"/>
        <v>C</v>
      </c>
      <c r="S14" s="740" t="b">
        <f t="shared" si="8"/>
        <v>0</v>
      </c>
      <c r="T14" s="740"/>
      <c r="U14" s="745" t="s">
        <v>92</v>
      </c>
      <c r="V14" s="740"/>
      <c r="W14" s="740"/>
      <c r="X14" s="740"/>
      <c r="Y14" s="740"/>
      <c r="Z14" s="740"/>
      <c r="AA14" s="740"/>
      <c r="AB14" s="740"/>
      <c r="AC14" s="740"/>
    </row>
    <row r="15" spans="1:29" s="748" customFormat="1" ht="21.75" customHeight="1">
      <c r="A15" s="955">
        <v>5</v>
      </c>
      <c r="B15" s="683" t="s">
        <v>240</v>
      </c>
      <c r="C15" s="1616" t="str">
        <f>'Chấm công công nhân'!L17</f>
        <v>Thảo Pheng</v>
      </c>
      <c r="D15" s="956" t="s">
        <v>40</v>
      </c>
      <c r="E15" s="1656">
        <f>'Chấm công công nhân'!AV17</f>
        <v>28</v>
      </c>
      <c r="F15" s="957"/>
      <c r="G15" s="957"/>
      <c r="H15" s="957">
        <f t="shared" si="0"/>
        <v>28</v>
      </c>
      <c r="I15" s="958" t="str">
        <f t="shared" si="1"/>
        <v>40</v>
      </c>
      <c r="J15" s="959" t="str">
        <f>Mủ!AK17</f>
        <v>C</v>
      </c>
      <c r="K15" s="960"/>
      <c r="L15" s="961">
        <f t="shared" si="2"/>
        <v>40</v>
      </c>
      <c r="M15" s="962" t="str">
        <f t="shared" si="3"/>
        <v>C</v>
      </c>
      <c r="N15" s="963"/>
      <c r="O15" s="632" t="str">
        <f t="shared" si="4"/>
        <v>40</v>
      </c>
      <c r="P15" s="746">
        <f t="shared" si="5"/>
        <v>45</v>
      </c>
      <c r="Q15" s="747">
        <f t="shared" si="6"/>
        <v>85</v>
      </c>
      <c r="R15" s="634" t="str">
        <f t="shared" si="7"/>
        <v>B</v>
      </c>
      <c r="S15" s="740" t="b">
        <f t="shared" si="8"/>
        <v>0</v>
      </c>
      <c r="T15" s="740"/>
      <c r="U15" s="745" t="s">
        <v>53</v>
      </c>
      <c r="V15" s="740"/>
      <c r="W15" s="740"/>
      <c r="X15" s="740"/>
      <c r="Y15" s="740"/>
      <c r="Z15" s="740"/>
      <c r="AA15" s="740"/>
      <c r="AB15" s="740"/>
      <c r="AC15" s="740"/>
    </row>
    <row r="16" spans="1:29" s="748" customFormat="1" ht="21.75" customHeight="1">
      <c r="A16" s="955">
        <v>6</v>
      </c>
      <c r="B16" s="680" t="s">
        <v>348</v>
      </c>
      <c r="C16" s="1616" t="str">
        <f>'Chấm công công nhân'!L18</f>
        <v>Nàng Chay</v>
      </c>
      <c r="D16" s="956" t="s">
        <v>40</v>
      </c>
      <c r="E16" s="1656">
        <f>'Chấm công công nhân'!AV18</f>
        <v>31</v>
      </c>
      <c r="F16" s="957"/>
      <c r="G16" s="957"/>
      <c r="H16" s="957">
        <f t="shared" si="0"/>
        <v>31</v>
      </c>
      <c r="I16" s="958">
        <v>40</v>
      </c>
      <c r="J16" s="959" t="str">
        <f>Mủ!AK18</f>
        <v>B</v>
      </c>
      <c r="K16" s="960"/>
      <c r="L16" s="961">
        <f t="shared" si="2"/>
        <v>40</v>
      </c>
      <c r="M16" s="962" t="str">
        <f t="shared" si="3"/>
        <v>B</v>
      </c>
      <c r="N16" s="963"/>
      <c r="O16" s="632" t="str">
        <f t="shared" si="4"/>
        <v>40</v>
      </c>
      <c r="P16" s="746">
        <f t="shared" si="5"/>
        <v>50</v>
      </c>
      <c r="Q16" s="747">
        <f t="shared" si="6"/>
        <v>90</v>
      </c>
      <c r="R16" s="634" t="str">
        <f t="shared" si="7"/>
        <v>B</v>
      </c>
      <c r="S16" s="740" t="b">
        <f t="shared" si="8"/>
        <v>1</v>
      </c>
      <c r="T16" s="740"/>
      <c r="U16" s="745" t="s">
        <v>52</v>
      </c>
      <c r="V16" s="740"/>
      <c r="W16" s="740"/>
      <c r="X16" s="740"/>
      <c r="Y16" s="740"/>
      <c r="Z16" s="740"/>
      <c r="AA16" s="740"/>
      <c r="AB16" s="740"/>
      <c r="AC16" s="740"/>
    </row>
    <row r="17" spans="1:29" s="748" customFormat="1" ht="21.75" customHeight="1">
      <c r="A17" s="955">
        <v>7</v>
      </c>
      <c r="B17" s="683" t="s">
        <v>329</v>
      </c>
      <c r="C17" s="1616" t="str">
        <f>'Chấm công công nhân'!L19</f>
        <v>Nàng Hđao</v>
      </c>
      <c r="D17" s="956" t="s">
        <v>40</v>
      </c>
      <c r="E17" s="1656">
        <f>'Chấm công công nhân'!AV19</f>
        <v>25</v>
      </c>
      <c r="F17" s="957"/>
      <c r="G17" s="957"/>
      <c r="H17" s="957">
        <f t="shared" si="0"/>
        <v>25</v>
      </c>
      <c r="I17" s="958">
        <v>40</v>
      </c>
      <c r="J17" s="959" t="str">
        <f>Mủ!AK19</f>
        <v>B</v>
      </c>
      <c r="K17" s="960"/>
      <c r="L17" s="961">
        <f t="shared" si="2"/>
        <v>40</v>
      </c>
      <c r="M17" s="962" t="str">
        <f t="shared" si="3"/>
        <v>B</v>
      </c>
      <c r="N17" s="963"/>
      <c r="O17" s="632">
        <f t="shared" si="4"/>
        <v>35</v>
      </c>
      <c r="P17" s="746">
        <f t="shared" si="5"/>
        <v>50</v>
      </c>
      <c r="Q17" s="747">
        <f t="shared" si="6"/>
        <v>85</v>
      </c>
      <c r="R17" s="634" t="str">
        <f t="shared" si="7"/>
        <v>B</v>
      </c>
      <c r="S17" s="740" t="b">
        <f t="shared" si="8"/>
        <v>1</v>
      </c>
      <c r="T17" s="740"/>
      <c r="U17" s="745" t="s">
        <v>92</v>
      </c>
      <c r="V17" s="740"/>
      <c r="W17" s="740"/>
      <c r="X17" s="740"/>
      <c r="Y17" s="740"/>
      <c r="Z17" s="740"/>
      <c r="AA17" s="740"/>
      <c r="AB17" s="740"/>
      <c r="AC17" s="740"/>
    </row>
    <row r="18" spans="1:29" s="748" customFormat="1" ht="21.75" customHeight="1">
      <c r="A18" s="955">
        <v>8</v>
      </c>
      <c r="B18" s="683" t="s">
        <v>243</v>
      </c>
      <c r="C18" s="1616" t="str">
        <f>'Chấm công công nhân'!L20</f>
        <v xml:space="preserve">Thảo Ken </v>
      </c>
      <c r="D18" s="956" t="s">
        <v>40</v>
      </c>
      <c r="E18" s="1656">
        <f>'Chấm công công nhân'!AV20</f>
        <v>31</v>
      </c>
      <c r="F18" s="957"/>
      <c r="G18" s="957"/>
      <c r="H18" s="957">
        <f t="shared" si="0"/>
        <v>31</v>
      </c>
      <c r="I18" s="958">
        <v>40</v>
      </c>
      <c r="J18" s="959" t="str">
        <f>Mủ!AK20</f>
        <v>A</v>
      </c>
      <c r="K18" s="960"/>
      <c r="L18" s="961">
        <f t="shared" si="2"/>
        <v>40</v>
      </c>
      <c r="M18" s="962" t="str">
        <f t="shared" si="3"/>
        <v>A</v>
      </c>
      <c r="N18" s="963"/>
      <c r="O18" s="632" t="str">
        <f t="shared" si="4"/>
        <v>40</v>
      </c>
      <c r="P18" s="746">
        <f t="shared" si="5"/>
        <v>60</v>
      </c>
      <c r="Q18" s="747">
        <f t="shared" si="6"/>
        <v>100</v>
      </c>
      <c r="R18" s="634" t="str">
        <f t="shared" si="7"/>
        <v>A</v>
      </c>
      <c r="S18" s="741" t="b">
        <f t="shared" si="8"/>
        <v>1</v>
      </c>
      <c r="T18" s="740"/>
      <c r="U18" s="745" t="s">
        <v>52</v>
      </c>
      <c r="V18" s="740"/>
      <c r="W18" s="740"/>
      <c r="X18" s="740"/>
      <c r="Y18" s="740"/>
      <c r="Z18" s="740"/>
      <c r="AA18" s="740"/>
      <c r="AB18" s="740"/>
      <c r="AC18" s="740"/>
    </row>
    <row r="19" spans="1:29" s="748" customFormat="1" ht="21.75" customHeight="1">
      <c r="A19" s="955">
        <v>9</v>
      </c>
      <c r="B19" s="683" t="s">
        <v>252</v>
      </c>
      <c r="C19" s="1616" t="str">
        <f>'Chấm công công nhân'!L21</f>
        <v>Thảo Cợt</v>
      </c>
      <c r="D19" s="956" t="s">
        <v>40</v>
      </c>
      <c r="E19" s="1656">
        <f>'Chấm công công nhân'!AV21</f>
        <v>23</v>
      </c>
      <c r="F19" s="957"/>
      <c r="G19" s="957"/>
      <c r="H19" s="957">
        <f t="shared" si="0"/>
        <v>23</v>
      </c>
      <c r="I19" s="958">
        <v>40</v>
      </c>
      <c r="J19" s="959" t="str">
        <f>Mủ!AK21</f>
        <v>B</v>
      </c>
      <c r="K19" s="960"/>
      <c r="L19" s="961">
        <f t="shared" si="2"/>
        <v>40</v>
      </c>
      <c r="M19" s="962" t="str">
        <f t="shared" si="3"/>
        <v>B</v>
      </c>
      <c r="N19" s="963"/>
      <c r="O19" s="632">
        <f t="shared" si="4"/>
        <v>35</v>
      </c>
      <c r="P19" s="746">
        <f t="shared" si="5"/>
        <v>50</v>
      </c>
      <c r="Q19" s="747">
        <f t="shared" si="6"/>
        <v>85</v>
      </c>
      <c r="R19" s="634" t="str">
        <f t="shared" si="7"/>
        <v>B</v>
      </c>
      <c r="S19" s="740" t="b">
        <f t="shared" si="8"/>
        <v>1</v>
      </c>
      <c r="T19" s="740"/>
      <c r="U19" s="745" t="s">
        <v>52</v>
      </c>
      <c r="V19" s="740"/>
      <c r="W19" s="740"/>
      <c r="X19" s="740"/>
      <c r="Y19" s="740"/>
      <c r="Z19" s="740"/>
      <c r="AA19" s="740"/>
      <c r="AB19" s="740"/>
      <c r="AC19" s="740"/>
    </row>
    <row r="20" spans="1:29" s="748" customFormat="1" ht="21.75" customHeight="1">
      <c r="A20" s="955">
        <v>10</v>
      </c>
      <c r="B20" s="683" t="s">
        <v>246</v>
      </c>
      <c r="C20" s="1616" t="str">
        <f>'Chấm công công nhân'!L22</f>
        <v>Thảo Mi</v>
      </c>
      <c r="D20" s="956" t="s">
        <v>40</v>
      </c>
      <c r="E20" s="1656">
        <f>'Chấm công công nhân'!AV22</f>
        <v>19</v>
      </c>
      <c r="F20" s="957"/>
      <c r="G20" s="957"/>
      <c r="H20" s="957">
        <f t="shared" si="0"/>
        <v>19</v>
      </c>
      <c r="I20" s="958">
        <v>40</v>
      </c>
      <c r="J20" s="959" t="str">
        <f>Mủ!AK22</f>
        <v>B</v>
      </c>
      <c r="K20" s="960"/>
      <c r="L20" s="961">
        <f t="shared" si="2"/>
        <v>40</v>
      </c>
      <c r="M20" s="962" t="str">
        <f t="shared" si="3"/>
        <v>B</v>
      </c>
      <c r="N20" s="963"/>
      <c r="O20" s="632">
        <f t="shared" si="4"/>
        <v>25</v>
      </c>
      <c r="P20" s="746">
        <f t="shared" si="5"/>
        <v>50</v>
      </c>
      <c r="Q20" s="747">
        <f t="shared" si="6"/>
        <v>75</v>
      </c>
      <c r="R20" s="634" t="str">
        <f t="shared" si="7"/>
        <v>C</v>
      </c>
      <c r="S20" s="740" t="b">
        <f t="shared" si="8"/>
        <v>0</v>
      </c>
      <c r="T20" s="740"/>
      <c r="U20" s="745" t="s">
        <v>92</v>
      </c>
      <c r="V20" s="740"/>
      <c r="W20" s="740"/>
      <c r="X20" s="740"/>
      <c r="Y20" s="740"/>
      <c r="Z20" s="740"/>
      <c r="AA20" s="740"/>
      <c r="AB20" s="740"/>
      <c r="AC20" s="740"/>
    </row>
    <row r="21" spans="1:29" s="748" customFormat="1" ht="21.75" customHeight="1">
      <c r="A21" s="955">
        <v>11</v>
      </c>
      <c r="B21" s="683" t="s">
        <v>286</v>
      </c>
      <c r="C21" s="1616" t="str">
        <f>'Chấm công công nhân'!L23</f>
        <v>Thảo Phét</v>
      </c>
      <c r="D21" s="956" t="s">
        <v>40</v>
      </c>
      <c r="E21" s="1656">
        <f>'Chấm công công nhân'!AV23</f>
        <v>28</v>
      </c>
      <c r="F21" s="957"/>
      <c r="G21" s="957"/>
      <c r="H21" s="957">
        <f t="shared" si="0"/>
        <v>28</v>
      </c>
      <c r="I21" s="958">
        <v>40</v>
      </c>
      <c r="J21" s="959" t="str">
        <f>Mủ!AK23</f>
        <v>A</v>
      </c>
      <c r="K21" s="960"/>
      <c r="L21" s="961">
        <f t="shared" si="2"/>
        <v>40</v>
      </c>
      <c r="M21" s="962" t="str">
        <f t="shared" si="3"/>
        <v>A</v>
      </c>
      <c r="N21" s="963"/>
      <c r="O21" s="632" t="str">
        <f t="shared" si="4"/>
        <v>40</v>
      </c>
      <c r="P21" s="746">
        <f t="shared" si="5"/>
        <v>60</v>
      </c>
      <c r="Q21" s="747">
        <f t="shared" si="6"/>
        <v>100</v>
      </c>
      <c r="R21" s="634" t="str">
        <f t="shared" si="7"/>
        <v>A</v>
      </c>
      <c r="S21" s="740" t="b">
        <f t="shared" si="8"/>
        <v>1</v>
      </c>
      <c r="T21" s="740"/>
      <c r="U21" s="745" t="s">
        <v>92</v>
      </c>
      <c r="V21" s="740"/>
      <c r="W21" s="740"/>
      <c r="X21" s="740"/>
      <c r="Y21" s="740"/>
      <c r="Z21" s="740"/>
      <c r="AA21" s="740"/>
      <c r="AB21" s="740"/>
      <c r="AC21" s="740"/>
    </row>
    <row r="22" spans="1:29" s="748" customFormat="1" ht="21.75" customHeight="1">
      <c r="A22" s="955">
        <v>12</v>
      </c>
      <c r="B22" s="683" t="s">
        <v>244</v>
      </c>
      <c r="C22" s="1616" t="str">
        <f>'Chấm công công nhân'!L24</f>
        <v>Thảo Hăm</v>
      </c>
      <c r="D22" s="956" t="s">
        <v>40</v>
      </c>
      <c r="E22" s="1656">
        <f>'Chấm công công nhân'!AV24</f>
        <v>28</v>
      </c>
      <c r="F22" s="957"/>
      <c r="G22" s="957"/>
      <c r="H22" s="957">
        <f t="shared" si="0"/>
        <v>28</v>
      </c>
      <c r="I22" s="958">
        <v>40</v>
      </c>
      <c r="J22" s="959" t="str">
        <f>Mủ!AK24</f>
        <v>A</v>
      </c>
      <c r="K22" s="960"/>
      <c r="L22" s="961">
        <f t="shared" si="2"/>
        <v>40</v>
      </c>
      <c r="M22" s="962" t="str">
        <f t="shared" si="3"/>
        <v>A</v>
      </c>
      <c r="N22" s="963"/>
      <c r="O22" s="632" t="str">
        <f t="shared" si="4"/>
        <v>40</v>
      </c>
      <c r="P22" s="746">
        <f t="shared" si="5"/>
        <v>60</v>
      </c>
      <c r="Q22" s="747">
        <f t="shared" si="6"/>
        <v>100</v>
      </c>
      <c r="R22" s="634" t="str">
        <f t="shared" si="7"/>
        <v>A</v>
      </c>
      <c r="S22" s="740" t="b">
        <f t="shared" si="8"/>
        <v>1</v>
      </c>
      <c r="T22" s="740"/>
      <c r="U22" s="745" t="s">
        <v>92</v>
      </c>
      <c r="V22" s="740"/>
      <c r="W22" s="740"/>
      <c r="X22" s="740"/>
      <c r="Y22" s="740"/>
      <c r="Z22" s="740"/>
      <c r="AA22" s="740"/>
      <c r="AB22" s="740"/>
      <c r="AC22" s="740"/>
    </row>
    <row r="23" spans="1:29" s="748" customFormat="1" ht="21.75" customHeight="1">
      <c r="A23" s="955">
        <v>13</v>
      </c>
      <c r="B23" s="683" t="s">
        <v>352</v>
      </c>
      <c r="C23" s="1616" t="str">
        <f>'Chấm công công nhân'!L25</f>
        <v>Nang Lon</v>
      </c>
      <c r="D23" s="956" t="s">
        <v>40</v>
      </c>
      <c r="E23" s="1656">
        <f>'Chấm công công nhân'!AV25</f>
        <v>29</v>
      </c>
      <c r="F23" s="957"/>
      <c r="G23" s="957"/>
      <c r="H23" s="957">
        <f t="shared" si="0"/>
        <v>29</v>
      </c>
      <c r="I23" s="958">
        <v>40</v>
      </c>
      <c r="J23" s="959" t="str">
        <f>Mủ!AK25</f>
        <v>A</v>
      </c>
      <c r="K23" s="960"/>
      <c r="L23" s="961">
        <f t="shared" si="2"/>
        <v>40</v>
      </c>
      <c r="M23" s="962" t="str">
        <f t="shared" si="3"/>
        <v>A</v>
      </c>
      <c r="N23" s="963"/>
      <c r="O23" s="632" t="str">
        <f t="shared" si="4"/>
        <v>40</v>
      </c>
      <c r="P23" s="746">
        <f t="shared" si="5"/>
        <v>60</v>
      </c>
      <c r="Q23" s="747">
        <f t="shared" si="6"/>
        <v>100</v>
      </c>
      <c r="R23" s="634" t="str">
        <f t="shared" si="7"/>
        <v>A</v>
      </c>
      <c r="S23" s="740" t="b">
        <f t="shared" si="8"/>
        <v>1</v>
      </c>
      <c r="T23" s="740"/>
      <c r="U23" s="745" t="s">
        <v>93</v>
      </c>
      <c r="V23" s="740"/>
      <c r="W23" s="740"/>
      <c r="X23" s="740"/>
      <c r="Y23" s="740"/>
      <c r="Z23" s="740"/>
      <c r="AA23" s="740"/>
      <c r="AB23" s="740"/>
      <c r="AC23" s="740"/>
    </row>
    <row r="24" spans="1:29" s="748" customFormat="1" ht="21.75" customHeight="1">
      <c r="A24" s="955">
        <v>14</v>
      </c>
      <c r="B24" s="683" t="s">
        <v>327</v>
      </c>
      <c r="C24" s="1616" t="str">
        <f>'Chấm công công nhân'!L26</f>
        <v>Thảo Phết</v>
      </c>
      <c r="D24" s="956" t="s">
        <v>40</v>
      </c>
      <c r="E24" s="1656">
        <f>'Chấm công công nhân'!AV26</f>
        <v>23</v>
      </c>
      <c r="F24" s="957"/>
      <c r="G24" s="957"/>
      <c r="H24" s="957">
        <f t="shared" si="0"/>
        <v>23</v>
      </c>
      <c r="I24" s="958">
        <v>40</v>
      </c>
      <c r="J24" s="959" t="str">
        <f>Mủ!AK26</f>
        <v>B</v>
      </c>
      <c r="K24" s="960"/>
      <c r="L24" s="961">
        <f t="shared" si="2"/>
        <v>40</v>
      </c>
      <c r="M24" s="962" t="str">
        <f t="shared" si="3"/>
        <v>B</v>
      </c>
      <c r="N24" s="963"/>
      <c r="O24" s="632">
        <f t="shared" si="4"/>
        <v>35</v>
      </c>
      <c r="P24" s="746">
        <f t="shared" si="5"/>
        <v>50</v>
      </c>
      <c r="Q24" s="747">
        <f t="shared" si="6"/>
        <v>85</v>
      </c>
      <c r="R24" s="634" t="str">
        <f t="shared" si="7"/>
        <v>B</v>
      </c>
      <c r="S24" s="740" t="b">
        <f t="shared" si="8"/>
        <v>1</v>
      </c>
      <c r="T24" s="740"/>
      <c r="U24" s="745" t="s">
        <v>93</v>
      </c>
      <c r="V24" s="740"/>
      <c r="W24" s="740"/>
      <c r="X24" s="740"/>
      <c r="Y24" s="740"/>
      <c r="Z24" s="740"/>
      <c r="AA24" s="740"/>
      <c r="AB24" s="740"/>
      <c r="AC24" s="740"/>
    </row>
    <row r="25" spans="1:29" s="748" customFormat="1" ht="21.75" customHeight="1">
      <c r="A25" s="955">
        <v>15</v>
      </c>
      <c r="B25" s="683" t="s">
        <v>328</v>
      </c>
      <c r="C25" s="1616" t="str">
        <f>'Chấm công công nhân'!L27</f>
        <v>Vĩ Lay</v>
      </c>
      <c r="D25" s="956" t="s">
        <v>40</v>
      </c>
      <c r="E25" s="1656">
        <f>'Chấm công công nhân'!AV27</f>
        <v>31</v>
      </c>
      <c r="F25" s="957"/>
      <c r="G25" s="957"/>
      <c r="H25" s="957">
        <f t="shared" si="0"/>
        <v>31</v>
      </c>
      <c r="I25" s="958">
        <v>40</v>
      </c>
      <c r="J25" s="959" t="str">
        <f>Mủ!AK27</f>
        <v>A</v>
      </c>
      <c r="K25" s="960"/>
      <c r="L25" s="961">
        <f t="shared" si="2"/>
        <v>40</v>
      </c>
      <c r="M25" s="962" t="str">
        <f t="shared" si="3"/>
        <v>A</v>
      </c>
      <c r="N25" s="963"/>
      <c r="O25" s="632" t="str">
        <f t="shared" si="4"/>
        <v>40</v>
      </c>
      <c r="P25" s="746">
        <f>IF(J25="A",60,IF(J25="B",50,IF(J25="C",45,IF(J25="d",40))))</f>
        <v>60</v>
      </c>
      <c r="Q25" s="747">
        <f t="shared" si="6"/>
        <v>100</v>
      </c>
      <c r="R25" s="634" t="str">
        <f t="shared" si="7"/>
        <v>A</v>
      </c>
      <c r="S25" s="740" t="b">
        <f t="shared" si="8"/>
        <v>1</v>
      </c>
      <c r="T25" s="740"/>
      <c r="U25" s="745" t="s">
        <v>52</v>
      </c>
      <c r="V25" s="740"/>
      <c r="W25" s="740"/>
      <c r="X25" s="740"/>
      <c r="Y25" s="740"/>
      <c r="Z25" s="740"/>
      <c r="AA25" s="740"/>
      <c r="AB25" s="740"/>
      <c r="AC25" s="740"/>
    </row>
    <row r="26" spans="1:29" s="748" customFormat="1" ht="21.75" customHeight="1">
      <c r="A26" s="955">
        <v>16</v>
      </c>
      <c r="B26" s="680" t="s">
        <v>326</v>
      </c>
      <c r="C26" s="1616" t="str">
        <f>'Chấm công công nhân'!L28</f>
        <v>Pha Xúc</v>
      </c>
      <c r="D26" s="956" t="s">
        <v>40</v>
      </c>
      <c r="E26" s="1656">
        <f>'Chấm công công nhân'!AV28</f>
        <v>29</v>
      </c>
      <c r="F26" s="957"/>
      <c r="G26" s="957"/>
      <c r="H26" s="957">
        <f t="shared" si="0"/>
        <v>29</v>
      </c>
      <c r="I26" s="958">
        <v>40</v>
      </c>
      <c r="J26" s="959" t="str">
        <f>Mủ!AK28</f>
        <v>A</v>
      </c>
      <c r="K26" s="960"/>
      <c r="L26" s="961">
        <f t="shared" si="2"/>
        <v>40</v>
      </c>
      <c r="M26" s="962" t="str">
        <f t="shared" si="3"/>
        <v>A</v>
      </c>
      <c r="N26" s="963"/>
      <c r="O26" s="632" t="str">
        <f t="shared" si="4"/>
        <v>40</v>
      </c>
      <c r="P26" s="746">
        <f t="shared" si="5"/>
        <v>60</v>
      </c>
      <c r="Q26" s="747">
        <f t="shared" si="6"/>
        <v>100</v>
      </c>
      <c r="R26" s="634" t="str">
        <f t="shared" si="7"/>
        <v>A</v>
      </c>
      <c r="S26" s="740" t="b">
        <f t="shared" si="8"/>
        <v>1</v>
      </c>
      <c r="T26" s="740"/>
      <c r="U26" s="745" t="s">
        <v>52</v>
      </c>
      <c r="V26" s="740"/>
      <c r="W26" s="740"/>
      <c r="X26" s="740"/>
      <c r="Y26" s="740"/>
      <c r="Z26" s="740"/>
      <c r="AA26" s="740"/>
      <c r="AB26" s="740"/>
      <c r="AC26" s="740"/>
    </row>
    <row r="27" spans="1:29" s="748" customFormat="1" ht="21.75" customHeight="1">
      <c r="A27" s="955">
        <v>17</v>
      </c>
      <c r="B27" s="683" t="s">
        <v>296</v>
      </c>
      <c r="C27" s="1616" t="str">
        <f>'Chấm công công nhân'!L29</f>
        <v>Nàng Đao</v>
      </c>
      <c r="D27" s="956" t="s">
        <v>40</v>
      </c>
      <c r="E27" s="1656">
        <f>'Chấm công công nhân'!AV29</f>
        <v>30</v>
      </c>
      <c r="F27" s="957"/>
      <c r="G27" s="957"/>
      <c r="H27" s="957">
        <f t="shared" si="0"/>
        <v>30</v>
      </c>
      <c r="I27" s="958">
        <v>40</v>
      </c>
      <c r="J27" s="959" t="str">
        <f>Mủ!AK29</f>
        <v>B</v>
      </c>
      <c r="K27" s="960"/>
      <c r="L27" s="961">
        <f t="shared" si="2"/>
        <v>40</v>
      </c>
      <c r="M27" s="962" t="str">
        <f t="shared" si="3"/>
        <v>B</v>
      </c>
      <c r="N27" s="963"/>
      <c r="O27" s="632" t="str">
        <f t="shared" si="4"/>
        <v>40</v>
      </c>
      <c r="P27" s="746">
        <f t="shared" si="5"/>
        <v>50</v>
      </c>
      <c r="Q27" s="747">
        <f t="shared" si="6"/>
        <v>90</v>
      </c>
      <c r="R27" s="634" t="str">
        <f t="shared" si="7"/>
        <v>B</v>
      </c>
      <c r="S27" s="740" t="b">
        <f t="shared" si="8"/>
        <v>1</v>
      </c>
      <c r="T27" s="740"/>
      <c r="U27" s="745" t="s">
        <v>92</v>
      </c>
      <c r="V27" s="740"/>
      <c r="W27" s="740"/>
      <c r="X27" s="740"/>
      <c r="Y27" s="740"/>
      <c r="Z27" s="740"/>
      <c r="AA27" s="740"/>
      <c r="AB27" s="740"/>
      <c r="AC27" s="740"/>
    </row>
    <row r="28" spans="1:29" s="748" customFormat="1" ht="21.75" customHeight="1">
      <c r="A28" s="955">
        <v>18</v>
      </c>
      <c r="B28" s="683" t="s">
        <v>284</v>
      </c>
      <c r="C28" s="1616" t="str">
        <f>'Chấm công công nhân'!L30</f>
        <v>Nàng Kiên</v>
      </c>
      <c r="D28" s="956" t="s">
        <v>40</v>
      </c>
      <c r="E28" s="1656">
        <f>'Chấm công công nhân'!AV30</f>
        <v>29</v>
      </c>
      <c r="F28" s="957"/>
      <c r="G28" s="957"/>
      <c r="H28" s="957">
        <f t="shared" si="0"/>
        <v>29</v>
      </c>
      <c r="I28" s="958">
        <v>40</v>
      </c>
      <c r="J28" s="959" t="str">
        <f>Mủ!AK30</f>
        <v>A</v>
      </c>
      <c r="K28" s="960"/>
      <c r="L28" s="961">
        <f t="shared" si="2"/>
        <v>40</v>
      </c>
      <c r="M28" s="962" t="str">
        <f t="shared" si="3"/>
        <v>A</v>
      </c>
      <c r="N28" s="963"/>
      <c r="O28" s="632" t="str">
        <f t="shared" si="4"/>
        <v>40</v>
      </c>
      <c r="P28" s="746">
        <f t="shared" si="5"/>
        <v>60</v>
      </c>
      <c r="Q28" s="747">
        <f t="shared" si="6"/>
        <v>100</v>
      </c>
      <c r="R28" s="634" t="str">
        <f t="shared" si="7"/>
        <v>A</v>
      </c>
      <c r="S28" s="740" t="b">
        <f t="shared" si="8"/>
        <v>1</v>
      </c>
      <c r="T28" s="740"/>
      <c r="U28" s="745" t="s">
        <v>52</v>
      </c>
      <c r="V28" s="740"/>
      <c r="W28" s="740"/>
      <c r="X28" s="740"/>
      <c r="Y28" s="740"/>
      <c r="Z28" s="740"/>
      <c r="AA28" s="740"/>
      <c r="AB28" s="740"/>
      <c r="AC28" s="740"/>
    </row>
    <row r="29" spans="1:29" s="748" customFormat="1" ht="21.75" customHeight="1">
      <c r="A29" s="955">
        <v>19</v>
      </c>
      <c r="B29" s="683" t="s">
        <v>294</v>
      </c>
      <c r="C29" s="1616" t="str">
        <f>'Chấm công công nhân'!L31</f>
        <v>Nàng Túc 2</v>
      </c>
      <c r="D29" s="956" t="s">
        <v>40</v>
      </c>
      <c r="E29" s="1656">
        <f>'Chấm công công nhân'!AV31</f>
        <v>29</v>
      </c>
      <c r="F29" s="957"/>
      <c r="G29" s="957"/>
      <c r="H29" s="957">
        <f t="shared" si="0"/>
        <v>29</v>
      </c>
      <c r="I29" s="958">
        <v>40</v>
      </c>
      <c r="J29" s="959" t="str">
        <f>Mủ!AK31</f>
        <v>B</v>
      </c>
      <c r="K29" s="960"/>
      <c r="L29" s="961">
        <f t="shared" si="2"/>
        <v>40</v>
      </c>
      <c r="M29" s="962" t="str">
        <f t="shared" si="3"/>
        <v>B</v>
      </c>
      <c r="N29" s="963"/>
      <c r="O29" s="632" t="str">
        <f t="shared" si="4"/>
        <v>40</v>
      </c>
      <c r="P29" s="746">
        <f t="shared" si="5"/>
        <v>50</v>
      </c>
      <c r="Q29" s="747">
        <f t="shared" si="6"/>
        <v>90</v>
      </c>
      <c r="R29" s="634" t="str">
        <f t="shared" si="7"/>
        <v>B</v>
      </c>
      <c r="S29" s="740" t="b">
        <f t="shared" si="8"/>
        <v>1</v>
      </c>
      <c r="T29" s="740"/>
      <c r="U29" s="745" t="s">
        <v>52</v>
      </c>
      <c r="V29" s="740"/>
      <c r="W29" s="740"/>
      <c r="X29" s="740"/>
      <c r="Y29" s="740"/>
      <c r="Z29" s="740"/>
      <c r="AA29" s="740"/>
      <c r="AB29" s="740"/>
      <c r="AC29" s="740"/>
    </row>
    <row r="30" spans="1:29" s="748" customFormat="1" ht="21.75" customHeight="1">
      <c r="A30" s="955">
        <v>20</v>
      </c>
      <c r="B30" s="683" t="s">
        <v>298</v>
      </c>
      <c r="C30" s="1616" t="str">
        <f>'Chấm công công nhân'!L32</f>
        <v>Nàng Phon</v>
      </c>
      <c r="D30" s="956" t="s">
        <v>40</v>
      </c>
      <c r="E30" s="1656">
        <f>'Chấm công công nhân'!AV32</f>
        <v>29</v>
      </c>
      <c r="F30" s="957"/>
      <c r="G30" s="957"/>
      <c r="H30" s="957">
        <f t="shared" si="0"/>
        <v>29</v>
      </c>
      <c r="I30" s="958">
        <v>40</v>
      </c>
      <c r="J30" s="959" t="str">
        <f>Mủ!AK32</f>
        <v>C</v>
      </c>
      <c r="K30" s="960"/>
      <c r="L30" s="961">
        <f t="shared" si="2"/>
        <v>40</v>
      </c>
      <c r="M30" s="962" t="str">
        <f t="shared" si="3"/>
        <v>C</v>
      </c>
      <c r="N30" s="963"/>
      <c r="O30" s="632" t="str">
        <f t="shared" si="4"/>
        <v>40</v>
      </c>
      <c r="P30" s="746">
        <f t="shared" si="5"/>
        <v>45</v>
      </c>
      <c r="Q30" s="747">
        <f t="shared" si="6"/>
        <v>85</v>
      </c>
      <c r="R30" s="634" t="str">
        <f t="shared" si="7"/>
        <v>B</v>
      </c>
      <c r="S30" s="740" t="b">
        <f t="shared" si="8"/>
        <v>0</v>
      </c>
      <c r="T30" s="740"/>
      <c r="U30" s="745" t="s">
        <v>52</v>
      </c>
      <c r="V30" s="740"/>
      <c r="W30" s="740"/>
      <c r="X30" s="740"/>
      <c r="Y30" s="740"/>
      <c r="Z30" s="740"/>
      <c r="AA30" s="740"/>
      <c r="AB30" s="740"/>
      <c r="AC30" s="740"/>
    </row>
    <row r="31" spans="1:29" s="748" customFormat="1" ht="21.75" customHeight="1">
      <c r="A31" s="955">
        <v>21</v>
      </c>
      <c r="B31" s="683"/>
      <c r="C31" s="1616" t="str">
        <f>'Chấm công công nhân'!L33</f>
        <v>Thảo Chòi</v>
      </c>
      <c r="D31" s="956" t="s">
        <v>40</v>
      </c>
      <c r="E31" s="1656">
        <f>'Chấm công công nhân'!AV33</f>
        <v>30</v>
      </c>
      <c r="F31" s="957"/>
      <c r="G31" s="957"/>
      <c r="H31" s="957">
        <f t="shared" si="0"/>
        <v>30</v>
      </c>
      <c r="I31" s="958">
        <v>40</v>
      </c>
      <c r="J31" s="959" t="str">
        <f>Mủ!AK33</f>
        <v>A</v>
      </c>
      <c r="K31" s="960"/>
      <c r="L31" s="961">
        <f t="shared" si="2"/>
        <v>40</v>
      </c>
      <c r="M31" s="962" t="str">
        <f t="shared" si="3"/>
        <v>A</v>
      </c>
      <c r="N31" s="963"/>
      <c r="O31" s="632" t="str">
        <f t="shared" si="4"/>
        <v>40</v>
      </c>
      <c r="P31" s="746">
        <f t="shared" si="5"/>
        <v>60</v>
      </c>
      <c r="Q31" s="747">
        <f t="shared" si="6"/>
        <v>100</v>
      </c>
      <c r="R31" s="634" t="str">
        <f t="shared" si="7"/>
        <v>A</v>
      </c>
      <c r="S31" s="740"/>
      <c r="T31" s="740"/>
      <c r="U31" s="745" t="s">
        <v>52</v>
      </c>
      <c r="V31" s="740"/>
      <c r="W31" s="740"/>
      <c r="X31" s="740"/>
      <c r="Y31" s="740"/>
      <c r="Z31" s="740"/>
      <c r="AA31" s="740"/>
      <c r="AB31" s="740"/>
      <c r="AC31" s="740"/>
    </row>
    <row r="32" spans="1:29" s="748" customFormat="1" ht="21.75" customHeight="1">
      <c r="A32" s="955">
        <v>22</v>
      </c>
      <c r="B32" s="683"/>
      <c r="C32" s="1616" t="str">
        <f>'Chấm công công nhân'!L34</f>
        <v>Thong La</v>
      </c>
      <c r="D32" s="956" t="s">
        <v>40</v>
      </c>
      <c r="E32" s="1656">
        <f>'Chấm công công nhân'!AV34</f>
        <v>31</v>
      </c>
      <c r="F32" s="957"/>
      <c r="G32" s="957"/>
      <c r="H32" s="957">
        <f t="shared" si="0"/>
        <v>31</v>
      </c>
      <c r="I32" s="958">
        <v>40</v>
      </c>
      <c r="J32" s="959" t="str">
        <f>Mủ!AK34</f>
        <v>A</v>
      </c>
      <c r="K32" s="960"/>
      <c r="L32" s="961">
        <f t="shared" si="2"/>
        <v>40</v>
      </c>
      <c r="M32" s="962" t="str">
        <f t="shared" si="3"/>
        <v>A</v>
      </c>
      <c r="N32" s="963"/>
      <c r="O32" s="632" t="str">
        <f t="shared" si="4"/>
        <v>40</v>
      </c>
      <c r="P32" s="746">
        <f t="shared" si="5"/>
        <v>60</v>
      </c>
      <c r="Q32" s="747">
        <f t="shared" si="6"/>
        <v>100</v>
      </c>
      <c r="R32" s="634" t="str">
        <f t="shared" si="7"/>
        <v>A</v>
      </c>
      <c r="S32" s="740"/>
      <c r="T32" s="740"/>
      <c r="U32" s="745" t="s">
        <v>52</v>
      </c>
      <c r="V32" s="740"/>
      <c r="W32" s="740"/>
      <c r="X32" s="740"/>
      <c r="Y32" s="740"/>
      <c r="Z32" s="740"/>
      <c r="AA32" s="740"/>
      <c r="AB32" s="740"/>
      <c r="AC32" s="740"/>
    </row>
    <row r="33" spans="1:29" s="748" customFormat="1" ht="21.75" customHeight="1">
      <c r="A33" s="955">
        <v>23</v>
      </c>
      <c r="B33" s="683"/>
      <c r="C33" s="1616" t="str">
        <f>'Chấm công công nhân'!L35</f>
        <v>Thảo kok</v>
      </c>
      <c r="D33" s="956" t="s">
        <v>40</v>
      </c>
      <c r="E33" s="1656">
        <f>'Chấm công công nhân'!AV35</f>
        <v>29</v>
      </c>
      <c r="F33" s="957"/>
      <c r="G33" s="957"/>
      <c r="H33" s="957">
        <f t="shared" si="0"/>
        <v>29</v>
      </c>
      <c r="I33" s="958">
        <v>40</v>
      </c>
      <c r="J33" s="959" t="str">
        <f>Mủ!AK35</f>
        <v>A</v>
      </c>
      <c r="K33" s="960"/>
      <c r="L33" s="961">
        <f t="shared" si="2"/>
        <v>40</v>
      </c>
      <c r="M33" s="962" t="str">
        <f t="shared" si="3"/>
        <v>A</v>
      </c>
      <c r="N33" s="963"/>
      <c r="O33" s="632" t="str">
        <f t="shared" si="4"/>
        <v>40</v>
      </c>
      <c r="P33" s="746">
        <f t="shared" si="5"/>
        <v>60</v>
      </c>
      <c r="Q33" s="747">
        <f t="shared" si="6"/>
        <v>100</v>
      </c>
      <c r="R33" s="634" t="str">
        <f t="shared" si="7"/>
        <v>A</v>
      </c>
      <c r="S33" s="740"/>
      <c r="T33" s="740"/>
      <c r="U33" s="745" t="s">
        <v>52</v>
      </c>
      <c r="V33" s="740"/>
      <c r="W33" s="740"/>
      <c r="X33" s="740"/>
      <c r="Y33" s="740"/>
      <c r="Z33" s="740"/>
      <c r="AA33" s="740"/>
      <c r="AB33" s="740"/>
      <c r="AC33" s="740"/>
    </row>
    <row r="34" spans="1:29" s="748" customFormat="1" ht="21.75" customHeight="1">
      <c r="A34" s="955">
        <v>24</v>
      </c>
      <c r="B34" s="683"/>
      <c r="C34" s="1616" t="str">
        <f>'Chấm công công nhân'!L36</f>
        <v>Thảo Hôm</v>
      </c>
      <c r="D34" s="956" t="s">
        <v>40</v>
      </c>
      <c r="E34" s="1656">
        <f>'Chấm công công nhân'!AV36</f>
        <v>19</v>
      </c>
      <c r="F34" s="957"/>
      <c r="G34" s="957"/>
      <c r="H34" s="957">
        <f t="shared" si="0"/>
        <v>19</v>
      </c>
      <c r="I34" s="958">
        <v>40</v>
      </c>
      <c r="J34" s="959" t="str">
        <f>Mủ!AK36</f>
        <v>C</v>
      </c>
      <c r="K34" s="960"/>
      <c r="L34" s="961">
        <f t="shared" si="2"/>
        <v>40</v>
      </c>
      <c r="M34" s="962" t="str">
        <f t="shared" si="3"/>
        <v>C</v>
      </c>
      <c r="N34" s="963"/>
      <c r="O34" s="632">
        <f t="shared" si="4"/>
        <v>25</v>
      </c>
      <c r="P34" s="746">
        <f t="shared" si="5"/>
        <v>45</v>
      </c>
      <c r="Q34" s="747">
        <f t="shared" si="6"/>
        <v>70</v>
      </c>
      <c r="R34" s="634" t="str">
        <f t="shared" si="7"/>
        <v>C</v>
      </c>
      <c r="S34" s="740"/>
      <c r="T34" s="740"/>
      <c r="U34" s="745" t="s">
        <v>52</v>
      </c>
      <c r="V34" s="740"/>
      <c r="W34" s="740"/>
      <c r="X34" s="740"/>
      <c r="Y34" s="740"/>
      <c r="Z34" s="740"/>
      <c r="AA34" s="740"/>
      <c r="AB34" s="740"/>
      <c r="AC34" s="740"/>
    </row>
    <row r="35" spans="1:29" s="748" customFormat="1" ht="21.75" customHeight="1">
      <c r="A35" s="955">
        <v>25</v>
      </c>
      <c r="B35" s="683"/>
      <c r="C35" s="1616" t="str">
        <f>'Chấm công công nhân'!L37</f>
        <v>Nàng Lam</v>
      </c>
      <c r="D35" s="956" t="s">
        <v>40</v>
      </c>
      <c r="E35" s="1656">
        <f>'Chấm công công nhân'!AV37</f>
        <v>19</v>
      </c>
      <c r="F35" s="957"/>
      <c r="G35" s="957"/>
      <c r="H35" s="957">
        <f t="shared" si="0"/>
        <v>19</v>
      </c>
      <c r="I35" s="958">
        <v>40</v>
      </c>
      <c r="J35" s="959" t="str">
        <f>Mủ!AK37</f>
        <v>B</v>
      </c>
      <c r="K35" s="960"/>
      <c r="L35" s="961">
        <f t="shared" si="2"/>
        <v>40</v>
      </c>
      <c r="M35" s="962" t="str">
        <f t="shared" si="3"/>
        <v>B</v>
      </c>
      <c r="N35" s="963"/>
      <c r="O35" s="632"/>
      <c r="P35" s="746">
        <f t="shared" si="5"/>
        <v>50</v>
      </c>
      <c r="Q35" s="747"/>
      <c r="R35" s="634"/>
      <c r="S35" s="740"/>
      <c r="T35" s="740"/>
      <c r="U35" s="745"/>
      <c r="V35" s="740"/>
      <c r="W35" s="740"/>
      <c r="X35" s="740"/>
      <c r="Y35" s="740"/>
      <c r="Z35" s="740"/>
      <c r="AA35" s="740"/>
      <c r="AB35" s="740"/>
      <c r="AC35" s="740"/>
    </row>
    <row r="36" spans="1:29" s="748" customFormat="1" ht="21.75" customHeight="1">
      <c r="A36" s="955">
        <v>26</v>
      </c>
      <c r="B36" s="683"/>
      <c r="C36" s="1616" t="str">
        <f>'Chấm công công nhân'!L38</f>
        <v>Thảo Hơ Phơ</v>
      </c>
      <c r="D36" s="956" t="s">
        <v>40</v>
      </c>
      <c r="E36" s="1656">
        <f>'Chấm công công nhân'!AV38</f>
        <v>21</v>
      </c>
      <c r="F36" s="957"/>
      <c r="G36" s="957"/>
      <c r="H36" s="957">
        <f t="shared" si="0"/>
        <v>21</v>
      </c>
      <c r="I36" s="958">
        <v>40</v>
      </c>
      <c r="J36" s="959" t="str">
        <f>Mủ!AK38</f>
        <v>A</v>
      </c>
      <c r="K36" s="960"/>
      <c r="L36" s="961">
        <f t="shared" si="2"/>
        <v>40</v>
      </c>
      <c r="M36" s="962" t="str">
        <f t="shared" si="3"/>
        <v>A</v>
      </c>
      <c r="N36" s="963"/>
      <c r="O36" s="632"/>
      <c r="P36" s="746">
        <f t="shared" si="5"/>
        <v>60</v>
      </c>
      <c r="Q36" s="747"/>
      <c r="R36" s="634"/>
      <c r="S36" s="740"/>
      <c r="T36" s="740"/>
      <c r="U36" s="745"/>
      <c r="V36" s="740"/>
      <c r="W36" s="740"/>
      <c r="X36" s="740"/>
      <c r="Y36" s="740"/>
      <c r="Z36" s="740"/>
      <c r="AA36" s="740"/>
      <c r="AB36" s="740"/>
      <c r="AC36" s="740"/>
    </row>
    <row r="37" spans="1:29" s="748" customFormat="1" ht="21.75" customHeight="1">
      <c r="A37" s="955">
        <v>27</v>
      </c>
      <c r="B37" s="683"/>
      <c r="C37" s="1616" t="str">
        <f>'Chấm công công nhân'!L39</f>
        <v>Thảo Lay</v>
      </c>
      <c r="D37" s="956" t="s">
        <v>40</v>
      </c>
      <c r="E37" s="1656">
        <f>'Chấm công công nhân'!AV39</f>
        <v>31</v>
      </c>
      <c r="F37" s="957"/>
      <c r="G37" s="957"/>
      <c r="H37" s="957">
        <f t="shared" si="0"/>
        <v>31</v>
      </c>
      <c r="I37" s="958">
        <v>40</v>
      </c>
      <c r="J37" s="959" t="str">
        <f>Mủ!AK39</f>
        <v>A</v>
      </c>
      <c r="K37" s="960"/>
      <c r="L37" s="961">
        <f t="shared" si="2"/>
        <v>40</v>
      </c>
      <c r="M37" s="962" t="str">
        <f t="shared" si="3"/>
        <v>A</v>
      </c>
      <c r="N37" s="963"/>
      <c r="O37" s="632"/>
      <c r="P37" s="746">
        <f t="shared" si="5"/>
        <v>60</v>
      </c>
      <c r="Q37" s="747"/>
      <c r="R37" s="634"/>
      <c r="S37" s="740"/>
      <c r="T37" s="740"/>
      <c r="U37" s="745"/>
      <c r="V37" s="740"/>
      <c r="W37" s="740"/>
      <c r="X37" s="740"/>
      <c r="Y37" s="740"/>
      <c r="Z37" s="740"/>
      <c r="AA37" s="740"/>
      <c r="AB37" s="740"/>
      <c r="AC37" s="740"/>
    </row>
    <row r="38" spans="1:29" s="748" customFormat="1" ht="21.75" customHeight="1">
      <c r="A38" s="955">
        <v>28</v>
      </c>
      <c r="B38" s="683" t="s">
        <v>295</v>
      </c>
      <c r="C38" s="1616" t="str">
        <f>'Chấm công công nhân'!L40</f>
        <v>Thảo Khốc</v>
      </c>
      <c r="D38" s="956" t="s">
        <v>40</v>
      </c>
      <c r="E38" s="1656">
        <f>'Chấm công công nhân'!AV40</f>
        <v>23</v>
      </c>
      <c r="F38" s="957"/>
      <c r="G38" s="957"/>
      <c r="H38" s="957">
        <f t="shared" si="0"/>
        <v>23</v>
      </c>
      <c r="I38" s="958">
        <v>40</v>
      </c>
      <c r="J38" s="959" t="str">
        <f>Mủ!AK40</f>
        <v>A</v>
      </c>
      <c r="K38" s="960"/>
      <c r="L38" s="961">
        <f t="shared" si="2"/>
        <v>40</v>
      </c>
      <c r="M38" s="962" t="str">
        <f t="shared" si="3"/>
        <v>A</v>
      </c>
      <c r="N38" s="963"/>
      <c r="O38" s="632">
        <f t="shared" si="4"/>
        <v>35</v>
      </c>
      <c r="P38" s="746">
        <f t="shared" si="5"/>
        <v>60</v>
      </c>
      <c r="Q38" s="747">
        <f t="shared" si="6"/>
        <v>95</v>
      </c>
      <c r="R38" s="634" t="str">
        <f t="shared" si="7"/>
        <v>A</v>
      </c>
      <c r="S38" s="740" t="b">
        <f t="shared" si="8"/>
        <v>1</v>
      </c>
      <c r="T38" s="740"/>
      <c r="U38" s="745" t="s">
        <v>52</v>
      </c>
      <c r="V38" s="740"/>
      <c r="W38" s="740"/>
      <c r="X38" s="740"/>
      <c r="Y38" s="740"/>
      <c r="Z38" s="740"/>
      <c r="AA38" s="740"/>
      <c r="AB38" s="740"/>
      <c r="AC38" s="740"/>
    </row>
    <row r="39" spans="1:29" s="748" customFormat="1" ht="21.75" customHeight="1">
      <c r="A39" s="955">
        <v>29</v>
      </c>
      <c r="B39" s="683"/>
      <c r="C39" s="1616" t="str">
        <f>'Chấm công công nhân'!L41</f>
        <v>Thảo Sợt</v>
      </c>
      <c r="D39" s="956" t="s">
        <v>40</v>
      </c>
      <c r="E39" s="1656">
        <f>'Chấm công công nhân'!AV41</f>
        <v>23</v>
      </c>
      <c r="F39" s="957"/>
      <c r="G39" s="957"/>
      <c r="H39" s="957">
        <f t="shared" si="0"/>
        <v>23</v>
      </c>
      <c r="I39" s="958">
        <v>40</v>
      </c>
      <c r="J39" s="959" t="str">
        <f>Mủ!AK41</f>
        <v>B</v>
      </c>
      <c r="K39" s="960"/>
      <c r="L39" s="961">
        <f t="shared" si="2"/>
        <v>40</v>
      </c>
      <c r="M39" s="962" t="str">
        <f t="shared" si="3"/>
        <v>B</v>
      </c>
      <c r="N39" s="963"/>
      <c r="O39" s="632"/>
      <c r="P39" s="746">
        <f t="shared" si="5"/>
        <v>50</v>
      </c>
      <c r="Q39" s="747"/>
      <c r="R39" s="634"/>
      <c r="S39" s="740"/>
      <c r="T39" s="740"/>
      <c r="U39" s="745"/>
      <c r="V39" s="740"/>
      <c r="W39" s="740"/>
      <c r="X39" s="740"/>
      <c r="Y39" s="740"/>
      <c r="Z39" s="740"/>
      <c r="AA39" s="740"/>
      <c r="AB39" s="740"/>
      <c r="AC39" s="740"/>
    </row>
    <row r="40" spans="1:29" s="748" customFormat="1" ht="21.75" customHeight="1">
      <c r="A40" s="955">
        <v>30</v>
      </c>
      <c r="B40" s="683" t="s">
        <v>297</v>
      </c>
      <c r="C40" s="1616" t="str">
        <f>'Chấm công công nhân'!L42</f>
        <v>Thảo Văn</v>
      </c>
      <c r="D40" s="956" t="s">
        <v>40</v>
      </c>
      <c r="E40" s="1656">
        <f>'Chấm công công nhân'!AV42</f>
        <v>28</v>
      </c>
      <c r="F40" s="957"/>
      <c r="G40" s="957"/>
      <c r="H40" s="957">
        <f t="shared" si="0"/>
        <v>28</v>
      </c>
      <c r="I40" s="958">
        <v>40</v>
      </c>
      <c r="J40" s="959" t="str">
        <f>Mủ!AK42</f>
        <v>B</v>
      </c>
      <c r="K40" s="960"/>
      <c r="L40" s="961">
        <f t="shared" si="2"/>
        <v>40</v>
      </c>
      <c r="M40" s="962" t="str">
        <f t="shared" si="3"/>
        <v>B</v>
      </c>
      <c r="N40" s="963"/>
      <c r="O40" s="632"/>
      <c r="P40" s="746">
        <f t="shared" si="5"/>
        <v>50</v>
      </c>
      <c r="Q40" s="747"/>
      <c r="R40" s="634"/>
      <c r="S40" s="740" t="b">
        <f t="shared" si="8"/>
        <v>0</v>
      </c>
      <c r="T40" s="740"/>
      <c r="U40" s="745" t="s">
        <v>52</v>
      </c>
      <c r="V40" s="740"/>
      <c r="W40" s="740"/>
      <c r="X40" s="740"/>
      <c r="Y40" s="740"/>
      <c r="Z40" s="740"/>
      <c r="AA40" s="740"/>
      <c r="AB40" s="740"/>
      <c r="AC40" s="740"/>
    </row>
    <row r="41" spans="1:29" s="748" customFormat="1" ht="21.75" customHeight="1">
      <c r="A41" s="955">
        <v>31</v>
      </c>
      <c r="B41" s="683" t="s">
        <v>351</v>
      </c>
      <c r="C41" s="1616" t="str">
        <f>'Chấm công công nhân'!L43</f>
        <v>Thảo Thong</v>
      </c>
      <c r="D41" s="956" t="s">
        <v>40</v>
      </c>
      <c r="E41" s="1656">
        <f>'Chấm công công nhân'!AV43</f>
        <v>25</v>
      </c>
      <c r="F41" s="957"/>
      <c r="G41" s="957"/>
      <c r="H41" s="957">
        <f t="shared" si="0"/>
        <v>25</v>
      </c>
      <c r="I41" s="958">
        <v>40</v>
      </c>
      <c r="J41" s="959" t="str">
        <f>Mủ!AK43</f>
        <v>A</v>
      </c>
      <c r="K41" s="960"/>
      <c r="L41" s="961">
        <f t="shared" si="2"/>
        <v>40</v>
      </c>
      <c r="M41" s="962" t="str">
        <f t="shared" si="3"/>
        <v>A</v>
      </c>
      <c r="N41" s="963"/>
      <c r="O41" s="632"/>
      <c r="P41" s="746">
        <f t="shared" si="5"/>
        <v>60</v>
      </c>
      <c r="Q41" s="747"/>
      <c r="R41" s="634"/>
      <c r="S41" s="740" t="b">
        <f t="shared" si="8"/>
        <v>0</v>
      </c>
      <c r="T41" s="740"/>
      <c r="U41" s="745" t="s">
        <v>92</v>
      </c>
      <c r="V41" s="740"/>
      <c r="W41" s="740"/>
      <c r="X41" s="740"/>
      <c r="Y41" s="740"/>
      <c r="Z41" s="740"/>
      <c r="AA41" s="740"/>
      <c r="AB41" s="740"/>
      <c r="AC41" s="740"/>
    </row>
    <row r="42" spans="1:29" s="748" customFormat="1" ht="21.75" customHeight="1">
      <c r="A42" s="955">
        <v>32</v>
      </c>
      <c r="B42" s="683" t="s">
        <v>331</v>
      </c>
      <c r="C42" s="1616" t="str">
        <f>'Chấm công công nhân'!L44</f>
        <v xml:space="preserve"> Nàng Ngột</v>
      </c>
      <c r="D42" s="956" t="s">
        <v>40</v>
      </c>
      <c r="E42" s="1656">
        <f>'Chấm công công nhân'!AV44</f>
        <v>25</v>
      </c>
      <c r="F42" s="724"/>
      <c r="G42" s="957"/>
      <c r="H42" s="957">
        <f t="shared" si="0"/>
        <v>25</v>
      </c>
      <c r="I42" s="958">
        <v>40</v>
      </c>
      <c r="J42" s="959" t="str">
        <f>Mủ!AK44</f>
        <v>B</v>
      </c>
      <c r="K42" s="960"/>
      <c r="L42" s="961">
        <f t="shared" si="2"/>
        <v>40</v>
      </c>
      <c r="M42" s="962" t="str">
        <f t="shared" si="3"/>
        <v>B</v>
      </c>
      <c r="N42" s="963"/>
      <c r="O42" s="632">
        <f t="shared" si="4"/>
        <v>35</v>
      </c>
      <c r="P42" s="746">
        <f t="shared" si="5"/>
        <v>50</v>
      </c>
      <c r="Q42" s="747">
        <f t="shared" si="6"/>
        <v>85</v>
      </c>
      <c r="R42" s="634" t="str">
        <f t="shared" si="7"/>
        <v>B</v>
      </c>
      <c r="S42" s="740" t="b">
        <f t="shared" si="8"/>
        <v>1</v>
      </c>
      <c r="T42" s="740"/>
      <c r="U42" s="745" t="s">
        <v>52</v>
      </c>
      <c r="V42" s="740"/>
      <c r="W42" s="740"/>
      <c r="X42" s="740"/>
      <c r="Y42" s="740"/>
      <c r="Z42" s="740"/>
      <c r="AA42" s="740"/>
      <c r="AB42" s="740"/>
      <c r="AC42" s="740"/>
    </row>
    <row r="43" spans="1:29" s="748" customFormat="1" ht="21.75" customHeight="1">
      <c r="A43" s="955">
        <v>33</v>
      </c>
      <c r="B43" s="683" t="s">
        <v>297</v>
      </c>
      <c r="C43" s="1616" t="str">
        <f>'Chấm công công nhân'!L45</f>
        <v>Nàng Chon</v>
      </c>
      <c r="D43" s="956" t="s">
        <v>40</v>
      </c>
      <c r="E43" s="1656">
        <f>'Chấm công công nhân'!AV45</f>
        <v>21</v>
      </c>
      <c r="F43" s="957"/>
      <c r="G43" s="957"/>
      <c r="H43" s="957">
        <f t="shared" ref="H43:H79" si="9">SUM(E43:G43)</f>
        <v>21</v>
      </c>
      <c r="I43" s="958">
        <v>40</v>
      </c>
      <c r="J43" s="959" t="str">
        <f>Mủ!AK45</f>
        <v>B</v>
      </c>
      <c r="K43" s="960"/>
      <c r="L43" s="961">
        <f t="shared" ref="L43:L46" si="10">I43+K43</f>
        <v>40</v>
      </c>
      <c r="M43" s="962" t="str">
        <f t="shared" si="3"/>
        <v>B</v>
      </c>
      <c r="N43" s="963"/>
      <c r="O43" s="632"/>
      <c r="P43" s="746">
        <f t="shared" ref="P43:P46" si="11">IF(J43="A",60,IF(J43="B",50,IF(J43="C",45,IF(J43="d",40))))</f>
        <v>50</v>
      </c>
      <c r="Q43" s="747"/>
      <c r="R43" s="634"/>
      <c r="S43" s="740" t="b">
        <f t="shared" ref="S43:S45" si="12">EXACT(M43,R43)</f>
        <v>0</v>
      </c>
      <c r="T43" s="740"/>
      <c r="U43" s="745" t="s">
        <v>52</v>
      </c>
      <c r="V43" s="740"/>
      <c r="W43" s="740"/>
      <c r="X43" s="740"/>
      <c r="Y43" s="740"/>
      <c r="Z43" s="740"/>
      <c r="AA43" s="740"/>
      <c r="AB43" s="740"/>
      <c r="AC43" s="740"/>
    </row>
    <row r="44" spans="1:29" s="748" customFormat="1" ht="21.75" customHeight="1">
      <c r="A44" s="955">
        <v>34</v>
      </c>
      <c r="B44" s="683" t="s">
        <v>351</v>
      </c>
      <c r="C44" s="1616" t="str">
        <f>'Chấm công công nhân'!L46</f>
        <v>Bun han</v>
      </c>
      <c r="D44" s="956" t="s">
        <v>40</v>
      </c>
      <c r="E44" s="1656">
        <f>'Chấm công công nhân'!AV46</f>
        <v>26</v>
      </c>
      <c r="F44" s="957"/>
      <c r="G44" s="957"/>
      <c r="H44" s="957">
        <f t="shared" si="9"/>
        <v>26</v>
      </c>
      <c r="I44" s="958">
        <v>40</v>
      </c>
      <c r="J44" s="959" t="str">
        <f>Mủ!AK46</f>
        <v>B</v>
      </c>
      <c r="K44" s="960"/>
      <c r="L44" s="961">
        <f t="shared" si="10"/>
        <v>40</v>
      </c>
      <c r="M44" s="962" t="str">
        <f t="shared" si="3"/>
        <v>B</v>
      </c>
      <c r="N44" s="963"/>
      <c r="O44" s="632"/>
      <c r="P44" s="746">
        <f t="shared" si="11"/>
        <v>50</v>
      </c>
      <c r="Q44" s="747"/>
      <c r="R44" s="634"/>
      <c r="S44" s="740" t="b">
        <f t="shared" si="12"/>
        <v>0</v>
      </c>
      <c r="T44" s="740"/>
      <c r="U44" s="745" t="s">
        <v>92</v>
      </c>
      <c r="V44" s="740"/>
      <c r="W44" s="740"/>
      <c r="X44" s="740"/>
      <c r="Y44" s="740"/>
      <c r="Z44" s="740"/>
      <c r="AA44" s="740"/>
      <c r="AB44" s="740"/>
      <c r="AC44" s="740"/>
    </row>
    <row r="45" spans="1:29" s="748" customFormat="1" ht="21.75" customHeight="1">
      <c r="A45" s="955">
        <v>35</v>
      </c>
      <c r="B45" s="683" t="s">
        <v>331</v>
      </c>
      <c r="C45" s="1616" t="str">
        <f>'Chấm công công nhân'!L47</f>
        <v>Hăn</v>
      </c>
      <c r="D45" s="956" t="s">
        <v>40</v>
      </c>
      <c r="E45" s="1656">
        <f>'Chấm công công nhân'!AV47</f>
        <v>25</v>
      </c>
      <c r="F45" s="724"/>
      <c r="G45" s="957"/>
      <c r="H45" s="957">
        <f t="shared" si="9"/>
        <v>25</v>
      </c>
      <c r="I45" s="958">
        <v>40</v>
      </c>
      <c r="J45" s="959" t="str">
        <f>Mủ!AK47</f>
        <v>A</v>
      </c>
      <c r="K45" s="960"/>
      <c r="L45" s="961">
        <f t="shared" si="10"/>
        <v>40</v>
      </c>
      <c r="M45" s="962" t="str">
        <f t="shared" si="3"/>
        <v>A</v>
      </c>
      <c r="N45" s="963"/>
      <c r="O45" s="632">
        <f t="shared" ref="O45" si="13">IF(H45&lt;20,25,IF(H45&lt;=22,30,IF(H45&gt;=26,"40",35)))</f>
        <v>35</v>
      </c>
      <c r="P45" s="746">
        <f t="shared" si="11"/>
        <v>60</v>
      </c>
      <c r="Q45" s="747">
        <f t="shared" ref="Q45" si="14">+O45+P45</f>
        <v>95</v>
      </c>
      <c r="R45" s="634" t="str">
        <f t="shared" ref="R45" si="15">IF(Q45&lt;70,"D",IF(Q45&gt;=95,"A",IF(Q45&lt;=80,"C","B")))</f>
        <v>A</v>
      </c>
      <c r="S45" s="740" t="b">
        <f t="shared" si="12"/>
        <v>1</v>
      </c>
      <c r="T45" s="740"/>
      <c r="U45" s="745" t="s">
        <v>52</v>
      </c>
      <c r="V45" s="740"/>
      <c r="W45" s="740"/>
      <c r="X45" s="740"/>
      <c r="Y45" s="740"/>
      <c r="Z45" s="740"/>
      <c r="AA45" s="740"/>
      <c r="AB45" s="740"/>
      <c r="AC45" s="740"/>
    </row>
    <row r="46" spans="1:29" s="748" customFormat="1" ht="21.75" customHeight="1">
      <c r="A46" s="955">
        <v>36</v>
      </c>
      <c r="B46" s="683"/>
      <c r="C46" s="1616" t="str">
        <f>'Chấm công công nhân'!L48</f>
        <v>Thảo Tuỳ</v>
      </c>
      <c r="D46" s="956" t="s">
        <v>40</v>
      </c>
      <c r="E46" s="1656">
        <f>'Chấm công công nhân'!AV48</f>
        <v>31</v>
      </c>
      <c r="F46" s="724"/>
      <c r="G46" s="957"/>
      <c r="H46" s="957">
        <f t="shared" si="9"/>
        <v>31</v>
      </c>
      <c r="I46" s="958">
        <v>40</v>
      </c>
      <c r="J46" s="959" t="str">
        <f>Mủ!AK48</f>
        <v>A</v>
      </c>
      <c r="K46" s="960"/>
      <c r="L46" s="961">
        <f t="shared" si="10"/>
        <v>40</v>
      </c>
      <c r="M46" s="962" t="str">
        <f t="shared" si="3"/>
        <v>A</v>
      </c>
      <c r="N46" s="963"/>
      <c r="O46" s="632"/>
      <c r="P46" s="746">
        <f t="shared" si="11"/>
        <v>60</v>
      </c>
      <c r="Q46" s="747"/>
      <c r="R46" s="634"/>
      <c r="S46" s="740"/>
      <c r="T46" s="740"/>
      <c r="U46" s="745"/>
      <c r="V46" s="740"/>
      <c r="W46" s="740"/>
      <c r="X46" s="740"/>
      <c r="Y46" s="740"/>
      <c r="Z46" s="740"/>
      <c r="AA46" s="740"/>
      <c r="AB46" s="740"/>
      <c r="AC46" s="740"/>
    </row>
    <row r="47" spans="1:29" s="748" customFormat="1" ht="21.75" customHeight="1">
      <c r="A47" s="4233" t="s">
        <v>273</v>
      </c>
      <c r="B47" s="4233"/>
      <c r="C47" s="4233"/>
      <c r="D47" s="2169"/>
      <c r="E47" s="2169"/>
      <c r="F47" s="2169"/>
      <c r="G47" s="2169"/>
      <c r="H47" s="2169"/>
      <c r="I47" s="2169"/>
      <c r="J47" s="2169"/>
      <c r="K47" s="2169"/>
      <c r="L47" s="2169"/>
      <c r="M47" s="962"/>
      <c r="N47" s="2169"/>
      <c r="O47" s="632"/>
      <c r="P47" s="746"/>
      <c r="Q47" s="747"/>
      <c r="R47" s="634"/>
      <c r="S47" s="740"/>
      <c r="T47" s="740"/>
      <c r="U47" s="745"/>
      <c r="V47" s="740"/>
      <c r="W47" s="740"/>
      <c r="X47" s="740"/>
      <c r="Y47" s="740"/>
      <c r="Z47" s="740"/>
      <c r="AA47" s="740"/>
      <c r="AB47" s="740"/>
      <c r="AC47" s="740"/>
    </row>
    <row r="48" spans="1:29" s="748" customFormat="1" ht="21.75" customHeight="1">
      <c r="A48" s="955">
        <v>1</v>
      </c>
      <c r="B48" s="964"/>
      <c r="C48" s="1570" t="str">
        <f>'Chấm công công nhân'!L50</f>
        <v>Thảo tít</v>
      </c>
      <c r="D48" s="956" t="s">
        <v>40</v>
      </c>
      <c r="E48" s="1656">
        <f>'Chấm công công nhân'!AV50</f>
        <v>30</v>
      </c>
      <c r="F48" s="724"/>
      <c r="G48" s="957"/>
      <c r="H48" s="957">
        <f t="shared" si="9"/>
        <v>30</v>
      </c>
      <c r="I48" s="958">
        <v>40</v>
      </c>
      <c r="J48" s="959" t="str">
        <f>Mủ!AK50</f>
        <v>B</v>
      </c>
      <c r="K48" s="960"/>
      <c r="L48" s="961">
        <f t="shared" si="2"/>
        <v>40</v>
      </c>
      <c r="M48" s="962" t="str">
        <f>J48</f>
        <v>B</v>
      </c>
      <c r="N48" s="963"/>
      <c r="O48" s="632"/>
      <c r="P48" s="746">
        <f t="shared" si="5"/>
        <v>50</v>
      </c>
      <c r="Q48" s="747"/>
      <c r="R48" s="634"/>
      <c r="S48" s="740"/>
      <c r="T48" s="740"/>
      <c r="U48" s="745"/>
      <c r="V48" s="740"/>
      <c r="W48" s="740"/>
      <c r="X48" s="740"/>
      <c r="Y48" s="740"/>
      <c r="Z48" s="740"/>
      <c r="AA48" s="740"/>
      <c r="AB48" s="740"/>
      <c r="AC48" s="740"/>
    </row>
    <row r="49" spans="1:29" s="748" customFormat="1" ht="21.75" customHeight="1">
      <c r="A49" s="955">
        <v>2</v>
      </c>
      <c r="B49" s="964"/>
      <c r="C49" s="1570" t="str">
        <f>'Chấm công công nhân'!L51</f>
        <v>Thảo ớt</v>
      </c>
      <c r="D49" s="956" t="s">
        <v>40</v>
      </c>
      <c r="E49" s="1656">
        <f>'Chấm công công nhân'!AV51</f>
        <v>31</v>
      </c>
      <c r="F49" s="724"/>
      <c r="G49" s="957"/>
      <c r="H49" s="957">
        <f t="shared" si="9"/>
        <v>31</v>
      </c>
      <c r="I49" s="958">
        <v>40</v>
      </c>
      <c r="J49" s="959" t="str">
        <f>Mủ!AK51</f>
        <v>A</v>
      </c>
      <c r="K49" s="960"/>
      <c r="L49" s="961">
        <f t="shared" si="2"/>
        <v>40</v>
      </c>
      <c r="M49" s="962" t="str">
        <f t="shared" ref="M49:M62" si="16">J49</f>
        <v>A</v>
      </c>
      <c r="N49" s="963"/>
      <c r="O49" s="632"/>
      <c r="P49" s="746">
        <f t="shared" si="5"/>
        <v>60</v>
      </c>
      <c r="Q49" s="747"/>
      <c r="R49" s="634"/>
      <c r="S49" s="740"/>
      <c r="T49" s="740"/>
      <c r="U49" s="745"/>
      <c r="V49" s="740"/>
      <c r="W49" s="740"/>
      <c r="X49" s="740"/>
      <c r="Y49" s="740"/>
      <c r="Z49" s="740"/>
      <c r="AA49" s="740"/>
      <c r="AB49" s="740"/>
      <c r="AC49" s="740"/>
    </row>
    <row r="50" spans="1:29" s="748" customFormat="1" ht="21.75" customHeight="1">
      <c r="A50" s="955">
        <v>3</v>
      </c>
      <c r="B50" s="964"/>
      <c r="C50" s="1570" t="str">
        <f>'Chấm công công nhân'!L52</f>
        <v>Nàng Ọt</v>
      </c>
      <c r="D50" s="956" t="s">
        <v>40</v>
      </c>
      <c r="E50" s="1656">
        <f>'Chấm công công nhân'!AV52</f>
        <v>31</v>
      </c>
      <c r="F50" s="724"/>
      <c r="G50" s="957"/>
      <c r="H50" s="957">
        <f t="shared" si="9"/>
        <v>31</v>
      </c>
      <c r="I50" s="958">
        <v>40</v>
      </c>
      <c r="J50" s="959" t="str">
        <f>Mủ!AK52</f>
        <v>B</v>
      </c>
      <c r="K50" s="960"/>
      <c r="L50" s="961">
        <f t="shared" si="2"/>
        <v>40</v>
      </c>
      <c r="M50" s="962" t="str">
        <f t="shared" si="16"/>
        <v>B</v>
      </c>
      <c r="N50" s="963"/>
      <c r="O50" s="632"/>
      <c r="P50" s="746">
        <f t="shared" si="5"/>
        <v>50</v>
      </c>
      <c r="Q50" s="747"/>
      <c r="R50" s="634"/>
      <c r="S50" s="740"/>
      <c r="T50" s="740"/>
      <c r="U50" s="745"/>
      <c r="V50" s="740"/>
      <c r="W50" s="740"/>
      <c r="X50" s="740"/>
      <c r="Y50" s="740"/>
      <c r="Z50" s="740"/>
      <c r="AA50" s="740"/>
      <c r="AB50" s="740"/>
      <c r="AC50" s="740"/>
    </row>
    <row r="51" spans="1:29" s="748" customFormat="1" ht="21.75" customHeight="1">
      <c r="A51" s="955">
        <v>4</v>
      </c>
      <c r="B51" s="964"/>
      <c r="C51" s="1570" t="str">
        <f>'Chấm công công nhân'!L53</f>
        <v>Thào Tòng</v>
      </c>
      <c r="D51" s="956" t="s">
        <v>40</v>
      </c>
      <c r="E51" s="1656">
        <f>'Chấm công công nhân'!AV53</f>
        <v>31</v>
      </c>
      <c r="F51" s="724"/>
      <c r="G51" s="957"/>
      <c r="H51" s="957">
        <f t="shared" si="9"/>
        <v>31</v>
      </c>
      <c r="I51" s="958">
        <v>40</v>
      </c>
      <c r="J51" s="959" t="str">
        <f>Mủ!AK53</f>
        <v>B</v>
      </c>
      <c r="K51" s="960"/>
      <c r="L51" s="961">
        <f t="shared" si="2"/>
        <v>40</v>
      </c>
      <c r="M51" s="962" t="str">
        <f t="shared" si="16"/>
        <v>B</v>
      </c>
      <c r="N51" s="963"/>
      <c r="O51" s="632"/>
      <c r="P51" s="746">
        <f t="shared" si="5"/>
        <v>50</v>
      </c>
      <c r="Q51" s="747"/>
      <c r="R51" s="634"/>
      <c r="S51" s="740"/>
      <c r="T51" s="740"/>
      <c r="U51" s="745"/>
      <c r="V51" s="740"/>
      <c r="W51" s="740"/>
      <c r="X51" s="740"/>
      <c r="Y51" s="740"/>
      <c r="Z51" s="740"/>
      <c r="AA51" s="740"/>
      <c r="AB51" s="740"/>
      <c r="AC51" s="740"/>
    </row>
    <row r="52" spans="1:29" s="748" customFormat="1" ht="21.75" customHeight="1">
      <c r="A52" s="955">
        <v>5</v>
      </c>
      <c r="B52" s="964"/>
      <c r="C52" s="1570" t="str">
        <f>'Chấm công công nhân'!L54</f>
        <v>Nàng Nơm</v>
      </c>
      <c r="D52" s="956" t="s">
        <v>40</v>
      </c>
      <c r="E52" s="1656">
        <f>'Chấm công công nhân'!AV54</f>
        <v>31</v>
      </c>
      <c r="F52" s="724"/>
      <c r="G52" s="957"/>
      <c r="H52" s="957">
        <f t="shared" si="9"/>
        <v>31</v>
      </c>
      <c r="I52" s="958">
        <v>40</v>
      </c>
      <c r="J52" s="959" t="str">
        <f>Mủ!AK54</f>
        <v>A</v>
      </c>
      <c r="K52" s="960"/>
      <c r="L52" s="961">
        <f t="shared" si="2"/>
        <v>40</v>
      </c>
      <c r="M52" s="962" t="str">
        <f t="shared" si="16"/>
        <v>A</v>
      </c>
      <c r="N52" s="963"/>
      <c r="O52" s="632"/>
      <c r="P52" s="746">
        <f t="shared" si="5"/>
        <v>60</v>
      </c>
      <c r="Q52" s="747"/>
      <c r="R52" s="634"/>
      <c r="S52" s="740"/>
      <c r="T52" s="740"/>
      <c r="U52" s="745"/>
      <c r="V52" s="740"/>
      <c r="W52" s="740"/>
      <c r="X52" s="740"/>
      <c r="Y52" s="740"/>
      <c r="Z52" s="740"/>
      <c r="AA52" s="740"/>
      <c r="AB52" s="740"/>
      <c r="AC52" s="740"/>
    </row>
    <row r="53" spans="1:29" s="748" customFormat="1" ht="21.75" customHeight="1">
      <c r="A53" s="955">
        <v>6</v>
      </c>
      <c r="B53" s="964"/>
      <c r="C53" s="1570" t="str">
        <f>'Chấm công công nhân'!L55</f>
        <v>Thảo Ây</v>
      </c>
      <c r="D53" s="956" t="s">
        <v>40</v>
      </c>
      <c r="E53" s="1656">
        <f>'Chấm công công nhân'!AV55</f>
        <v>31</v>
      </c>
      <c r="F53" s="724"/>
      <c r="G53" s="957"/>
      <c r="H53" s="957">
        <f t="shared" si="9"/>
        <v>31</v>
      </c>
      <c r="I53" s="958">
        <v>40</v>
      </c>
      <c r="J53" s="959" t="str">
        <f>Mủ!AK55</f>
        <v>A</v>
      </c>
      <c r="K53" s="960"/>
      <c r="L53" s="961">
        <f t="shared" si="2"/>
        <v>40</v>
      </c>
      <c r="M53" s="962" t="str">
        <f t="shared" si="16"/>
        <v>A</v>
      </c>
      <c r="N53" s="963"/>
      <c r="O53" s="632"/>
      <c r="P53" s="746">
        <f t="shared" si="5"/>
        <v>60</v>
      </c>
      <c r="Q53" s="747"/>
      <c r="R53" s="634"/>
      <c r="S53" s="740"/>
      <c r="T53" s="740"/>
      <c r="U53" s="745"/>
      <c r="V53" s="740"/>
      <c r="W53" s="740"/>
      <c r="X53" s="740"/>
      <c r="Y53" s="740"/>
      <c r="Z53" s="740"/>
      <c r="AA53" s="740"/>
      <c r="AB53" s="740"/>
      <c r="AC53" s="740"/>
    </row>
    <row r="54" spans="1:29" s="748" customFormat="1" ht="21.75" customHeight="1">
      <c r="A54" s="955">
        <v>7</v>
      </c>
      <c r="B54" s="964"/>
      <c r="C54" s="1570" t="str">
        <f>'Chấm công công nhân'!L56</f>
        <v>Thảo Âm Thong</v>
      </c>
      <c r="D54" s="956" t="s">
        <v>40</v>
      </c>
      <c r="E54" s="1656">
        <f>'Chấm công công nhân'!AV56</f>
        <v>27</v>
      </c>
      <c r="F54" s="724"/>
      <c r="G54" s="957"/>
      <c r="H54" s="957">
        <f t="shared" si="9"/>
        <v>27</v>
      </c>
      <c r="I54" s="958">
        <v>40</v>
      </c>
      <c r="J54" s="959" t="str">
        <f>Mủ!AK56</f>
        <v>C</v>
      </c>
      <c r="K54" s="960"/>
      <c r="L54" s="961">
        <f t="shared" si="2"/>
        <v>40</v>
      </c>
      <c r="M54" s="962" t="str">
        <f t="shared" si="16"/>
        <v>C</v>
      </c>
      <c r="N54" s="963"/>
      <c r="O54" s="632"/>
      <c r="P54" s="746">
        <f t="shared" si="5"/>
        <v>45</v>
      </c>
      <c r="Q54" s="747"/>
      <c r="R54" s="634"/>
      <c r="S54" s="740"/>
      <c r="T54" s="740"/>
      <c r="U54" s="745"/>
      <c r="V54" s="740"/>
      <c r="W54" s="740"/>
      <c r="X54" s="740"/>
      <c r="Y54" s="740"/>
      <c r="Z54" s="740"/>
      <c r="AA54" s="740"/>
      <c r="AB54" s="740"/>
      <c r="AC54" s="740"/>
    </row>
    <row r="55" spans="1:29" s="748" customFormat="1" ht="21.75" customHeight="1">
      <c r="A55" s="955">
        <v>8</v>
      </c>
      <c r="B55" s="964"/>
      <c r="C55" s="1570" t="str">
        <f>'Chấm công công nhân'!L57</f>
        <v>Nàng phon</v>
      </c>
      <c r="D55" s="956" t="s">
        <v>40</v>
      </c>
      <c r="E55" s="1656">
        <f>'Chấm công công nhân'!AV57</f>
        <v>28</v>
      </c>
      <c r="F55" s="724"/>
      <c r="G55" s="957"/>
      <c r="H55" s="957">
        <f t="shared" si="9"/>
        <v>28</v>
      </c>
      <c r="I55" s="958">
        <v>40</v>
      </c>
      <c r="J55" s="959" t="str">
        <f>Mủ!AK57</f>
        <v>B</v>
      </c>
      <c r="K55" s="960"/>
      <c r="L55" s="961">
        <f t="shared" si="2"/>
        <v>40</v>
      </c>
      <c r="M55" s="962" t="str">
        <f t="shared" si="16"/>
        <v>B</v>
      </c>
      <c r="N55" s="963"/>
      <c r="O55" s="632"/>
      <c r="P55" s="746">
        <f t="shared" si="5"/>
        <v>50</v>
      </c>
      <c r="Q55" s="747"/>
      <c r="R55" s="634"/>
      <c r="S55" s="740"/>
      <c r="T55" s="740"/>
      <c r="U55" s="745"/>
      <c r="V55" s="740"/>
      <c r="W55" s="740"/>
      <c r="X55" s="740"/>
      <c r="Y55" s="740"/>
      <c r="Z55" s="740"/>
      <c r="AA55" s="740"/>
      <c r="AB55" s="740"/>
      <c r="AC55" s="740"/>
    </row>
    <row r="56" spans="1:29" s="748" customFormat="1" ht="21.75" customHeight="1">
      <c r="A56" s="955">
        <v>9</v>
      </c>
      <c r="B56" s="964"/>
      <c r="C56" s="1570" t="str">
        <f>'Chấm công công nhân'!L58</f>
        <v>Thảo phắt</v>
      </c>
      <c r="D56" s="956" t="s">
        <v>40</v>
      </c>
      <c r="E56" s="1656">
        <f>'Chấm công công nhân'!AV58</f>
        <v>31</v>
      </c>
      <c r="F56" s="724"/>
      <c r="G56" s="957"/>
      <c r="H56" s="957">
        <f t="shared" si="9"/>
        <v>31</v>
      </c>
      <c r="I56" s="958">
        <v>40</v>
      </c>
      <c r="J56" s="959" t="str">
        <f>Mủ!AK58</f>
        <v>B</v>
      </c>
      <c r="K56" s="960"/>
      <c r="L56" s="961">
        <f t="shared" si="2"/>
        <v>40</v>
      </c>
      <c r="M56" s="962" t="str">
        <f t="shared" si="16"/>
        <v>B</v>
      </c>
      <c r="N56" s="963"/>
      <c r="O56" s="632"/>
      <c r="P56" s="746">
        <f t="shared" si="5"/>
        <v>50</v>
      </c>
      <c r="Q56" s="747"/>
      <c r="R56" s="634"/>
      <c r="S56" s="740"/>
      <c r="T56" s="740"/>
      <c r="U56" s="745"/>
      <c r="V56" s="740"/>
      <c r="W56" s="740"/>
      <c r="X56" s="740"/>
      <c r="Y56" s="740"/>
      <c r="Z56" s="740"/>
      <c r="AA56" s="740"/>
      <c r="AB56" s="740"/>
      <c r="AC56" s="740"/>
    </row>
    <row r="57" spans="1:29" s="748" customFormat="1" ht="21.75" customHeight="1">
      <c r="A57" s="955">
        <v>10</v>
      </c>
      <c r="B57" s="964"/>
      <c r="C57" s="1570" t="str">
        <f>'Chấm công công nhân'!L59</f>
        <v>Thảo Phon Say</v>
      </c>
      <c r="D57" s="956" t="s">
        <v>40</v>
      </c>
      <c r="E57" s="1656">
        <f>'Chấm công công nhân'!AV59</f>
        <v>31</v>
      </c>
      <c r="F57" s="724"/>
      <c r="G57" s="957"/>
      <c r="H57" s="957">
        <f t="shared" si="9"/>
        <v>31</v>
      </c>
      <c r="I57" s="958">
        <v>40</v>
      </c>
      <c r="J57" s="959" t="str">
        <f>Mủ!AK59</f>
        <v>B</v>
      </c>
      <c r="K57" s="960"/>
      <c r="L57" s="961">
        <f t="shared" si="2"/>
        <v>40</v>
      </c>
      <c r="M57" s="962" t="str">
        <f t="shared" si="16"/>
        <v>B</v>
      </c>
      <c r="N57" s="963"/>
      <c r="O57" s="632"/>
      <c r="P57" s="746">
        <f t="shared" si="5"/>
        <v>50</v>
      </c>
      <c r="Q57" s="747"/>
      <c r="R57" s="634"/>
      <c r="S57" s="740"/>
      <c r="T57" s="740"/>
      <c r="U57" s="745"/>
      <c r="V57" s="740"/>
      <c r="W57" s="740"/>
      <c r="X57" s="740"/>
      <c r="Y57" s="740"/>
      <c r="Z57" s="740"/>
      <c r="AA57" s="740"/>
      <c r="AB57" s="740"/>
      <c r="AC57" s="740"/>
    </row>
    <row r="58" spans="1:29" s="748" customFormat="1" ht="21.75" customHeight="1">
      <c r="A58" s="955">
        <v>11</v>
      </c>
      <c r="B58" s="964"/>
      <c r="C58" s="1570" t="str">
        <f>'Chấm công công nhân'!L60</f>
        <v>Nàng Pít</v>
      </c>
      <c r="D58" s="956" t="s">
        <v>40</v>
      </c>
      <c r="E58" s="1656">
        <f>'Chấm công công nhân'!AV60</f>
        <v>30</v>
      </c>
      <c r="F58" s="724"/>
      <c r="G58" s="957"/>
      <c r="H58" s="957">
        <f t="shared" si="9"/>
        <v>30</v>
      </c>
      <c r="I58" s="958">
        <v>40</v>
      </c>
      <c r="J58" s="959" t="str">
        <f>Mủ!AK60</f>
        <v>C</v>
      </c>
      <c r="K58" s="960"/>
      <c r="L58" s="961">
        <f t="shared" si="2"/>
        <v>40</v>
      </c>
      <c r="M58" s="962" t="str">
        <f t="shared" si="16"/>
        <v>C</v>
      </c>
      <c r="N58" s="963"/>
      <c r="O58" s="632"/>
      <c r="P58" s="746">
        <f t="shared" si="5"/>
        <v>45</v>
      </c>
      <c r="Q58" s="747"/>
      <c r="R58" s="634"/>
      <c r="S58" s="740"/>
      <c r="T58" s="740"/>
      <c r="U58" s="745"/>
      <c r="V58" s="740"/>
      <c r="W58" s="740"/>
      <c r="X58" s="740"/>
      <c r="Y58" s="740"/>
      <c r="Z58" s="740"/>
      <c r="AA58" s="740"/>
      <c r="AB58" s="740"/>
      <c r="AC58" s="740"/>
    </row>
    <row r="59" spans="1:29" s="748" customFormat="1" ht="21.75" customHeight="1">
      <c r="A59" s="955">
        <v>12</v>
      </c>
      <c r="B59" s="964"/>
      <c r="C59" s="1570" t="str">
        <f>'Chấm công công nhân'!L61</f>
        <v>Thảo út</v>
      </c>
      <c r="D59" s="956" t="s">
        <v>40</v>
      </c>
      <c r="E59" s="1656">
        <f>'Chấm công công nhân'!AV61</f>
        <v>31</v>
      </c>
      <c r="F59" s="724"/>
      <c r="G59" s="957"/>
      <c r="H59" s="957">
        <f t="shared" si="9"/>
        <v>31</v>
      </c>
      <c r="I59" s="958">
        <v>40</v>
      </c>
      <c r="J59" s="959" t="str">
        <f>Mủ!AK61</f>
        <v>A</v>
      </c>
      <c r="K59" s="960"/>
      <c r="L59" s="961">
        <f t="shared" si="2"/>
        <v>40</v>
      </c>
      <c r="M59" s="962" t="str">
        <f t="shared" si="16"/>
        <v>A</v>
      </c>
      <c r="N59" s="963"/>
      <c r="O59" s="632"/>
      <c r="P59" s="746">
        <f t="shared" si="5"/>
        <v>60</v>
      </c>
      <c r="Q59" s="747"/>
      <c r="R59" s="634"/>
      <c r="S59" s="740"/>
      <c r="T59" s="740"/>
      <c r="U59" s="745"/>
      <c r="V59" s="740"/>
      <c r="W59" s="740"/>
      <c r="X59" s="740"/>
      <c r="Y59" s="740"/>
      <c r="Z59" s="740"/>
      <c r="AA59" s="740"/>
      <c r="AB59" s="740"/>
      <c r="AC59" s="740"/>
    </row>
    <row r="60" spans="1:29" s="748" customFormat="1" ht="21.75" customHeight="1">
      <c r="A60" s="955">
        <v>13</v>
      </c>
      <c r="B60" s="964"/>
      <c r="C60" s="1570" t="str">
        <f>'Chấm công công nhân'!L62</f>
        <v>Nàng ăm</v>
      </c>
      <c r="D60" s="956" t="s">
        <v>40</v>
      </c>
      <c r="E60" s="1656">
        <f>'Chấm công công nhân'!AV62</f>
        <v>27</v>
      </c>
      <c r="F60" s="724"/>
      <c r="G60" s="957"/>
      <c r="H60" s="957">
        <f t="shared" si="9"/>
        <v>27</v>
      </c>
      <c r="I60" s="958">
        <v>40</v>
      </c>
      <c r="J60" s="959" t="str">
        <f>Mủ!AK62</f>
        <v>B</v>
      </c>
      <c r="K60" s="960"/>
      <c r="L60" s="961">
        <f t="shared" si="2"/>
        <v>40</v>
      </c>
      <c r="M60" s="962" t="str">
        <f t="shared" si="16"/>
        <v>B</v>
      </c>
      <c r="N60" s="963"/>
      <c r="O60" s="632"/>
      <c r="P60" s="746">
        <f t="shared" si="5"/>
        <v>50</v>
      </c>
      <c r="Q60" s="747"/>
      <c r="R60" s="634"/>
      <c r="S60" s="740"/>
      <c r="T60" s="740"/>
      <c r="U60" s="745"/>
      <c r="V60" s="740"/>
      <c r="W60" s="740"/>
      <c r="X60" s="740"/>
      <c r="Y60" s="740"/>
      <c r="Z60" s="740"/>
      <c r="AA60" s="740"/>
      <c r="AB60" s="740"/>
      <c r="AC60" s="740"/>
    </row>
    <row r="61" spans="1:29" s="748" customFormat="1" ht="21.75" customHeight="1">
      <c r="A61" s="955">
        <v>14</v>
      </c>
      <c r="B61" s="964"/>
      <c r="C61" s="1570" t="str">
        <f>'Chấm công công nhân'!L63</f>
        <v>Nàng Phìn</v>
      </c>
      <c r="D61" s="956" t="s">
        <v>40</v>
      </c>
      <c r="E61" s="1656">
        <f>'Chấm công công nhân'!AV63</f>
        <v>31</v>
      </c>
      <c r="F61" s="724"/>
      <c r="G61" s="957"/>
      <c r="H61" s="957">
        <f t="shared" si="9"/>
        <v>31</v>
      </c>
      <c r="I61" s="958">
        <v>40</v>
      </c>
      <c r="J61" s="959" t="str">
        <f>Mủ!AK63</f>
        <v>A</v>
      </c>
      <c r="K61" s="960"/>
      <c r="L61" s="961">
        <f t="shared" si="2"/>
        <v>40</v>
      </c>
      <c r="M61" s="962" t="str">
        <f t="shared" si="16"/>
        <v>A</v>
      </c>
      <c r="N61" s="963"/>
      <c r="O61" s="632"/>
      <c r="P61" s="746">
        <f t="shared" si="5"/>
        <v>60</v>
      </c>
      <c r="Q61" s="747"/>
      <c r="R61" s="634"/>
      <c r="S61" s="740"/>
      <c r="T61" s="740"/>
      <c r="U61" s="745"/>
      <c r="V61" s="740"/>
      <c r="W61" s="740"/>
      <c r="X61" s="740"/>
      <c r="Y61" s="740"/>
      <c r="Z61" s="740"/>
      <c r="AA61" s="740"/>
      <c r="AB61" s="740"/>
      <c r="AC61" s="740"/>
    </row>
    <row r="62" spans="1:29" s="748" customFormat="1" ht="21.75" customHeight="1">
      <c r="A62" s="955">
        <v>15</v>
      </c>
      <c r="B62" s="964"/>
      <c r="C62" s="1570" t="str">
        <f>'Chấm công công nhân'!L64</f>
        <v>May</v>
      </c>
      <c r="D62" s="956" t="s">
        <v>40</v>
      </c>
      <c r="E62" s="1656">
        <f>'Chấm công công nhân'!AV64</f>
        <v>28</v>
      </c>
      <c r="F62" s="724"/>
      <c r="G62" s="957"/>
      <c r="H62" s="957">
        <f t="shared" si="9"/>
        <v>28</v>
      </c>
      <c r="I62" s="958">
        <v>40</v>
      </c>
      <c r="J62" s="959" t="str">
        <f>Mủ!AK64</f>
        <v>A</v>
      </c>
      <c r="K62" s="960"/>
      <c r="L62" s="961">
        <f t="shared" si="2"/>
        <v>40</v>
      </c>
      <c r="M62" s="962" t="str">
        <f t="shared" si="16"/>
        <v>A</v>
      </c>
      <c r="N62" s="963"/>
      <c r="O62" s="632"/>
      <c r="P62" s="746">
        <f t="shared" si="5"/>
        <v>60</v>
      </c>
      <c r="Q62" s="747"/>
      <c r="R62" s="634"/>
      <c r="S62" s="740"/>
      <c r="T62" s="740"/>
      <c r="U62" s="745"/>
      <c r="V62" s="740"/>
      <c r="W62" s="740"/>
      <c r="X62" s="740"/>
      <c r="Y62" s="740"/>
      <c r="Z62" s="740"/>
      <c r="AA62" s="740"/>
      <c r="AB62" s="740"/>
      <c r="AC62" s="740"/>
    </row>
    <row r="63" spans="1:29" s="748" customFormat="1" ht="21.75" customHeight="1">
      <c r="A63" s="4233" t="s">
        <v>790</v>
      </c>
      <c r="B63" s="4233"/>
      <c r="C63" s="4233"/>
      <c r="D63" s="2169"/>
      <c r="E63" s="2169"/>
      <c r="F63" s="2169"/>
      <c r="G63" s="2169"/>
      <c r="H63" s="2169"/>
      <c r="I63" s="2169"/>
      <c r="J63" s="2169"/>
      <c r="K63" s="2169"/>
      <c r="L63" s="2169"/>
      <c r="M63" s="962"/>
      <c r="N63" s="2169"/>
      <c r="O63" s="632"/>
      <c r="P63" s="746"/>
      <c r="Q63" s="747"/>
      <c r="R63" s="634"/>
      <c r="S63" s="740"/>
      <c r="T63" s="740"/>
      <c r="U63" s="745"/>
      <c r="V63" s="740"/>
      <c r="W63" s="740"/>
      <c r="X63" s="740"/>
      <c r="Y63" s="740"/>
      <c r="Z63" s="740"/>
      <c r="AA63" s="740"/>
      <c r="AB63" s="740"/>
      <c r="AC63" s="740"/>
    </row>
    <row r="64" spans="1:29" s="748" customFormat="1" ht="21.75" customHeight="1">
      <c r="A64" s="955">
        <v>1</v>
      </c>
      <c r="B64" s="964"/>
      <c r="C64" s="2062" t="str">
        <f>'Chấm công công nhân'!L66</f>
        <v>Phò Đăm</v>
      </c>
      <c r="D64" s="956" t="s">
        <v>40</v>
      </c>
      <c r="E64" s="956">
        <f>'Chấm công công nhân'!AV66</f>
        <v>20</v>
      </c>
      <c r="F64" s="724"/>
      <c r="G64" s="957"/>
      <c r="H64" s="957">
        <f t="shared" si="9"/>
        <v>20</v>
      </c>
      <c r="I64" s="958">
        <v>40</v>
      </c>
      <c r="J64" s="959" t="str">
        <f>Mủ!AK66</f>
        <v>A</v>
      </c>
      <c r="K64" s="960"/>
      <c r="L64" s="961">
        <f t="shared" si="2"/>
        <v>40</v>
      </c>
      <c r="M64" s="962" t="str">
        <f>J64</f>
        <v>A</v>
      </c>
      <c r="N64" s="963"/>
      <c r="O64" s="632"/>
      <c r="P64" s="746"/>
      <c r="Q64" s="747"/>
      <c r="R64" s="634"/>
      <c r="S64" s="740"/>
      <c r="T64" s="740"/>
      <c r="U64" s="745"/>
      <c r="V64" s="740"/>
      <c r="W64" s="740"/>
      <c r="X64" s="740"/>
      <c r="Y64" s="740"/>
      <c r="Z64" s="740"/>
      <c r="AA64" s="740"/>
      <c r="AB64" s="740"/>
      <c r="AC64" s="740"/>
    </row>
    <row r="65" spans="1:29" s="748" customFormat="1" ht="21.75" customHeight="1">
      <c r="A65" s="955">
        <v>2</v>
      </c>
      <c r="B65" s="964"/>
      <c r="C65" s="2062" t="str">
        <f>'Chấm công công nhân'!L67</f>
        <v>Thảo Mai</v>
      </c>
      <c r="D65" s="956" t="s">
        <v>40</v>
      </c>
      <c r="E65" s="956">
        <f>'Chấm công công nhân'!AV67</f>
        <v>7</v>
      </c>
      <c r="F65" s="724"/>
      <c r="G65" s="957"/>
      <c r="H65" s="957">
        <f t="shared" si="9"/>
        <v>7</v>
      </c>
      <c r="I65" s="958">
        <v>40</v>
      </c>
      <c r="J65" s="959" t="str">
        <f>Mủ!AK67</f>
        <v>B</v>
      </c>
      <c r="K65" s="960"/>
      <c r="L65" s="961">
        <f t="shared" si="2"/>
        <v>40</v>
      </c>
      <c r="M65" s="962" t="str">
        <f t="shared" ref="M65:M79" si="17">J65</f>
        <v>B</v>
      </c>
      <c r="N65" s="963"/>
      <c r="O65" s="632"/>
      <c r="P65" s="746"/>
      <c r="Q65" s="747"/>
      <c r="R65" s="634"/>
      <c r="S65" s="740"/>
      <c r="T65" s="740"/>
      <c r="U65" s="745"/>
      <c r="V65" s="740"/>
      <c r="W65" s="740"/>
      <c r="X65" s="740"/>
      <c r="Y65" s="740"/>
      <c r="Z65" s="740"/>
      <c r="AA65" s="740"/>
      <c r="AB65" s="740"/>
      <c r="AC65" s="740"/>
    </row>
    <row r="66" spans="1:29" s="748" customFormat="1" ht="21.75" customHeight="1">
      <c r="A66" s="955">
        <v>3</v>
      </c>
      <c r="B66" s="964"/>
      <c r="C66" s="2062" t="str">
        <f>'Chấm công công nhân'!L68</f>
        <v>Thảo Tưng</v>
      </c>
      <c r="D66" s="956" t="s">
        <v>40</v>
      </c>
      <c r="E66" s="956">
        <f>'Chấm công công nhân'!AV68</f>
        <v>21</v>
      </c>
      <c r="F66" s="724"/>
      <c r="G66" s="957"/>
      <c r="H66" s="957">
        <f t="shared" si="9"/>
        <v>21</v>
      </c>
      <c r="I66" s="958">
        <v>40</v>
      </c>
      <c r="J66" s="959" t="str">
        <f>Mủ!AK68</f>
        <v>B</v>
      </c>
      <c r="K66" s="960"/>
      <c r="L66" s="961">
        <f t="shared" si="2"/>
        <v>40</v>
      </c>
      <c r="M66" s="962" t="str">
        <f t="shared" si="17"/>
        <v>B</v>
      </c>
      <c r="N66" s="963"/>
      <c r="O66" s="632"/>
      <c r="P66" s="746"/>
      <c r="Q66" s="747"/>
      <c r="R66" s="634"/>
      <c r="S66" s="740"/>
      <c r="T66" s="740"/>
      <c r="U66" s="745"/>
      <c r="V66" s="740"/>
      <c r="W66" s="740"/>
      <c r="X66" s="740"/>
      <c r="Y66" s="740"/>
      <c r="Z66" s="740"/>
      <c r="AA66" s="740"/>
      <c r="AB66" s="740"/>
      <c r="AC66" s="740"/>
    </row>
    <row r="67" spans="1:29" s="748" customFormat="1" ht="21.75" customHeight="1">
      <c r="A67" s="955">
        <v>4</v>
      </c>
      <c r="B67" s="964"/>
      <c r="C67" s="2062" t="str">
        <f>'Chấm công công nhân'!L69</f>
        <v>Thảo Xay</v>
      </c>
      <c r="D67" s="956" t="s">
        <v>40</v>
      </c>
      <c r="E67" s="956">
        <f>'Chấm công công nhân'!AV69</f>
        <v>25</v>
      </c>
      <c r="F67" s="724"/>
      <c r="G67" s="957"/>
      <c r="H67" s="957">
        <f t="shared" si="9"/>
        <v>25</v>
      </c>
      <c r="I67" s="958">
        <v>40</v>
      </c>
      <c r="J67" s="959" t="str">
        <f>Mủ!AK69</f>
        <v>A</v>
      </c>
      <c r="K67" s="960"/>
      <c r="L67" s="961">
        <f t="shared" si="2"/>
        <v>40</v>
      </c>
      <c r="M67" s="962" t="str">
        <f t="shared" si="17"/>
        <v>A</v>
      </c>
      <c r="N67" s="963"/>
      <c r="O67" s="632"/>
      <c r="P67" s="746"/>
      <c r="Q67" s="747"/>
      <c r="R67" s="634"/>
      <c r="S67" s="740"/>
      <c r="T67" s="740"/>
      <c r="U67" s="745"/>
      <c r="V67" s="740"/>
      <c r="W67" s="740"/>
      <c r="X67" s="740"/>
      <c r="Y67" s="740"/>
      <c r="Z67" s="740"/>
      <c r="AA67" s="740"/>
      <c r="AB67" s="740"/>
      <c r="AC67" s="740"/>
    </row>
    <row r="68" spans="1:29" s="748" customFormat="1" ht="21.75" customHeight="1">
      <c r="A68" s="955">
        <v>5</v>
      </c>
      <c r="B68" s="964"/>
      <c r="C68" s="2062" t="str">
        <f>'Chấm công công nhân'!L70</f>
        <v>Nàng Nọi</v>
      </c>
      <c r="D68" s="956" t="s">
        <v>40</v>
      </c>
      <c r="E68" s="956">
        <f>'Chấm công công nhân'!AV70</f>
        <v>21</v>
      </c>
      <c r="F68" s="724"/>
      <c r="G68" s="957"/>
      <c r="H68" s="957">
        <f t="shared" si="9"/>
        <v>21</v>
      </c>
      <c r="I68" s="958">
        <v>40</v>
      </c>
      <c r="J68" s="959" t="str">
        <f>Mủ!AK70</f>
        <v>B</v>
      </c>
      <c r="K68" s="960"/>
      <c r="L68" s="961">
        <f t="shared" si="2"/>
        <v>40</v>
      </c>
      <c r="M68" s="962" t="str">
        <f t="shared" si="17"/>
        <v>B</v>
      </c>
      <c r="N68" s="963"/>
      <c r="O68" s="632"/>
      <c r="P68" s="746"/>
      <c r="Q68" s="747"/>
      <c r="R68" s="634"/>
      <c r="S68" s="740"/>
      <c r="T68" s="740"/>
      <c r="U68" s="745"/>
      <c r="V68" s="740"/>
      <c r="W68" s="740"/>
      <c r="X68" s="740"/>
      <c r="Y68" s="740"/>
      <c r="Z68" s="740"/>
      <c r="AA68" s="740"/>
      <c r="AB68" s="740"/>
      <c r="AC68" s="740"/>
    </row>
    <row r="69" spans="1:29" s="748" customFormat="1" ht="21.75" customHeight="1">
      <c r="A69" s="955">
        <v>6</v>
      </c>
      <c r="B69" s="964"/>
      <c r="C69" s="2062" t="str">
        <f>'Chấm công công nhân'!L71</f>
        <v>Thảo Đăm</v>
      </c>
      <c r="D69" s="956" t="s">
        <v>40</v>
      </c>
      <c r="E69" s="956">
        <f>'Chấm công công nhân'!AV71</f>
        <v>22</v>
      </c>
      <c r="F69" s="724"/>
      <c r="G69" s="957"/>
      <c r="H69" s="957">
        <f t="shared" si="9"/>
        <v>22</v>
      </c>
      <c r="I69" s="958">
        <v>40</v>
      </c>
      <c r="J69" s="959" t="str">
        <f>Mủ!AK71</f>
        <v>A</v>
      </c>
      <c r="K69" s="960"/>
      <c r="L69" s="961">
        <f t="shared" si="2"/>
        <v>40</v>
      </c>
      <c r="M69" s="962" t="str">
        <f t="shared" si="17"/>
        <v>A</v>
      </c>
      <c r="N69" s="963"/>
      <c r="O69" s="632"/>
      <c r="P69" s="746"/>
      <c r="Q69" s="747"/>
      <c r="R69" s="634"/>
      <c r="S69" s="740"/>
      <c r="T69" s="740"/>
      <c r="U69" s="745"/>
      <c r="V69" s="740"/>
      <c r="W69" s="740"/>
      <c r="X69" s="740"/>
      <c r="Y69" s="740"/>
      <c r="Z69" s="740"/>
      <c r="AA69" s="740"/>
      <c r="AB69" s="740"/>
      <c r="AC69" s="740"/>
    </row>
    <row r="70" spans="1:29" s="748" customFormat="1" ht="21.75" customHeight="1">
      <c r="A70" s="2478">
        <v>7</v>
      </c>
      <c r="B70" s="964"/>
      <c r="C70" s="2062" t="str">
        <f>'Chấm công công nhân'!L72</f>
        <v>Thảo chăn</v>
      </c>
      <c r="D70" s="956" t="s">
        <v>40</v>
      </c>
      <c r="E70" s="956">
        <f>'Chấm công công nhân'!AV72</f>
        <v>26</v>
      </c>
      <c r="F70" s="724"/>
      <c r="G70" s="957"/>
      <c r="H70" s="957">
        <f t="shared" si="9"/>
        <v>26</v>
      </c>
      <c r="I70" s="958">
        <v>40</v>
      </c>
      <c r="J70" s="959" t="str">
        <f>Mủ!AK72</f>
        <v>A</v>
      </c>
      <c r="K70" s="960"/>
      <c r="L70" s="961">
        <f t="shared" si="2"/>
        <v>40</v>
      </c>
      <c r="M70" s="962" t="str">
        <f t="shared" si="17"/>
        <v>A</v>
      </c>
      <c r="N70" s="963"/>
      <c r="O70" s="2502"/>
      <c r="P70" s="746"/>
      <c r="Q70" s="747"/>
      <c r="R70" s="634"/>
      <c r="S70" s="740"/>
      <c r="T70" s="740"/>
      <c r="U70" s="745"/>
      <c r="V70" s="740"/>
      <c r="W70" s="740"/>
      <c r="X70" s="740"/>
      <c r="Y70" s="740"/>
      <c r="Z70" s="740"/>
      <c r="AA70" s="740"/>
      <c r="AB70" s="740"/>
      <c r="AC70" s="740"/>
    </row>
    <row r="71" spans="1:29" s="1659" customFormat="1" ht="21.75" customHeight="1">
      <c r="A71" s="2478">
        <v>8</v>
      </c>
      <c r="B71" s="964"/>
      <c r="C71" s="2062" t="str">
        <f>'Chấm công công nhân'!L73</f>
        <v>Hồ Văn Tăng</v>
      </c>
      <c r="D71" s="956" t="s">
        <v>40</v>
      </c>
      <c r="E71" s="956">
        <f>'Chấm công công nhân'!AV73</f>
        <v>21</v>
      </c>
      <c r="F71" s="724"/>
      <c r="G71" s="957"/>
      <c r="H71" s="957">
        <f t="shared" si="9"/>
        <v>21</v>
      </c>
      <c r="I71" s="958">
        <v>40</v>
      </c>
      <c r="J71" s="959" t="str">
        <f>Mủ!AK73</f>
        <v>B</v>
      </c>
      <c r="K71" s="960"/>
      <c r="L71" s="961">
        <f t="shared" si="2"/>
        <v>40</v>
      </c>
      <c r="M71" s="962" t="str">
        <f t="shared" si="17"/>
        <v>B</v>
      </c>
      <c r="N71" s="963"/>
      <c r="O71" s="2500"/>
      <c r="P71" s="2501"/>
      <c r="Q71" s="747"/>
      <c r="R71" s="1657"/>
      <c r="S71" s="740"/>
      <c r="T71" s="740"/>
      <c r="U71" s="1658"/>
      <c r="V71" s="740"/>
      <c r="W71" s="740"/>
      <c r="X71" s="740"/>
      <c r="Y71" s="740"/>
      <c r="Z71" s="740"/>
      <c r="AA71" s="740"/>
      <c r="AB71" s="740"/>
      <c r="AC71" s="740"/>
    </row>
    <row r="72" spans="1:29" s="1659" customFormat="1" ht="21.75" customHeight="1">
      <c r="A72" s="2478">
        <v>9</v>
      </c>
      <c r="B72" s="964"/>
      <c r="C72" s="2062" t="str">
        <f>'Chấm công công nhân'!L74</f>
        <v>Hồ Văn Khoa</v>
      </c>
      <c r="D72" s="956" t="s">
        <v>40</v>
      </c>
      <c r="E72" s="956">
        <f>'Chấm công công nhân'!AV74</f>
        <v>20</v>
      </c>
      <c r="F72" s="724"/>
      <c r="G72" s="957"/>
      <c r="H72" s="957">
        <f t="shared" si="9"/>
        <v>20</v>
      </c>
      <c r="I72" s="958">
        <v>40</v>
      </c>
      <c r="J72" s="959" t="str">
        <f>Mủ!AK74</f>
        <v>A</v>
      </c>
      <c r="K72" s="960"/>
      <c r="L72" s="961">
        <f t="shared" si="2"/>
        <v>40</v>
      </c>
      <c r="M72" s="962" t="str">
        <f t="shared" si="17"/>
        <v>A</v>
      </c>
      <c r="N72" s="963"/>
      <c r="O72" s="2500"/>
      <c r="P72" s="2501"/>
      <c r="Q72" s="747"/>
      <c r="R72" s="1657"/>
      <c r="S72" s="740"/>
      <c r="T72" s="740"/>
      <c r="U72" s="1658"/>
      <c r="V72" s="740"/>
      <c r="W72" s="740"/>
      <c r="X72" s="740"/>
      <c r="Y72" s="740"/>
      <c r="Z72" s="740"/>
      <c r="AA72" s="740"/>
      <c r="AB72" s="740"/>
      <c r="AC72" s="740"/>
    </row>
    <row r="73" spans="1:29" s="1659" customFormat="1" ht="21.75" customHeight="1">
      <c r="A73" s="2478">
        <v>10</v>
      </c>
      <c r="B73" s="964"/>
      <c r="C73" s="2062" t="str">
        <f>'Chấm công công nhân'!L75</f>
        <v>Hồ Xa My</v>
      </c>
      <c r="D73" s="956" t="s">
        <v>40</v>
      </c>
      <c r="E73" s="956">
        <f>'Chấm công công nhân'!AV75</f>
        <v>21</v>
      </c>
      <c r="F73" s="724"/>
      <c r="G73" s="957"/>
      <c r="H73" s="957">
        <f t="shared" si="9"/>
        <v>21</v>
      </c>
      <c r="I73" s="958">
        <v>40</v>
      </c>
      <c r="J73" s="959" t="str">
        <f>Mủ!AK75</f>
        <v>A</v>
      </c>
      <c r="K73" s="960"/>
      <c r="L73" s="961">
        <f t="shared" si="2"/>
        <v>40</v>
      </c>
      <c r="M73" s="962" t="str">
        <f t="shared" si="17"/>
        <v>A</v>
      </c>
      <c r="N73" s="963"/>
      <c r="O73" s="2500"/>
      <c r="P73" s="2501"/>
      <c r="Q73" s="747"/>
      <c r="R73" s="1657"/>
      <c r="S73" s="740"/>
      <c r="T73" s="740"/>
      <c r="U73" s="1658"/>
      <c r="V73" s="740"/>
      <c r="W73" s="740"/>
      <c r="X73" s="740"/>
      <c r="Y73" s="740"/>
      <c r="Z73" s="740"/>
      <c r="AA73" s="740"/>
      <c r="AB73" s="740"/>
      <c r="AC73" s="740"/>
    </row>
    <row r="74" spans="1:29" s="1659" customFormat="1" ht="21.75" customHeight="1">
      <c r="A74" s="2478">
        <v>11</v>
      </c>
      <c r="B74" s="964"/>
      <c r="C74" s="2062" t="str">
        <f>'Chấm công công nhân'!L76</f>
        <v>Thảo lay</v>
      </c>
      <c r="D74" s="956" t="s">
        <v>40</v>
      </c>
      <c r="E74" s="956">
        <f>'Chấm công công nhân'!AV76</f>
        <v>16</v>
      </c>
      <c r="F74" s="724"/>
      <c r="G74" s="957"/>
      <c r="H74" s="957">
        <f t="shared" si="9"/>
        <v>16</v>
      </c>
      <c r="I74" s="958">
        <v>40</v>
      </c>
      <c r="J74" s="959" t="str">
        <f>Mủ!AK76</f>
        <v>B</v>
      </c>
      <c r="K74" s="960"/>
      <c r="L74" s="961">
        <f t="shared" si="2"/>
        <v>40</v>
      </c>
      <c r="M74" s="962" t="str">
        <f t="shared" si="17"/>
        <v>B</v>
      </c>
      <c r="N74" s="963"/>
      <c r="O74" s="2500"/>
      <c r="P74" s="2501"/>
      <c r="Q74" s="747"/>
      <c r="R74" s="1657"/>
      <c r="S74" s="740"/>
      <c r="T74" s="740"/>
      <c r="U74" s="1658"/>
      <c r="V74" s="740"/>
      <c r="W74" s="740"/>
      <c r="X74" s="740"/>
      <c r="Y74" s="740"/>
      <c r="Z74" s="740"/>
      <c r="AA74" s="740"/>
      <c r="AB74" s="740"/>
      <c r="AC74" s="740"/>
    </row>
    <row r="75" spans="1:29" s="1659" customFormat="1" ht="21.75" customHeight="1">
      <c r="A75" s="2478">
        <v>12</v>
      </c>
      <c r="B75" s="964"/>
      <c r="C75" s="2062" t="str">
        <f>'Chấm công công nhân'!L77</f>
        <v>Thảo khên</v>
      </c>
      <c r="D75" s="956" t="s">
        <v>40</v>
      </c>
      <c r="E75" s="956">
        <f>'Chấm công công nhân'!AV77</f>
        <v>27</v>
      </c>
      <c r="F75" s="724"/>
      <c r="G75" s="957"/>
      <c r="H75" s="957">
        <f t="shared" si="9"/>
        <v>27</v>
      </c>
      <c r="I75" s="958">
        <v>40</v>
      </c>
      <c r="J75" s="959" t="str">
        <f>Mủ!AK77</f>
        <v>A</v>
      </c>
      <c r="K75" s="960"/>
      <c r="L75" s="961">
        <f>I75+K75</f>
        <v>40</v>
      </c>
      <c r="M75" s="962" t="str">
        <f t="shared" si="17"/>
        <v>A</v>
      </c>
      <c r="N75" s="963"/>
      <c r="O75" s="2500"/>
      <c r="P75" s="2501"/>
      <c r="Q75" s="747"/>
      <c r="R75" s="1657"/>
      <c r="S75" s="740"/>
      <c r="T75" s="740"/>
      <c r="U75" s="1658"/>
      <c r="V75" s="740"/>
      <c r="W75" s="740"/>
      <c r="X75" s="740"/>
      <c r="Y75" s="740"/>
      <c r="Z75" s="740"/>
      <c r="AA75" s="740"/>
      <c r="AB75" s="740"/>
      <c r="AC75" s="740"/>
    </row>
    <row r="76" spans="1:29" s="1659" customFormat="1" ht="21.75" customHeight="1">
      <c r="A76" s="2478">
        <v>13</v>
      </c>
      <c r="B76" s="964"/>
      <c r="C76" s="2062" t="str">
        <f>'Chấm công công nhân'!L78</f>
        <v>Thảo khon</v>
      </c>
      <c r="D76" s="956" t="s">
        <v>40</v>
      </c>
      <c r="E76" s="956">
        <f>'Chấm công công nhân'!AV78</f>
        <v>25</v>
      </c>
      <c r="F76" s="724"/>
      <c r="G76" s="957"/>
      <c r="H76" s="957">
        <f t="shared" si="9"/>
        <v>25</v>
      </c>
      <c r="I76" s="958">
        <v>40</v>
      </c>
      <c r="J76" s="959" t="str">
        <f>Mủ!AK78</f>
        <v>B</v>
      </c>
      <c r="K76" s="960"/>
      <c r="L76" s="961">
        <f t="shared" ref="L76:L79" si="18">I76+K76</f>
        <v>40</v>
      </c>
      <c r="M76" s="962" t="str">
        <f t="shared" si="17"/>
        <v>B</v>
      </c>
      <c r="N76" s="963"/>
      <c r="O76" s="2500"/>
      <c r="P76" s="2501"/>
      <c r="Q76" s="747"/>
      <c r="R76" s="1657"/>
      <c r="S76" s="740"/>
      <c r="T76" s="740"/>
      <c r="U76" s="1658"/>
      <c r="V76" s="740"/>
      <c r="W76" s="740"/>
      <c r="X76" s="740"/>
      <c r="Y76" s="740"/>
      <c r="Z76" s="740"/>
      <c r="AA76" s="740"/>
      <c r="AB76" s="740"/>
      <c r="AC76" s="740"/>
    </row>
    <row r="77" spans="1:29" s="1659" customFormat="1" ht="21.75" customHeight="1">
      <c r="A77" s="2478">
        <v>14</v>
      </c>
      <c r="B77" s="964"/>
      <c r="C77" s="2062" t="str">
        <f>'Chấm công công nhân'!L79</f>
        <v>Thảo nga</v>
      </c>
      <c r="D77" s="956" t="s">
        <v>40</v>
      </c>
      <c r="E77" s="956">
        <f>'Chấm công công nhân'!AV79</f>
        <v>25</v>
      </c>
      <c r="F77" s="724"/>
      <c r="G77" s="957"/>
      <c r="H77" s="957">
        <f t="shared" si="9"/>
        <v>25</v>
      </c>
      <c r="I77" s="958">
        <v>40</v>
      </c>
      <c r="J77" s="959" t="str">
        <f>Mủ!AK79</f>
        <v>A</v>
      </c>
      <c r="K77" s="960"/>
      <c r="L77" s="961">
        <f t="shared" si="18"/>
        <v>40</v>
      </c>
      <c r="M77" s="962" t="str">
        <f t="shared" si="17"/>
        <v>A</v>
      </c>
      <c r="N77" s="963"/>
      <c r="O77" s="2500"/>
      <c r="P77" s="2501"/>
      <c r="Q77" s="747"/>
      <c r="R77" s="1657"/>
      <c r="S77" s="740"/>
      <c r="T77" s="740"/>
      <c r="U77" s="1658"/>
      <c r="V77" s="740"/>
      <c r="W77" s="740"/>
      <c r="X77" s="740"/>
      <c r="Y77" s="740"/>
      <c r="Z77" s="740"/>
      <c r="AA77" s="740"/>
      <c r="AB77" s="740"/>
      <c r="AC77" s="740"/>
    </row>
    <row r="78" spans="1:29" s="1659" customFormat="1" ht="21.75" customHeight="1">
      <c r="A78" s="2478">
        <v>15</v>
      </c>
      <c r="B78" s="964"/>
      <c r="C78" s="2062" t="str">
        <f>'Chấm công công nhân'!L80</f>
        <v>Thảo lăm ma</v>
      </c>
      <c r="D78" s="956" t="s">
        <v>40</v>
      </c>
      <c r="E78" s="956">
        <f>'Chấm công công nhân'!AV80</f>
        <v>28</v>
      </c>
      <c r="F78" s="724"/>
      <c r="G78" s="957"/>
      <c r="H78" s="957">
        <f t="shared" si="9"/>
        <v>28</v>
      </c>
      <c r="I78" s="958">
        <v>40</v>
      </c>
      <c r="J78" s="959" t="str">
        <f>Mủ!AK80</f>
        <v>A</v>
      </c>
      <c r="K78" s="960"/>
      <c r="L78" s="961">
        <f t="shared" si="18"/>
        <v>40</v>
      </c>
      <c r="M78" s="962" t="str">
        <f t="shared" si="17"/>
        <v>A</v>
      </c>
      <c r="N78" s="963"/>
      <c r="O78" s="2500"/>
      <c r="P78" s="2501"/>
      <c r="Q78" s="747"/>
      <c r="R78" s="1657"/>
      <c r="S78" s="740"/>
      <c r="T78" s="740"/>
      <c r="U78" s="1658"/>
      <c r="V78" s="740"/>
      <c r="W78" s="740"/>
      <c r="X78" s="740"/>
      <c r="Y78" s="740"/>
      <c r="Z78" s="740"/>
      <c r="AA78" s="740"/>
      <c r="AB78" s="740"/>
      <c r="AC78" s="740"/>
    </row>
    <row r="79" spans="1:29" s="1659" customFormat="1" ht="21.75" customHeight="1">
      <c r="A79" s="2478">
        <v>16</v>
      </c>
      <c r="B79" s="964"/>
      <c r="C79" s="2062" t="str">
        <f>'Chấm công công nhân'!L81</f>
        <v>Thảo Hôm</v>
      </c>
      <c r="D79" s="956" t="s">
        <v>40</v>
      </c>
      <c r="E79" s="956">
        <f>'Chấm công công nhân'!AV81</f>
        <v>21</v>
      </c>
      <c r="F79" s="724"/>
      <c r="G79" s="957"/>
      <c r="H79" s="957">
        <f t="shared" si="9"/>
        <v>21</v>
      </c>
      <c r="I79" s="958">
        <v>40</v>
      </c>
      <c r="J79" s="959" t="str">
        <f>Mủ!AK81</f>
        <v>B</v>
      </c>
      <c r="K79" s="960"/>
      <c r="L79" s="961">
        <f t="shared" si="18"/>
        <v>40</v>
      </c>
      <c r="M79" s="962" t="str">
        <f t="shared" si="17"/>
        <v>B</v>
      </c>
      <c r="N79" s="963"/>
      <c r="O79" s="2500"/>
      <c r="P79" s="2501"/>
      <c r="Q79" s="747"/>
      <c r="R79" s="1657"/>
      <c r="S79" s="740"/>
      <c r="T79" s="740"/>
      <c r="U79" s="1658"/>
      <c r="V79" s="740"/>
      <c r="W79" s="740"/>
      <c r="X79" s="740"/>
      <c r="Y79" s="740"/>
      <c r="Z79" s="740"/>
      <c r="AA79" s="740"/>
      <c r="AB79" s="740"/>
      <c r="AC79" s="740"/>
    </row>
    <row r="80" spans="1:29" s="1659" customFormat="1" ht="18" customHeight="1">
      <c r="A80" s="740"/>
      <c r="B80" s="740"/>
      <c r="C80" s="740"/>
      <c r="D80" s="740"/>
      <c r="E80" s="740"/>
      <c r="F80" s="740"/>
      <c r="G80" s="740"/>
      <c r="H80" s="740"/>
      <c r="I80" s="740"/>
      <c r="J80" s="740"/>
      <c r="K80" s="740"/>
      <c r="L80" s="1936" t="s">
        <v>1819</v>
      </c>
      <c r="M80" s="1936"/>
      <c r="N80" s="1936"/>
      <c r="O80" s="1936"/>
      <c r="P80" s="1936"/>
      <c r="Q80" s="747"/>
      <c r="R80" s="1657"/>
      <c r="S80" s="740"/>
      <c r="T80" s="740"/>
      <c r="U80" s="1658"/>
      <c r="V80" s="740"/>
      <c r="W80" s="740"/>
      <c r="X80" s="740"/>
      <c r="Y80" s="740"/>
      <c r="Z80" s="740"/>
      <c r="AA80" s="740"/>
      <c r="AB80" s="740"/>
      <c r="AC80" s="740"/>
    </row>
    <row r="81" spans="1:19" ht="21" customHeight="1">
      <c r="A81" s="1660"/>
      <c r="B81" s="752"/>
      <c r="C81" s="4231" t="s">
        <v>310</v>
      </c>
      <c r="D81" s="4231"/>
      <c r="E81" s="1671"/>
      <c r="F81" s="4227" t="s">
        <v>1120</v>
      </c>
      <c r="G81" s="4227"/>
      <c r="H81" s="4227"/>
      <c r="I81" s="4227"/>
      <c r="J81" s="1667"/>
      <c r="K81" s="1661"/>
      <c r="L81" s="4232" t="s">
        <v>1107</v>
      </c>
      <c r="M81" s="4232"/>
      <c r="N81" s="4232"/>
      <c r="O81" s="4232"/>
      <c r="P81" s="4232"/>
      <c r="Q81" s="4232"/>
      <c r="R81" s="4232"/>
      <c r="S81" s="4232"/>
    </row>
    <row r="82" spans="1:19" ht="21" customHeight="1">
      <c r="A82" s="753"/>
      <c r="B82" s="753"/>
      <c r="C82" s="4226" t="s">
        <v>313</v>
      </c>
      <c r="D82" s="4226"/>
      <c r="E82" s="957">
        <f>SUM(COUNTIF(M11:M79,"A"))</f>
        <v>33</v>
      </c>
      <c r="F82" s="1662"/>
      <c r="G82" s="1662"/>
      <c r="H82" s="1662"/>
      <c r="I82" s="1668"/>
      <c r="J82" s="1668"/>
      <c r="K82" s="1655"/>
      <c r="L82" s="1663"/>
      <c r="M82" s="1660"/>
      <c r="N82" s="1664"/>
    </row>
    <row r="83" spans="1:19" ht="21" customHeight="1">
      <c r="A83" s="753"/>
      <c r="B83" s="753"/>
      <c r="C83" s="4224" t="s">
        <v>315</v>
      </c>
      <c r="D83" s="4225"/>
      <c r="E83" s="957">
        <f>SUM(COUNTIF(M11:M79,"B"))</f>
        <v>29</v>
      </c>
      <c r="F83" s="1662"/>
      <c r="G83" s="1662"/>
      <c r="H83" s="1662"/>
      <c r="I83" s="1668"/>
      <c r="J83" s="1668"/>
      <c r="K83" s="1655"/>
      <c r="L83" s="1663"/>
      <c r="M83" s="1665"/>
      <c r="N83" s="1664"/>
    </row>
    <row r="84" spans="1:19" ht="21" customHeight="1">
      <c r="A84" s="753"/>
      <c r="B84" s="753"/>
      <c r="C84" s="4224" t="s">
        <v>317</v>
      </c>
      <c r="D84" s="4225"/>
      <c r="E84" s="2762">
        <f>SUM(COUNTIF(M11:M79,"C"))</f>
        <v>5</v>
      </c>
      <c r="F84" s="1662"/>
      <c r="G84" s="1662"/>
      <c r="H84" s="1662"/>
      <c r="I84" s="1668"/>
      <c r="J84" s="1668"/>
      <c r="K84" s="1655"/>
      <c r="L84" s="1663"/>
      <c r="M84" s="1666"/>
      <c r="N84" s="1664"/>
    </row>
    <row r="85" spans="1:19" ht="21" customHeight="1">
      <c r="A85" s="753"/>
      <c r="B85" s="753"/>
      <c r="C85" s="4224" t="s">
        <v>1010</v>
      </c>
      <c r="D85" s="4225"/>
      <c r="E85" s="1672">
        <f>SUM(COUNTIF(M11:M79,"D"))</f>
        <v>0</v>
      </c>
      <c r="F85" s="1669"/>
      <c r="G85" s="1669"/>
      <c r="H85" s="1669"/>
      <c r="I85" s="1669"/>
      <c r="J85" s="1666"/>
      <c r="K85" s="1666"/>
      <c r="L85" s="1670"/>
      <c r="M85" s="1670"/>
      <c r="N85" s="1670"/>
    </row>
    <row r="86" spans="1:19" ht="21" customHeight="1">
      <c r="A86" s="753"/>
      <c r="B86" s="753"/>
      <c r="C86" s="4224" t="s">
        <v>187</v>
      </c>
      <c r="D86" s="4225"/>
      <c r="E86" s="1672">
        <f>SUM(E82:E85)</f>
        <v>67</v>
      </c>
      <c r="F86" s="1669"/>
      <c r="G86" s="1669"/>
      <c r="H86" s="1669"/>
      <c r="I86" s="1669"/>
      <c r="J86" s="1666"/>
      <c r="K86" s="1666"/>
      <c r="L86" s="1670"/>
      <c r="M86" s="1670"/>
      <c r="N86" s="1670"/>
    </row>
    <row r="87" spans="1:19" ht="9" customHeight="1">
      <c r="C87" s="749"/>
      <c r="D87" s="749"/>
    </row>
    <row r="88" spans="1:19" ht="13.5" customHeight="1">
      <c r="D88" s="750"/>
      <c r="E88" s="750"/>
      <c r="F88" s="750"/>
      <c r="G88" s="750"/>
      <c r="H88" s="750"/>
      <c r="I88" s="750"/>
    </row>
    <row r="89" spans="1:19" ht="8.25" customHeight="1">
      <c r="C89" s="750"/>
      <c r="D89" s="751"/>
      <c r="E89" s="751"/>
      <c r="F89" s="751"/>
      <c r="G89" s="751"/>
      <c r="H89" s="751"/>
      <c r="I89" s="750"/>
      <c r="J89" s="750"/>
    </row>
    <row r="90" spans="1:19" s="1883" customFormat="1" ht="13.5" customHeight="1">
      <c r="E90" s="1882"/>
      <c r="F90" s="4227"/>
      <c r="G90" s="4227"/>
      <c r="H90" s="4227"/>
      <c r="I90" s="4227"/>
      <c r="J90" s="4227"/>
    </row>
    <row r="91" spans="1:19" ht="13.5" customHeight="1"/>
    <row r="92" spans="1:19" ht="13.5" customHeight="1"/>
    <row r="93" spans="1:19" ht="13.5" customHeight="1"/>
    <row r="94" spans="1:19" ht="13.5" customHeight="1"/>
    <row r="95" spans="1:19" ht="13.5" customHeight="1"/>
    <row r="96" spans="1:19" ht="13.5" customHeight="1"/>
    <row r="97" spans="9:14" ht="13.5" customHeight="1"/>
    <row r="98" spans="9:14" ht="13.5" customHeight="1"/>
    <row r="99" spans="9:14" ht="13.5" customHeight="1">
      <c r="I99" s="4223"/>
      <c r="J99" s="4223"/>
      <c r="K99" s="4223"/>
      <c r="L99" s="4223"/>
      <c r="M99" s="4223"/>
      <c r="N99" s="4223"/>
    </row>
    <row r="100" spans="9:14" ht="13.5" customHeight="1"/>
    <row r="101" spans="9:14" ht="13.5" customHeight="1"/>
    <row r="102" spans="9:14" ht="13.5" customHeight="1"/>
    <row r="103" spans="9:14" ht="13.5" customHeight="1"/>
    <row r="104" spans="9:14" ht="13.5" customHeight="1"/>
    <row r="105" spans="9:14" ht="13.5" customHeight="1"/>
    <row r="106" spans="9:14" ht="13.5" customHeight="1"/>
    <row r="107" spans="9:14" ht="13.5" customHeight="1"/>
    <row r="108" spans="9:14" ht="13.5" customHeight="1"/>
    <row r="109" spans="9:14" ht="13.5" customHeight="1"/>
    <row r="110" spans="9:14" ht="13.5" customHeight="1"/>
    <row r="111" spans="9:14" ht="13.5" customHeight="1"/>
    <row r="112" spans="9:14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2" ht="8.25" customHeight="1"/>
  </sheetData>
  <mergeCells count="18">
    <mergeCell ref="A2:N2"/>
    <mergeCell ref="A1:N1"/>
    <mergeCell ref="A7:N7"/>
    <mergeCell ref="C81:D81"/>
    <mergeCell ref="A5:F5"/>
    <mergeCell ref="F81:I81"/>
    <mergeCell ref="L81:S81"/>
    <mergeCell ref="A10:C10"/>
    <mergeCell ref="A47:C47"/>
    <mergeCell ref="A63:C63"/>
    <mergeCell ref="I99:K99"/>
    <mergeCell ref="L99:N99"/>
    <mergeCell ref="C85:D85"/>
    <mergeCell ref="C82:D82"/>
    <mergeCell ref="C83:D83"/>
    <mergeCell ref="C84:D84"/>
    <mergeCell ref="C86:D86"/>
    <mergeCell ref="F90:J90"/>
  </mergeCells>
  <printOptions horizontalCentered="1"/>
  <pageMargins left="0.61" right="0.35" top="0.31496062992126" bottom="0.27559055118110198" header="0.31496062992126" footer="0.31496062992126"/>
  <pageSetup paperSize="9" scale="85" orientation="portrait" r:id="rId1"/>
  <colBreaks count="1" manualBreakCount="1">
    <brk id="14" max="1048575" man="1"/>
  </colBreaks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  <pageSetUpPr fitToPage="1"/>
  </sheetPr>
  <dimension ref="A1:W30"/>
  <sheetViews>
    <sheetView zoomScaleNormal="100" workbookViewId="0">
      <selection activeCell="M12" sqref="M12"/>
    </sheetView>
  </sheetViews>
  <sheetFormatPr defaultColWidth="9.375" defaultRowHeight="15"/>
  <cols>
    <col min="1" max="1" width="3.375" style="1" bestFit="1" customWidth="1"/>
    <col min="2" max="2" width="15.375" style="1" customWidth="1"/>
    <col min="3" max="3" width="17.875" style="1" customWidth="1"/>
    <col min="4" max="4" width="7.25" style="1" bestFit="1" customWidth="1"/>
    <col min="5" max="5" width="17.125" style="1" customWidth="1"/>
    <col min="6" max="6" width="6.625" style="1" customWidth="1"/>
    <col min="7" max="7" width="7" style="1" customWidth="1"/>
    <col min="8" max="8" width="6.625" style="1" customWidth="1"/>
    <col min="9" max="9" width="8" style="2" customWidth="1"/>
    <col min="10" max="10" width="13.125" style="1" customWidth="1"/>
    <col min="11" max="11" width="10.375" style="1" customWidth="1"/>
    <col min="12" max="12" width="11.125" style="1" customWidth="1"/>
    <col min="13" max="13" width="10.375" style="1" bestFit="1" customWidth="1"/>
    <col min="14" max="14" width="12.625" style="1" customWidth="1"/>
    <col min="15" max="15" width="12.375" style="1" customWidth="1"/>
    <col min="16" max="16" width="13.875" style="1" customWidth="1"/>
    <col min="17" max="18" width="0" style="1" hidden="1" customWidth="1"/>
    <col min="19" max="19" width="13.125" style="1" hidden="1" customWidth="1"/>
    <col min="20" max="20" width="13.875" style="1" bestFit="1" customWidth="1"/>
    <col min="21" max="21" width="14.375" style="1" customWidth="1"/>
    <col min="22" max="22" width="14.625" style="1" customWidth="1"/>
    <col min="23" max="16384" width="9.375" style="1"/>
  </cols>
  <sheetData>
    <row r="1" spans="1:23" ht="15.75">
      <c r="A1" s="3751" t="s">
        <v>574</v>
      </c>
      <c r="B1" s="3751"/>
      <c r="C1" s="3751"/>
      <c r="D1" s="3751"/>
      <c r="E1" s="3751"/>
      <c r="F1" s="3751"/>
      <c r="G1" s="3751"/>
      <c r="H1" s="3751"/>
      <c r="I1" s="3751" t="s">
        <v>165</v>
      </c>
      <c r="J1" s="3751"/>
      <c r="K1" s="3751"/>
      <c r="L1" s="3751"/>
      <c r="M1" s="3751"/>
      <c r="N1" s="3751"/>
      <c r="O1" s="3751"/>
      <c r="P1" s="3751"/>
    </row>
    <row r="2" spans="1:23" ht="15.75">
      <c r="A2" s="4130" t="s">
        <v>251</v>
      </c>
      <c r="B2" s="4130"/>
      <c r="C2" s="4130"/>
      <c r="D2" s="4130"/>
      <c r="E2" s="4130"/>
      <c r="F2" s="4130"/>
      <c r="G2" s="4130"/>
      <c r="H2" s="4130"/>
      <c r="I2" s="4130" t="s">
        <v>250</v>
      </c>
      <c r="J2" s="4130"/>
      <c r="K2" s="4130"/>
      <c r="L2" s="4130"/>
      <c r="M2" s="4130"/>
      <c r="N2" s="4130"/>
      <c r="O2" s="4130"/>
      <c r="P2" s="4130"/>
    </row>
    <row r="3" spans="1:23" ht="18.75">
      <c r="A3" s="4074" t="s">
        <v>588</v>
      </c>
      <c r="B3" s="4074"/>
      <c r="C3" s="4074"/>
      <c r="D3" s="4074"/>
      <c r="E3" s="4074"/>
      <c r="F3" s="4074"/>
      <c r="G3" s="4074"/>
      <c r="H3" s="4074"/>
      <c r="I3" s="4074"/>
      <c r="J3" s="4074"/>
      <c r="K3" s="4074"/>
      <c r="L3" s="4074"/>
      <c r="M3" s="4074"/>
      <c r="N3" s="4074"/>
      <c r="O3" s="4074"/>
      <c r="P3" s="4074"/>
    </row>
    <row r="4" spans="1:23" ht="18.75">
      <c r="A4" s="4074" t="s">
        <v>232</v>
      </c>
      <c r="B4" s="4074"/>
      <c r="C4" s="4074"/>
      <c r="D4" s="4074"/>
      <c r="E4" s="4074"/>
      <c r="F4" s="4074"/>
      <c r="G4" s="4074"/>
      <c r="H4" s="4074"/>
      <c r="I4" s="4074"/>
      <c r="J4" s="4074"/>
      <c r="K4" s="4074"/>
      <c r="L4" s="4074"/>
      <c r="M4" s="4074"/>
      <c r="N4" s="4074"/>
      <c r="O4" s="4074"/>
      <c r="P4" s="4074"/>
    </row>
    <row r="6" spans="1:23">
      <c r="A6" s="4240" t="s">
        <v>63</v>
      </c>
      <c r="B6" s="4240"/>
      <c r="C6" s="4240"/>
      <c r="D6" s="4240"/>
      <c r="E6" s="4240"/>
      <c r="F6" s="246">
        <v>9069</v>
      </c>
    </row>
    <row r="7" spans="1:23">
      <c r="A7" s="4240" t="s">
        <v>64</v>
      </c>
      <c r="B7" s="4240"/>
      <c r="C7" s="4240"/>
      <c r="D7" s="4240"/>
      <c r="E7" s="4240"/>
      <c r="F7" s="471">
        <v>0.42609999999999998</v>
      </c>
      <c r="T7" s="461">
        <v>27</v>
      </c>
    </row>
    <row r="9" spans="1:23" s="246" customFormat="1" ht="15" customHeight="1">
      <c r="A9" s="4247" t="s">
        <v>1</v>
      </c>
      <c r="B9" s="4237" t="s">
        <v>2</v>
      </c>
      <c r="C9" s="4237"/>
      <c r="D9" s="406"/>
      <c r="E9" s="4237" t="s">
        <v>5</v>
      </c>
      <c r="F9" s="4237" t="s">
        <v>6</v>
      </c>
      <c r="G9" s="4237"/>
      <c r="H9" s="4237"/>
      <c r="I9" s="4237"/>
      <c r="J9" s="4237"/>
      <c r="K9" s="4237" t="s">
        <v>8</v>
      </c>
      <c r="L9" s="4234" t="s">
        <v>10</v>
      </c>
      <c r="M9" s="4234" t="s">
        <v>11</v>
      </c>
      <c r="N9" s="4234" t="s">
        <v>12</v>
      </c>
      <c r="O9" s="4234" t="s">
        <v>16</v>
      </c>
      <c r="P9" s="4238" t="s">
        <v>17</v>
      </c>
    </row>
    <row r="10" spans="1:23" s="246" customFormat="1" ht="38.25">
      <c r="A10" s="4248"/>
      <c r="B10" s="407" t="s">
        <v>3</v>
      </c>
      <c r="C10" s="407" t="s">
        <v>4</v>
      </c>
      <c r="D10" s="407" t="s">
        <v>239</v>
      </c>
      <c r="E10" s="4236"/>
      <c r="F10" s="408" t="s">
        <v>13</v>
      </c>
      <c r="G10" s="408" t="s">
        <v>14</v>
      </c>
      <c r="H10" s="407" t="s">
        <v>7</v>
      </c>
      <c r="I10" s="409" t="s">
        <v>15</v>
      </c>
      <c r="J10" s="408" t="s">
        <v>25</v>
      </c>
      <c r="K10" s="4236"/>
      <c r="L10" s="4235"/>
      <c r="M10" s="4236"/>
      <c r="N10" s="4236"/>
      <c r="O10" s="4236"/>
      <c r="P10" s="4239"/>
    </row>
    <row r="11" spans="1:23" s="263" customFormat="1" ht="35.25" customHeight="1">
      <c r="A11" s="410" t="s">
        <v>66</v>
      </c>
      <c r="B11" s="411" t="s">
        <v>67</v>
      </c>
      <c r="C11" s="411" t="s">
        <v>68</v>
      </c>
      <c r="D11" s="412"/>
      <c r="E11" s="411" t="s">
        <v>69</v>
      </c>
      <c r="F11" s="411" t="s">
        <v>70</v>
      </c>
      <c r="G11" s="411" t="s">
        <v>71</v>
      </c>
      <c r="H11" s="411" t="s">
        <v>72</v>
      </c>
      <c r="I11" s="413" t="s">
        <v>73</v>
      </c>
      <c r="J11" s="411" t="s">
        <v>74</v>
      </c>
      <c r="K11" s="411" t="s">
        <v>75</v>
      </c>
      <c r="L11" s="411" t="s">
        <v>76</v>
      </c>
      <c r="M11" s="617" t="s">
        <v>77</v>
      </c>
      <c r="N11" s="411" t="s">
        <v>78</v>
      </c>
      <c r="O11" s="411" t="s">
        <v>79</v>
      </c>
      <c r="P11" s="414" t="s">
        <v>80</v>
      </c>
      <c r="U11" s="263">
        <f>+P12*8562</f>
        <v>0</v>
      </c>
    </row>
    <row r="12" spans="1:23" s="253" customFormat="1" ht="21" customHeight="1">
      <c r="A12" s="415">
        <v>1</v>
      </c>
      <c r="B12" s="473" t="s">
        <v>335</v>
      </c>
      <c r="C12" s="27" t="s">
        <v>336</v>
      </c>
      <c r="D12" s="416" t="s">
        <v>334</v>
      </c>
      <c r="E12" s="417" t="s">
        <v>238</v>
      </c>
      <c r="F12" s="418">
        <v>27</v>
      </c>
      <c r="G12" s="419">
        <v>750</v>
      </c>
      <c r="H12" s="420" t="s">
        <v>18</v>
      </c>
      <c r="I12" s="421">
        <f>ROUND(G12/$T$7*F12,0)</f>
        <v>750</v>
      </c>
      <c r="J12" s="420">
        <f>I12*$F$6</f>
        <v>6801750</v>
      </c>
      <c r="K12" s="422" t="e">
        <f>ROUND(VLOOKUP(C12,BHXH!$B$2:$E$8,2,0)*2760000*0.105*$F$7,0)</f>
        <v>#N/A</v>
      </c>
      <c r="L12" s="423" t="e">
        <f>J12-K12</f>
        <v>#N/A</v>
      </c>
      <c r="M12" s="621" t="e">
        <f>ROUND(IF(L12&gt;65000000,((L12-65000000)*25%+10685000),IF(L12&gt;25000000,((L12-25000000)*20%+2685000),IF(L12&gt;15000000,((L12-15000000)*15%+1185000),IF(L12&gt;5000000,(L12-5000000)*10%+185000,IF(L12&gt;1300000,(L12-1300000)*5%,0))))),0)</f>
        <v>#N/A</v>
      </c>
      <c r="N12" s="619" t="e">
        <f>ROUND((L12-M12)*1%,0)</f>
        <v>#N/A</v>
      </c>
      <c r="O12" s="423" t="e">
        <f>L12-M12-N12</f>
        <v>#N/A</v>
      </c>
      <c r="P12" s="463"/>
      <c r="U12" s="253" t="e">
        <f>O12/2*8562</f>
        <v>#N/A</v>
      </c>
    </row>
    <row r="13" spans="1:23" s="253" customFormat="1" ht="21" customHeight="1">
      <c r="A13" s="593">
        <v>2</v>
      </c>
      <c r="B13" s="474" t="s">
        <v>338</v>
      </c>
      <c r="C13" s="465" t="s">
        <v>337</v>
      </c>
      <c r="D13" s="470" t="s">
        <v>339</v>
      </c>
      <c r="E13" s="465" t="s">
        <v>340</v>
      </c>
      <c r="F13" s="418">
        <v>27</v>
      </c>
      <c r="G13" s="419">
        <v>500</v>
      </c>
      <c r="H13" s="420" t="s">
        <v>18</v>
      </c>
      <c r="I13" s="421">
        <f>ROUND(G13/$T$7*F13,0)</f>
        <v>500</v>
      </c>
      <c r="J13" s="420">
        <f>I13*$F$6</f>
        <v>4534500</v>
      </c>
      <c r="K13" s="464">
        <f>ROUND(VLOOKUP(C13,BHXH!$B$2:$E$8,2,0)*2760000*0.105*$F$7,0)</f>
        <v>308709</v>
      </c>
      <c r="L13" s="423">
        <f>J13-K13</f>
        <v>4225791</v>
      </c>
      <c r="M13" s="621">
        <f>ROUND(IF(L13&gt;65000000,((L13-65000000)*25%+10685000),IF(L13&gt;25000000,((L13-25000000)*20%+2685000),IF(L13&gt;15000000,((L13-15000000)*15%+1185000),IF(L13&gt;5000000,(L13-5000000)*10%+185000,IF(L13&gt;1300000,(L13-1300000)*5%,0))))),0)</f>
        <v>146290</v>
      </c>
      <c r="N13" s="620">
        <f>ROUND((L13-M13)*1%,0)</f>
        <v>40795</v>
      </c>
      <c r="O13" s="423">
        <f>L13-M13-N13</f>
        <v>4038706</v>
      </c>
      <c r="P13" s="463"/>
      <c r="U13" s="253">
        <f>O13/2*8562</f>
        <v>17289700386</v>
      </c>
    </row>
    <row r="14" spans="1:23" s="246" customFormat="1" ht="21" customHeight="1">
      <c r="A14" s="415">
        <v>3</v>
      </c>
      <c r="B14" s="475" t="s">
        <v>194</v>
      </c>
      <c r="C14" s="27" t="s">
        <v>97</v>
      </c>
      <c r="D14" s="424" t="e">
        <f>'Lương Tổng NT'!#REF!</f>
        <v>#REF!</v>
      </c>
      <c r="E14" s="27" t="s">
        <v>99</v>
      </c>
      <c r="F14" s="418">
        <v>27</v>
      </c>
      <c r="G14" s="425">
        <v>320</v>
      </c>
      <c r="H14" s="420" t="s">
        <v>18</v>
      </c>
      <c r="I14" s="421">
        <f>ROUND(G14/$T$7*F14,0)</f>
        <v>320</v>
      </c>
      <c r="J14" s="420">
        <f>I14*$F$6</f>
        <v>2902080</v>
      </c>
      <c r="K14" s="422">
        <f>ROUND(VLOOKUP(C14,BHXH!$B$2:$E$8,2,0)*2760000*0.105*$F$7,0)</f>
        <v>150650</v>
      </c>
      <c r="L14" s="423">
        <f>J14-K14</f>
        <v>2751430</v>
      </c>
      <c r="M14" s="621">
        <f>ROUND(IF(L14&gt;65000000,((L14-65000000)*25%+10685000),IF(L14&gt;25000000,((L14-25000000)*20%+2685000),IF(L14&gt;15000000,((L14-15000000)*15%+1185000),IF(L14&gt;5000000,(L14-5000000)*10%+185000,IF(L14&gt;1300000,(L14-1300000)*5%,0))))),0)</f>
        <v>72572</v>
      </c>
      <c r="N14" s="619">
        <f>ROUND((L14-M14)*1%,0)</f>
        <v>26789</v>
      </c>
      <c r="O14" s="423">
        <f>L14-M14-N14</f>
        <v>2652069</v>
      </c>
      <c r="P14" s="463"/>
      <c r="U14" s="253">
        <f>O14/2*8562</f>
        <v>11353507389</v>
      </c>
    </row>
    <row r="15" spans="1:23" s="246" customFormat="1" ht="21" customHeight="1">
      <c r="A15" s="4245" t="s">
        <v>58</v>
      </c>
      <c r="B15" s="4246"/>
      <c r="C15" s="4246"/>
      <c r="D15" s="4246"/>
      <c r="E15" s="4246"/>
      <c r="F15" s="472">
        <f>SUM(F12:F14)</f>
        <v>81</v>
      </c>
      <c r="G15" s="426">
        <f>SUM(G12:G14)</f>
        <v>1570</v>
      </c>
      <c r="H15" s="462" t="s">
        <v>18</v>
      </c>
      <c r="I15" s="426">
        <f t="shared" ref="I15:O15" si="0">SUM(I12:I14)</f>
        <v>1570</v>
      </c>
      <c r="J15" s="426">
        <f t="shared" si="0"/>
        <v>14238330</v>
      </c>
      <c r="K15" s="426" t="e">
        <f t="shared" si="0"/>
        <v>#N/A</v>
      </c>
      <c r="L15" s="426" t="e">
        <f t="shared" si="0"/>
        <v>#N/A</v>
      </c>
      <c r="M15" s="618" t="e">
        <f>SUM(M12:M14)</f>
        <v>#N/A</v>
      </c>
      <c r="N15" s="426" t="e">
        <f t="shared" si="0"/>
        <v>#N/A</v>
      </c>
      <c r="O15" s="426" t="e">
        <f t="shared" si="0"/>
        <v>#N/A</v>
      </c>
      <c r="P15" s="622"/>
      <c r="R15" s="361" t="e">
        <f>+J15-K15-M15-N15</f>
        <v>#N/A</v>
      </c>
      <c r="S15" s="427">
        <f>+G15*F6</f>
        <v>14238330</v>
      </c>
      <c r="T15" s="361" t="e">
        <f>+J15-K15-M15-N15</f>
        <v>#N/A</v>
      </c>
      <c r="U15" s="543" t="e">
        <f>+J15-K15-M15-N15</f>
        <v>#N/A</v>
      </c>
      <c r="V15" s="361" t="e">
        <f>J15-K15</f>
        <v>#N/A</v>
      </c>
      <c r="W15" s="361" t="e">
        <f>L15-M15-N15</f>
        <v>#N/A</v>
      </c>
    </row>
    <row r="16" spans="1:23" ht="18" customHeight="1">
      <c r="A16" s="228"/>
      <c r="B16" s="228"/>
      <c r="C16" s="228"/>
      <c r="D16" s="228"/>
      <c r="E16" s="228"/>
      <c r="F16" s="229"/>
      <c r="G16" s="229"/>
      <c r="H16" s="228"/>
      <c r="I16" s="229"/>
      <c r="J16" s="229"/>
      <c r="K16" s="229"/>
      <c r="L16" s="229"/>
      <c r="M16" s="229"/>
      <c r="N16" s="229"/>
      <c r="O16" s="229"/>
      <c r="P16" s="228"/>
    </row>
    <row r="17" spans="1:21">
      <c r="A17" s="4244" t="s">
        <v>595</v>
      </c>
      <c r="B17" s="4244"/>
      <c r="C17" s="4244"/>
      <c r="D17" s="4244"/>
      <c r="E17" s="4244"/>
      <c r="F17" s="4244"/>
      <c r="G17" s="4244"/>
      <c r="H17" s="4244"/>
      <c r="I17" s="4244"/>
      <c r="J17" s="4244"/>
      <c r="K17" s="4244"/>
      <c r="L17" s="4244"/>
      <c r="M17" s="4244"/>
      <c r="N17" s="4244"/>
      <c r="O17" s="4244"/>
      <c r="P17" s="4244"/>
    </row>
    <row r="18" spans="1:21">
      <c r="U18" s="1">
        <f>I15*F6</f>
        <v>14238330</v>
      </c>
    </row>
    <row r="19" spans="1:21" ht="15.75">
      <c r="A19" s="41"/>
      <c r="B19" s="42"/>
      <c r="C19" s="54"/>
      <c r="D19" s="54"/>
      <c r="E19" s="42"/>
      <c r="F19" s="55"/>
      <c r="G19" s="42"/>
      <c r="H19" s="42"/>
      <c r="I19" s="55"/>
      <c r="J19" s="56"/>
      <c r="K19" s="56"/>
      <c r="L19" s="42"/>
      <c r="M19" s="4243" t="s">
        <v>587</v>
      </c>
      <c r="N19" s="4243"/>
      <c r="O19" s="4243"/>
      <c r="P19" s="4243"/>
      <c r="R19" s="1">
        <f>+G15*F6</f>
        <v>14238330</v>
      </c>
    </row>
    <row r="20" spans="1:21" ht="15.75">
      <c r="A20" s="3751" t="s">
        <v>45</v>
      </c>
      <c r="B20" s="3751"/>
      <c r="C20" s="3751"/>
      <c r="D20" s="39"/>
      <c r="E20" s="39"/>
      <c r="F20" s="3751" t="s">
        <v>44</v>
      </c>
      <c r="G20" s="3751"/>
      <c r="H20" s="3751"/>
      <c r="I20" s="3751"/>
      <c r="J20" s="40"/>
      <c r="K20" s="3751" t="s">
        <v>167</v>
      </c>
      <c r="L20" s="3751"/>
      <c r="M20" s="3751"/>
      <c r="N20" s="3751" t="s">
        <v>42</v>
      </c>
      <c r="O20" s="3751"/>
      <c r="P20" s="3751"/>
      <c r="U20" s="1">
        <f>2470*8661</f>
        <v>21392670</v>
      </c>
    </row>
    <row r="21" spans="1:21" ht="21" customHeight="1"/>
    <row r="22" spans="1:21" ht="21" customHeight="1">
      <c r="P22" s="380"/>
    </row>
    <row r="23" spans="1:21" ht="21" customHeight="1">
      <c r="J23" s="2"/>
      <c r="T23" s="594">
        <f>+G15*F6</f>
        <v>14238330</v>
      </c>
    </row>
    <row r="24" spans="1:21" ht="21" customHeight="1">
      <c r="L24" s="380"/>
    </row>
    <row r="25" spans="1:21" s="138" customFormat="1" ht="15.75">
      <c r="I25" s="139"/>
      <c r="K25" s="4242" t="s">
        <v>336</v>
      </c>
      <c r="L25" s="4242"/>
      <c r="M25" s="4242"/>
      <c r="N25" s="4241" t="s">
        <v>337</v>
      </c>
      <c r="O25" s="4241"/>
      <c r="P25" s="4241"/>
    </row>
    <row r="30" spans="1:21">
      <c r="O30" s="380"/>
    </row>
  </sheetData>
  <mergeCells count="27">
    <mergeCell ref="A15:E15"/>
    <mergeCell ref="A20:C20"/>
    <mergeCell ref="F20:I20"/>
    <mergeCell ref="K20:M20"/>
    <mergeCell ref="N9:N10"/>
    <mergeCell ref="A9:A10"/>
    <mergeCell ref="B9:C9"/>
    <mergeCell ref="K9:K10"/>
    <mergeCell ref="F9:J9"/>
    <mergeCell ref="N25:P25"/>
    <mergeCell ref="K25:M25"/>
    <mergeCell ref="N20:P20"/>
    <mergeCell ref="M19:P19"/>
    <mergeCell ref="A17:P17"/>
    <mergeCell ref="A1:H1"/>
    <mergeCell ref="A2:H2"/>
    <mergeCell ref="I1:P1"/>
    <mergeCell ref="I2:P2"/>
    <mergeCell ref="L9:L10"/>
    <mergeCell ref="M9:M10"/>
    <mergeCell ref="O9:O10"/>
    <mergeCell ref="E9:E10"/>
    <mergeCell ref="P9:P10"/>
    <mergeCell ref="A3:P3"/>
    <mergeCell ref="A4:P4"/>
    <mergeCell ref="A6:E6"/>
    <mergeCell ref="A7:E7"/>
  </mergeCells>
  <phoneticPr fontId="57" type="noConversion"/>
  <pageMargins left="0.37" right="0.2" top="0.46" bottom="0.75" header="0.3" footer="0.3"/>
  <pageSetup paperSize="9" scale="81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fitToPage="1"/>
  </sheetPr>
  <dimension ref="A1:U22"/>
  <sheetViews>
    <sheetView workbookViewId="0">
      <selection activeCell="E15" sqref="E15"/>
    </sheetView>
  </sheetViews>
  <sheetFormatPr defaultRowHeight="14.25"/>
  <cols>
    <col min="1" max="1" width="5.125" customWidth="1"/>
    <col min="2" max="2" width="10.25" customWidth="1"/>
    <col min="3" max="3" width="13.25" bestFit="1" customWidth="1"/>
    <col min="4" max="4" width="7.875" customWidth="1"/>
    <col min="7" max="7" width="10.375" customWidth="1"/>
    <col min="14" max="14" width="10.875" customWidth="1"/>
    <col min="16" max="16" width="11.375" customWidth="1"/>
    <col min="17" max="17" width="13.75" customWidth="1"/>
    <col min="19" max="19" width="15.375" bestFit="1" customWidth="1"/>
  </cols>
  <sheetData>
    <row r="1" spans="1:21" ht="15.75">
      <c r="A1" s="3751" t="s">
        <v>574</v>
      </c>
      <c r="B1" s="3751"/>
      <c r="C1" s="3751"/>
      <c r="D1" s="3751"/>
      <c r="E1" s="3751"/>
      <c r="F1" s="3751"/>
      <c r="G1" s="3751"/>
      <c r="H1" s="3751"/>
      <c r="I1" s="3751" t="s">
        <v>165</v>
      </c>
      <c r="J1" s="3751"/>
      <c r="K1" s="3751"/>
      <c r="L1" s="3751"/>
      <c r="M1" s="3751"/>
      <c r="N1" s="3751"/>
      <c r="O1" s="3751"/>
      <c r="P1" s="3751"/>
      <c r="Q1" s="3751"/>
    </row>
    <row r="2" spans="1:21" ht="15.75">
      <c r="A2" s="4130" t="s">
        <v>251</v>
      </c>
      <c r="B2" s="4130"/>
      <c r="C2" s="4130"/>
      <c r="D2" s="4130"/>
      <c r="E2" s="4130"/>
      <c r="F2" s="4130"/>
      <c r="G2" s="4130"/>
      <c r="H2" s="4130"/>
      <c r="I2" s="4130" t="s">
        <v>250</v>
      </c>
      <c r="J2" s="4130"/>
      <c r="K2" s="4130"/>
      <c r="L2" s="4130"/>
      <c r="M2" s="4130"/>
      <c r="N2" s="4130"/>
      <c r="O2" s="4130"/>
      <c r="P2" s="4130"/>
      <c r="Q2" s="4130"/>
    </row>
    <row r="3" spans="1:21" ht="15.75">
      <c r="A3" s="245"/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</row>
    <row r="4" spans="1:21" ht="15.75">
      <c r="A4" s="4265" t="s">
        <v>631</v>
      </c>
      <c r="B4" s="4265"/>
      <c r="C4" s="4265"/>
      <c r="D4" s="4265"/>
      <c r="E4" s="4265"/>
      <c r="F4" s="4265"/>
      <c r="G4" s="4265"/>
      <c r="H4" s="4265"/>
      <c r="I4" s="4265"/>
      <c r="J4" s="4265"/>
      <c r="K4" s="4265"/>
      <c r="L4" s="4265"/>
      <c r="M4" s="4265"/>
      <c r="N4" s="4265"/>
      <c r="O4" s="4265"/>
      <c r="P4" s="4265"/>
      <c r="Q4" s="4265"/>
      <c r="S4">
        <f>+F11/25000</f>
        <v>1</v>
      </c>
    </row>
    <row r="5" spans="1:21" ht="15.75">
      <c r="A5" s="3751" t="s">
        <v>234</v>
      </c>
      <c r="B5" s="3751"/>
      <c r="C5" s="3751"/>
      <c r="D5" s="3751"/>
      <c r="E5" s="3751"/>
      <c r="F5" s="3751"/>
      <c r="G5" s="3751"/>
      <c r="H5" s="3751"/>
      <c r="I5" s="3751"/>
      <c r="J5" s="3751"/>
      <c r="K5" s="3751"/>
      <c r="L5" s="3751"/>
      <c r="M5" s="3751"/>
      <c r="N5" s="3751"/>
      <c r="O5" s="3751"/>
      <c r="P5" s="3751"/>
      <c r="Q5" s="3751"/>
      <c r="S5" s="597">
        <f>1/48</f>
        <v>2.0833333333333332E-2</v>
      </c>
    </row>
    <row r="6" spans="1:21" ht="15.75">
      <c r="A6" s="43"/>
      <c r="B6" s="44"/>
      <c r="C6" s="45"/>
      <c r="D6" s="44"/>
      <c r="E6" s="46"/>
      <c r="F6" s="47"/>
      <c r="G6" s="47"/>
      <c r="H6" s="46"/>
      <c r="I6" s="146"/>
      <c r="J6" s="48"/>
      <c r="K6" s="49"/>
      <c r="L6" s="49"/>
      <c r="M6" s="49"/>
      <c r="N6" s="49"/>
      <c r="O6" s="44"/>
      <c r="P6" s="234" t="s">
        <v>59</v>
      </c>
      <c r="Q6" s="44"/>
    </row>
    <row r="7" spans="1:21">
      <c r="A7" s="4254" t="s">
        <v>1</v>
      </c>
      <c r="B7" s="4257" t="s">
        <v>20</v>
      </c>
      <c r="C7" s="4257"/>
      <c r="D7" s="4259" t="s">
        <v>26</v>
      </c>
      <c r="E7" s="4262" t="s">
        <v>27</v>
      </c>
      <c r="F7" s="4262"/>
      <c r="G7" s="4262"/>
      <c r="H7" s="4262"/>
      <c r="I7" s="4262"/>
      <c r="J7" s="4262"/>
      <c r="K7" s="4262"/>
      <c r="L7" s="4262"/>
      <c r="M7" s="4262"/>
      <c r="N7" s="4263" t="s">
        <v>60</v>
      </c>
      <c r="O7" s="4263" t="s">
        <v>28</v>
      </c>
      <c r="P7" s="4263" t="s">
        <v>29</v>
      </c>
      <c r="Q7" s="4266" t="s">
        <v>9</v>
      </c>
    </row>
    <row r="8" spans="1:21">
      <c r="A8" s="4255"/>
      <c r="B8" s="4258"/>
      <c r="C8" s="4258"/>
      <c r="D8" s="4260"/>
      <c r="E8" s="4269" t="s">
        <v>30</v>
      </c>
      <c r="F8" s="4269"/>
      <c r="G8" s="4269"/>
      <c r="H8" s="4264" t="s">
        <v>31</v>
      </c>
      <c r="I8" s="4264"/>
      <c r="J8" s="4264"/>
      <c r="K8" s="4270" t="s">
        <v>32</v>
      </c>
      <c r="L8" s="4270"/>
      <c r="M8" s="4270"/>
      <c r="N8" s="4264"/>
      <c r="O8" s="4264"/>
      <c r="P8" s="4264"/>
      <c r="Q8" s="4267"/>
    </row>
    <row r="9" spans="1:21" ht="51">
      <c r="A9" s="4256"/>
      <c r="B9" s="393" t="s">
        <v>33</v>
      </c>
      <c r="C9" s="393" t="s">
        <v>4</v>
      </c>
      <c r="D9" s="4261"/>
      <c r="E9" s="394" t="s">
        <v>43</v>
      </c>
      <c r="F9" s="391" t="s">
        <v>34</v>
      </c>
      <c r="G9" s="390" t="s">
        <v>35</v>
      </c>
      <c r="H9" s="395" t="s">
        <v>36</v>
      </c>
      <c r="I9" s="396" t="s">
        <v>37</v>
      </c>
      <c r="J9" s="396" t="s">
        <v>38</v>
      </c>
      <c r="K9" s="392" t="s">
        <v>39</v>
      </c>
      <c r="L9" s="392" t="s">
        <v>186</v>
      </c>
      <c r="M9" s="396" t="s">
        <v>24</v>
      </c>
      <c r="N9" s="4264"/>
      <c r="O9" s="4264"/>
      <c r="P9" s="4264"/>
      <c r="Q9" s="4268"/>
    </row>
    <row r="10" spans="1:21" ht="49.5">
      <c r="A10" s="397" t="s">
        <v>66</v>
      </c>
      <c r="B10" s="398" t="s">
        <v>67</v>
      </c>
      <c r="C10" s="398" t="s">
        <v>81</v>
      </c>
      <c r="D10" s="398" t="s">
        <v>69</v>
      </c>
      <c r="E10" s="398" t="s">
        <v>70</v>
      </c>
      <c r="F10" s="398" t="s">
        <v>85</v>
      </c>
      <c r="G10" s="398" t="s">
        <v>73</v>
      </c>
      <c r="H10" s="399" t="s">
        <v>86</v>
      </c>
      <c r="I10" s="398" t="s">
        <v>87</v>
      </c>
      <c r="J10" s="398" t="s">
        <v>73</v>
      </c>
      <c r="K10" s="398" t="s">
        <v>88</v>
      </c>
      <c r="L10" s="398" t="s">
        <v>89</v>
      </c>
      <c r="M10" s="398" t="s">
        <v>73</v>
      </c>
      <c r="N10" s="398" t="s">
        <v>90</v>
      </c>
      <c r="O10" s="398" t="s">
        <v>91</v>
      </c>
      <c r="P10" s="398" t="s">
        <v>84</v>
      </c>
      <c r="Q10" s="400" t="s">
        <v>80</v>
      </c>
    </row>
    <row r="11" spans="1:21" ht="20.25" customHeight="1">
      <c r="A11" s="582">
        <v>1</v>
      </c>
      <c r="B11" s="401"/>
      <c r="C11" s="403" t="s">
        <v>536</v>
      </c>
      <c r="D11" s="677" t="s">
        <v>259</v>
      </c>
      <c r="E11" s="672" t="e">
        <f>'Tong hop cong'!#REF!</f>
        <v>#REF!</v>
      </c>
      <c r="F11" s="405">
        <v>25000</v>
      </c>
      <c r="G11" s="405" t="e">
        <f>ROUND(E11*F11,0)</f>
        <v>#REF!</v>
      </c>
      <c r="H11" s="579"/>
      <c r="I11" s="580"/>
      <c r="J11" s="581"/>
      <c r="K11" s="580"/>
      <c r="L11" s="580"/>
      <c r="M11" s="581"/>
      <c r="N11" s="580" t="e">
        <f>G11</f>
        <v>#REF!</v>
      </c>
      <c r="O11" s="580"/>
      <c r="P11" s="580" t="e">
        <f>N11</f>
        <v>#REF!</v>
      </c>
      <c r="Q11" s="402"/>
      <c r="T11">
        <f>421.47*25000</f>
        <v>10536750</v>
      </c>
    </row>
    <row r="12" spans="1:21" ht="20.25" customHeight="1">
      <c r="A12" s="582">
        <v>2</v>
      </c>
      <c r="B12" s="401"/>
      <c r="C12" s="403" t="s">
        <v>332</v>
      </c>
      <c r="D12" s="677" t="s">
        <v>259</v>
      </c>
      <c r="E12" s="404"/>
      <c r="F12" s="405">
        <v>25000</v>
      </c>
      <c r="G12" s="405">
        <f>ROUND(E12*F12,0)</f>
        <v>0</v>
      </c>
      <c r="H12" s="579"/>
      <c r="I12" s="580"/>
      <c r="J12" s="581"/>
      <c r="K12" s="580"/>
      <c r="L12" s="580"/>
      <c r="M12" s="581"/>
      <c r="N12" s="580">
        <f>G12</f>
        <v>0</v>
      </c>
      <c r="O12" s="580"/>
      <c r="P12" s="580">
        <f>N12</f>
        <v>0</v>
      </c>
      <c r="Q12" s="402"/>
    </row>
    <row r="13" spans="1:21" ht="18" customHeight="1">
      <c r="A13" s="4252" t="s">
        <v>190</v>
      </c>
      <c r="B13" s="4253"/>
      <c r="C13" s="4253"/>
      <c r="D13" s="4253"/>
      <c r="E13" s="673" t="e">
        <f>SUBTOTAL(9,E11:E12)</f>
        <v>#REF!</v>
      </c>
      <c r="F13" s="674"/>
      <c r="G13" s="674" t="e">
        <f>SUBTOTAL(9,G11:G12)</f>
        <v>#REF!</v>
      </c>
      <c r="H13" s="675"/>
      <c r="I13" s="674"/>
      <c r="J13" s="674"/>
      <c r="K13" s="674"/>
      <c r="L13" s="674"/>
      <c r="M13" s="674"/>
      <c r="N13" s="674" t="e">
        <f>SUBTOTAL(9,N11:N12)</f>
        <v>#REF!</v>
      </c>
      <c r="O13" s="674">
        <f>SUBTOTAL(9,O11:O11)</f>
        <v>0</v>
      </c>
      <c r="P13" s="674" t="e">
        <f>SUBTOTAL(9,P11:P12)</f>
        <v>#REF!</v>
      </c>
      <c r="Q13" s="676"/>
      <c r="S13" s="595">
        <f>507.37*25000</f>
        <v>12684250</v>
      </c>
    </row>
    <row r="14" spans="1:21" ht="21.75" customHeight="1">
      <c r="A14" s="4250" t="s">
        <v>633</v>
      </c>
      <c r="B14" s="4250"/>
      <c r="C14" s="4250"/>
      <c r="D14" s="4250"/>
      <c r="E14" s="4250"/>
      <c r="F14" s="4250"/>
      <c r="G14" s="4250"/>
      <c r="H14" s="4250"/>
      <c r="I14" s="4250"/>
      <c r="J14" s="4250"/>
      <c r="K14" s="4250"/>
      <c r="L14" s="4250"/>
      <c r="M14" s="4250"/>
      <c r="N14" s="4250"/>
      <c r="O14" s="4250"/>
      <c r="P14" s="4250"/>
      <c r="Q14" s="4250"/>
    </row>
    <row r="15" spans="1:21" ht="15.75">
      <c r="A15" s="41"/>
      <c r="B15" s="42"/>
      <c r="C15" s="54"/>
      <c r="D15" s="42"/>
      <c r="E15" s="55"/>
      <c r="F15" s="42"/>
      <c r="G15" s="42"/>
      <c r="H15" s="55"/>
      <c r="I15" s="147"/>
      <c r="J15" s="56"/>
      <c r="K15" s="42"/>
      <c r="L15" s="42"/>
      <c r="M15" s="42"/>
      <c r="N15" s="57"/>
      <c r="O15" s="4251" t="s">
        <v>632</v>
      </c>
      <c r="P15" s="4251"/>
      <c r="Q15" s="4251"/>
      <c r="T15">
        <f>391.74*25000</f>
        <v>9793500</v>
      </c>
    </row>
    <row r="16" spans="1:21" ht="15.75">
      <c r="A16" s="3751" t="s">
        <v>45</v>
      </c>
      <c r="B16" s="3751"/>
      <c r="C16" s="3751"/>
      <c r="D16" s="39"/>
      <c r="E16" s="40"/>
      <c r="F16" s="3751" t="s">
        <v>44</v>
      </c>
      <c r="G16" s="3751"/>
      <c r="H16" s="3751"/>
      <c r="I16" s="39"/>
      <c r="J16" s="40"/>
      <c r="K16" s="3751" t="s">
        <v>167</v>
      </c>
      <c r="L16" s="3751"/>
      <c r="M16" s="3751"/>
      <c r="N16" s="40"/>
      <c r="O16" s="3751" t="s">
        <v>42</v>
      </c>
      <c r="P16" s="3751"/>
      <c r="Q16" s="3751"/>
      <c r="S16" s="244"/>
      <c r="U16" t="e">
        <f>+E13*25000</f>
        <v>#REF!</v>
      </c>
    </row>
    <row r="17" spans="1:20" ht="15.75">
      <c r="A17" s="42"/>
      <c r="B17" s="42"/>
      <c r="C17" s="58"/>
      <c r="D17" s="42"/>
      <c r="E17" s="42"/>
      <c r="F17" s="42"/>
      <c r="G17" s="59"/>
      <c r="H17" s="59"/>
      <c r="I17" s="41"/>
      <c r="J17" s="60"/>
      <c r="K17" s="58"/>
      <c r="L17" s="58"/>
      <c r="M17" s="61"/>
      <c r="N17" s="42"/>
      <c r="O17" s="42"/>
      <c r="P17" s="42"/>
      <c r="Q17" s="42"/>
    </row>
    <row r="18" spans="1:20" ht="15.75">
      <c r="A18" s="42"/>
      <c r="B18" s="42"/>
      <c r="C18" s="42"/>
      <c r="D18" s="42"/>
      <c r="E18" s="42"/>
      <c r="F18" s="42"/>
      <c r="G18" s="42"/>
      <c r="H18" s="62"/>
      <c r="I18" s="41"/>
      <c r="J18" s="58"/>
      <c r="K18" s="42"/>
      <c r="L18" s="42"/>
      <c r="M18" s="58"/>
      <c r="N18" s="42"/>
      <c r="O18" s="42"/>
      <c r="P18" s="42"/>
      <c r="Q18" s="42"/>
    </row>
    <row r="19" spans="1:20" ht="15.75">
      <c r="A19" s="42"/>
      <c r="B19" s="42"/>
      <c r="C19" s="42"/>
      <c r="D19" s="42"/>
      <c r="E19" s="42"/>
      <c r="F19" s="42"/>
      <c r="G19" s="42"/>
      <c r="H19" s="62"/>
      <c r="I19" s="41"/>
      <c r="J19" s="42"/>
      <c r="K19" s="42"/>
      <c r="L19" s="42"/>
      <c r="M19" s="42"/>
      <c r="N19" s="42"/>
      <c r="O19" s="42"/>
      <c r="P19" s="42"/>
      <c r="Q19" s="42"/>
      <c r="T19">
        <f>223.86*25000</f>
        <v>5596500</v>
      </c>
    </row>
    <row r="20" spans="1:20" ht="15.75">
      <c r="A20" s="42"/>
      <c r="B20" s="42"/>
      <c r="C20" s="42"/>
      <c r="D20" s="42"/>
      <c r="E20" s="42"/>
      <c r="F20" s="42"/>
      <c r="G20" s="42"/>
      <c r="H20" s="55"/>
      <c r="I20" s="41"/>
      <c r="J20" s="42"/>
      <c r="K20" s="42"/>
      <c r="L20" s="42"/>
      <c r="M20" s="42"/>
      <c r="N20" s="42"/>
      <c r="O20" s="42"/>
      <c r="P20" s="42"/>
      <c r="Q20" s="42"/>
    </row>
    <row r="21" spans="1:20" ht="15.75">
      <c r="A21" s="42"/>
      <c r="B21" s="42"/>
      <c r="C21" s="42"/>
      <c r="D21" s="42"/>
      <c r="E21" s="42"/>
      <c r="F21" s="42"/>
      <c r="G21" s="42"/>
      <c r="H21" s="55"/>
      <c r="I21" s="41"/>
      <c r="J21" s="42"/>
      <c r="K21" s="42"/>
      <c r="L21" s="42"/>
      <c r="M21" s="42"/>
      <c r="N21" s="42"/>
      <c r="O21" s="42"/>
      <c r="P21" s="42"/>
      <c r="Q21" s="42"/>
    </row>
    <row r="22" spans="1:20" ht="15.75">
      <c r="A22" s="140"/>
      <c r="B22" s="140"/>
      <c r="C22" s="140"/>
      <c r="D22" s="140"/>
      <c r="E22" s="140"/>
      <c r="F22" s="140"/>
      <c r="G22" s="140"/>
      <c r="H22" s="141"/>
      <c r="I22" s="148"/>
      <c r="J22" s="140"/>
      <c r="K22" s="4249" t="s">
        <v>336</v>
      </c>
      <c r="L22" s="4249"/>
      <c r="M22" s="4249"/>
      <c r="N22" s="140"/>
      <c r="O22" s="3751" t="s">
        <v>337</v>
      </c>
      <c r="P22" s="3751"/>
      <c r="Q22" s="3751"/>
    </row>
  </sheetData>
  <mergeCells count="26">
    <mergeCell ref="N7:N9"/>
    <mergeCell ref="O7:O9"/>
    <mergeCell ref="A1:H1"/>
    <mergeCell ref="I1:Q1"/>
    <mergeCell ref="A2:H2"/>
    <mergeCell ref="I2:Q2"/>
    <mergeCell ref="A4:Q4"/>
    <mergeCell ref="A5:Q5"/>
    <mergeCell ref="P7:P9"/>
    <mergeCell ref="Q7:Q9"/>
    <mergeCell ref="E8:G8"/>
    <mergeCell ref="H8:J8"/>
    <mergeCell ref="K8:M8"/>
    <mergeCell ref="A13:D13"/>
    <mergeCell ref="A7:A9"/>
    <mergeCell ref="B7:C8"/>
    <mergeCell ref="D7:D9"/>
    <mergeCell ref="E7:M7"/>
    <mergeCell ref="K22:M22"/>
    <mergeCell ref="O22:Q22"/>
    <mergeCell ref="A14:Q14"/>
    <mergeCell ref="O15:Q15"/>
    <mergeCell ref="A16:C16"/>
    <mergeCell ref="F16:H16"/>
    <mergeCell ref="K16:M16"/>
    <mergeCell ref="O16:Q16"/>
  </mergeCells>
  <phoneticPr fontId="57" type="noConversion"/>
  <pageMargins left="0.41" right="0.31" top="0.45" bottom="0.75" header="0.3" footer="0.3"/>
  <pageSetup scale="79" fitToHeight="0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U22"/>
  <sheetViews>
    <sheetView workbookViewId="0">
      <selection activeCell="E12" sqref="E12"/>
    </sheetView>
  </sheetViews>
  <sheetFormatPr defaultRowHeight="14.25"/>
  <cols>
    <col min="1" max="1" width="5.375" customWidth="1"/>
    <col min="2" max="2" width="7.125" customWidth="1"/>
    <col min="3" max="3" width="12.75" customWidth="1"/>
    <col min="4" max="4" width="7.875" customWidth="1"/>
    <col min="14" max="14" width="13.125" bestFit="1" customWidth="1"/>
    <col min="16" max="16" width="11.75" bestFit="1" customWidth="1"/>
    <col min="20" max="20" width="14.875" bestFit="1" customWidth="1"/>
  </cols>
  <sheetData>
    <row r="1" spans="1:21" ht="15.75">
      <c r="A1" s="3751" t="s">
        <v>0</v>
      </c>
      <c r="B1" s="3751"/>
      <c r="C1" s="3751"/>
      <c r="D1" s="3751"/>
      <c r="E1" s="3751"/>
      <c r="F1" s="3751"/>
      <c r="G1" s="3751"/>
      <c r="H1" s="3751"/>
      <c r="I1" s="3751" t="s">
        <v>165</v>
      </c>
      <c r="J1" s="3751"/>
      <c r="K1" s="3751"/>
      <c r="L1" s="3751"/>
      <c r="M1" s="3751"/>
      <c r="N1" s="3751"/>
      <c r="O1" s="3751"/>
      <c r="P1" s="3751"/>
      <c r="Q1" s="3751"/>
    </row>
    <row r="2" spans="1:21" ht="15.75">
      <c r="A2" s="4130" t="s">
        <v>251</v>
      </c>
      <c r="B2" s="4130"/>
      <c r="C2" s="4130"/>
      <c r="D2" s="4130"/>
      <c r="E2" s="4130"/>
      <c r="F2" s="4130"/>
      <c r="G2" s="4130"/>
      <c r="H2" s="4130"/>
      <c r="I2" s="4130" t="s">
        <v>250</v>
      </c>
      <c r="J2" s="4130"/>
      <c r="K2" s="4130"/>
      <c r="L2" s="4130"/>
      <c r="M2" s="4130"/>
      <c r="N2" s="4130"/>
      <c r="O2" s="4130"/>
      <c r="P2" s="4130"/>
      <c r="Q2" s="4130"/>
    </row>
    <row r="3" spans="1:21" ht="15.75">
      <c r="A3" s="245"/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</row>
    <row r="4" spans="1:21" ht="15.75">
      <c r="A4" s="4265" t="s">
        <v>395</v>
      </c>
      <c r="B4" s="4265"/>
      <c r="C4" s="4265"/>
      <c r="D4" s="4265"/>
      <c r="E4" s="4265"/>
      <c r="F4" s="4265"/>
      <c r="G4" s="4265"/>
      <c r="H4" s="4265"/>
      <c r="I4" s="4265"/>
      <c r="J4" s="4265"/>
      <c r="K4" s="4265"/>
      <c r="L4" s="4265"/>
      <c r="M4" s="4265"/>
      <c r="N4" s="4265"/>
      <c r="O4" s="4265"/>
      <c r="P4" s="4265"/>
      <c r="Q4" s="4265"/>
    </row>
    <row r="5" spans="1:21" ht="15.75">
      <c r="A5" s="3751" t="s">
        <v>234</v>
      </c>
      <c r="B5" s="3751"/>
      <c r="C5" s="3751"/>
      <c r="D5" s="3751"/>
      <c r="E5" s="3751"/>
      <c r="F5" s="3751"/>
      <c r="G5" s="3751"/>
      <c r="H5" s="3751"/>
      <c r="I5" s="3751"/>
      <c r="J5" s="3751"/>
      <c r="K5" s="3751"/>
      <c r="L5" s="3751"/>
      <c r="M5" s="3751"/>
      <c r="N5" s="3751"/>
      <c r="O5" s="3751"/>
      <c r="P5" s="3751"/>
      <c r="Q5" s="3751"/>
    </row>
    <row r="6" spans="1:21" ht="15.75">
      <c r="A6" s="43"/>
      <c r="B6" s="44"/>
      <c r="C6" s="45"/>
      <c r="D6" s="44"/>
      <c r="E6" s="46"/>
      <c r="F6" s="47"/>
      <c r="G6" s="47"/>
      <c r="H6" s="46"/>
      <c r="I6" s="146"/>
      <c r="J6" s="48"/>
      <c r="K6" s="49"/>
      <c r="L6" s="49"/>
      <c r="M6" s="49"/>
      <c r="N6" s="49"/>
      <c r="O6" s="44"/>
      <c r="P6" s="234" t="s">
        <v>59</v>
      </c>
      <c r="Q6" s="44"/>
    </row>
    <row r="7" spans="1:21">
      <c r="A7" s="4274" t="s">
        <v>1</v>
      </c>
      <c r="B7" s="4276" t="s">
        <v>20</v>
      </c>
      <c r="C7" s="4277"/>
      <c r="D7" s="4274" t="s">
        <v>26</v>
      </c>
      <c r="E7" s="4280" t="s">
        <v>27</v>
      </c>
      <c r="F7" s="4281"/>
      <c r="G7" s="4281"/>
      <c r="H7" s="4281"/>
      <c r="I7" s="4281"/>
      <c r="J7" s="4281"/>
      <c r="K7" s="4281"/>
      <c r="L7" s="4281"/>
      <c r="M7" s="4282"/>
      <c r="N7" s="4283" t="s">
        <v>60</v>
      </c>
      <c r="O7" s="4284" t="s">
        <v>28</v>
      </c>
      <c r="P7" s="4284" t="s">
        <v>29</v>
      </c>
      <c r="Q7" s="4287" t="s">
        <v>9</v>
      </c>
    </row>
    <row r="8" spans="1:21">
      <c r="A8" s="4274"/>
      <c r="B8" s="4278"/>
      <c r="C8" s="4279"/>
      <c r="D8" s="4274"/>
      <c r="E8" s="4288" t="s">
        <v>30</v>
      </c>
      <c r="F8" s="4289"/>
      <c r="G8" s="4290"/>
      <c r="H8" s="4291" t="s">
        <v>31</v>
      </c>
      <c r="I8" s="4291"/>
      <c r="J8" s="4292"/>
      <c r="K8" s="4293" t="s">
        <v>32</v>
      </c>
      <c r="L8" s="4294"/>
      <c r="M8" s="4295"/>
      <c r="N8" s="4283"/>
      <c r="O8" s="4285"/>
      <c r="P8" s="4285"/>
      <c r="Q8" s="4274"/>
    </row>
    <row r="9" spans="1:21" ht="51">
      <c r="A9" s="4275"/>
      <c r="B9" s="68" t="s">
        <v>33</v>
      </c>
      <c r="C9" s="68" t="s">
        <v>4</v>
      </c>
      <c r="D9" s="4275"/>
      <c r="E9" s="69" t="s">
        <v>43</v>
      </c>
      <c r="F9" s="50" t="s">
        <v>34</v>
      </c>
      <c r="G9" s="67" t="s">
        <v>35</v>
      </c>
      <c r="H9" s="52" t="s">
        <v>36</v>
      </c>
      <c r="I9" s="51" t="s">
        <v>37</v>
      </c>
      <c r="J9" s="51" t="s">
        <v>38</v>
      </c>
      <c r="K9" s="66" t="s">
        <v>39</v>
      </c>
      <c r="L9" s="66" t="s">
        <v>186</v>
      </c>
      <c r="M9" s="65" t="s">
        <v>24</v>
      </c>
      <c r="N9" s="4283"/>
      <c r="O9" s="4286"/>
      <c r="P9" s="4286"/>
      <c r="Q9" s="4275"/>
    </row>
    <row r="10" spans="1:21" ht="49.5">
      <c r="A10" s="73" t="s">
        <v>66</v>
      </c>
      <c r="B10" s="73" t="s">
        <v>67</v>
      </c>
      <c r="C10" s="73" t="s">
        <v>81</v>
      </c>
      <c r="D10" s="73" t="s">
        <v>69</v>
      </c>
      <c r="E10" s="73" t="s">
        <v>70</v>
      </c>
      <c r="F10" s="73" t="s">
        <v>85</v>
      </c>
      <c r="G10" s="73" t="s">
        <v>73</v>
      </c>
      <c r="H10" s="74" t="s">
        <v>86</v>
      </c>
      <c r="I10" s="73" t="s">
        <v>87</v>
      </c>
      <c r="J10" s="73" t="s">
        <v>73</v>
      </c>
      <c r="K10" s="73" t="s">
        <v>88</v>
      </c>
      <c r="L10" s="73" t="s">
        <v>89</v>
      </c>
      <c r="M10" s="73" t="s">
        <v>73</v>
      </c>
      <c r="N10" s="73" t="s">
        <v>90</v>
      </c>
      <c r="O10" s="73" t="s">
        <v>91</v>
      </c>
      <c r="P10" s="73" t="s">
        <v>84</v>
      </c>
      <c r="Q10" s="73" t="s">
        <v>80</v>
      </c>
      <c r="U10">
        <f>17.65*25000</f>
        <v>441249.99999999994</v>
      </c>
    </row>
    <row r="11" spans="1:21" ht="18" customHeight="1">
      <c r="A11" s="70">
        <v>1</v>
      </c>
      <c r="B11" s="70">
        <v>2</v>
      </c>
      <c r="C11" s="70">
        <v>3</v>
      </c>
      <c r="D11" s="70">
        <v>4</v>
      </c>
      <c r="E11" s="70">
        <v>5</v>
      </c>
      <c r="F11" s="70">
        <v>6</v>
      </c>
      <c r="G11" s="70">
        <v>8</v>
      </c>
      <c r="H11" s="70">
        <v>9</v>
      </c>
      <c r="I11" s="70">
        <v>10</v>
      </c>
      <c r="J11" s="70">
        <v>11</v>
      </c>
      <c r="K11" s="70">
        <v>12</v>
      </c>
      <c r="L11" s="70">
        <v>13</v>
      </c>
      <c r="M11" s="70">
        <v>14</v>
      </c>
      <c r="N11" s="70">
        <v>15</v>
      </c>
      <c r="O11" s="70">
        <v>19</v>
      </c>
      <c r="P11" s="70">
        <v>21</v>
      </c>
      <c r="Q11" s="70">
        <v>22</v>
      </c>
    </row>
    <row r="12" spans="1:21" ht="18" customHeight="1">
      <c r="A12" s="457">
        <v>1</v>
      </c>
      <c r="B12" s="238"/>
      <c r="C12" s="362" t="s">
        <v>332</v>
      </c>
      <c r="D12" s="239"/>
      <c r="E12" s="265"/>
      <c r="F12" s="242">
        <v>25000</v>
      </c>
      <c r="G12" s="264">
        <f>ROUND(E12*F12,0)</f>
        <v>0</v>
      </c>
      <c r="H12" s="238"/>
      <c r="I12" s="238"/>
      <c r="J12" s="238"/>
      <c r="K12" s="238"/>
      <c r="L12" s="238"/>
      <c r="M12" s="238"/>
      <c r="N12" s="278">
        <f>G12+J12+M12</f>
        <v>0</v>
      </c>
      <c r="O12" s="238"/>
      <c r="P12" s="456">
        <f>N12</f>
        <v>0</v>
      </c>
      <c r="Q12" s="238"/>
      <c r="T12" s="458">
        <f>279.88*25000</f>
        <v>6997000</v>
      </c>
    </row>
    <row r="13" spans="1:21" ht="18" customHeight="1">
      <c r="A13" s="4271" t="s">
        <v>190</v>
      </c>
      <c r="B13" s="4272"/>
      <c r="C13" s="4272"/>
      <c r="D13" s="4273"/>
      <c r="E13" s="266">
        <f>SUM(E12:E12)</f>
        <v>0</v>
      </c>
      <c r="F13" s="232">
        <v>25000</v>
      </c>
      <c r="G13" s="267">
        <f>SUM(G12:G12)</f>
        <v>0</v>
      </c>
      <c r="H13" s="232"/>
      <c r="I13" s="232"/>
      <c r="J13" s="232"/>
      <c r="K13" s="232"/>
      <c r="L13" s="232"/>
      <c r="M13" s="232"/>
      <c r="N13" s="267">
        <f>SUM(N12:N12)</f>
        <v>0</v>
      </c>
      <c r="O13" s="267">
        <f>SUM(O12:O12)</f>
        <v>0</v>
      </c>
      <c r="P13" s="267">
        <f>SUM(P12:P12)</f>
        <v>0</v>
      </c>
      <c r="Q13" s="232"/>
      <c r="U13">
        <f>222.54*25000</f>
        <v>5563500</v>
      </c>
    </row>
    <row r="14" spans="1:21" ht="24" customHeight="1">
      <c r="A14" s="4250" t="s">
        <v>396</v>
      </c>
      <c r="B14" s="4250"/>
      <c r="C14" s="4250"/>
      <c r="D14" s="4250"/>
      <c r="E14" s="4250"/>
      <c r="F14" s="4250"/>
      <c r="G14" s="4250"/>
      <c r="H14" s="4250"/>
      <c r="I14" s="4250"/>
      <c r="J14" s="4250"/>
      <c r="K14" s="4250"/>
      <c r="L14" s="4250"/>
      <c r="M14" s="4250"/>
      <c r="N14" s="4250"/>
      <c r="O14" s="4250"/>
      <c r="P14" s="4250"/>
      <c r="Q14" s="4250"/>
    </row>
    <row r="15" spans="1:21" ht="15.75">
      <c r="A15" s="41"/>
      <c r="B15" s="42"/>
      <c r="C15" s="54"/>
      <c r="D15" s="42"/>
      <c r="E15" s="55"/>
      <c r="F15" s="42"/>
      <c r="G15" s="42"/>
      <c r="H15" s="55"/>
      <c r="I15" s="147"/>
      <c r="J15" s="56"/>
      <c r="K15" s="42"/>
      <c r="L15" s="42"/>
      <c r="M15" s="42"/>
      <c r="N15" s="4243" t="s">
        <v>394</v>
      </c>
      <c r="O15" s="4243"/>
      <c r="P15" s="4243"/>
      <c r="Q15" s="4243"/>
    </row>
    <row r="16" spans="1:21" ht="15.75">
      <c r="A16" s="3751" t="s">
        <v>45</v>
      </c>
      <c r="B16" s="3751"/>
      <c r="C16" s="3751"/>
      <c r="D16" s="39"/>
      <c r="E16" s="40"/>
      <c r="F16" s="3751" t="s">
        <v>44</v>
      </c>
      <c r="G16" s="3751"/>
      <c r="H16" s="3751"/>
      <c r="I16" s="39"/>
      <c r="J16" s="40"/>
      <c r="K16" s="3751" t="s">
        <v>167</v>
      </c>
      <c r="L16" s="3751"/>
      <c r="M16" s="3751"/>
      <c r="N16" s="40"/>
      <c r="O16" s="3751" t="s">
        <v>42</v>
      </c>
      <c r="P16" s="3751"/>
      <c r="Q16" s="3751"/>
    </row>
    <row r="17" spans="1:20" ht="15.75">
      <c r="A17" s="42"/>
      <c r="B17" s="42"/>
      <c r="C17" s="58"/>
      <c r="D17" s="42"/>
      <c r="E17" s="42"/>
      <c r="F17" s="42"/>
      <c r="G17" s="59"/>
      <c r="H17" s="59"/>
      <c r="I17" s="41"/>
      <c r="J17" s="60"/>
      <c r="K17" s="58"/>
      <c r="L17" s="58"/>
      <c r="M17" s="61"/>
      <c r="N17" s="42"/>
      <c r="O17" s="42"/>
      <c r="P17" s="42"/>
      <c r="Q17" s="42"/>
    </row>
    <row r="18" spans="1:20" ht="15.75">
      <c r="A18" s="42"/>
      <c r="B18" s="42"/>
      <c r="C18" s="42"/>
      <c r="D18" s="42"/>
      <c r="E18" s="42"/>
      <c r="F18" s="42"/>
      <c r="G18" s="42"/>
      <c r="H18" s="62"/>
      <c r="I18" s="41"/>
      <c r="J18" s="58"/>
      <c r="K18" s="42"/>
      <c r="L18" s="42"/>
      <c r="M18" s="58"/>
      <c r="N18" s="42"/>
      <c r="O18" s="42"/>
      <c r="P18" s="42"/>
      <c r="Q18" s="42"/>
      <c r="T18">
        <f>89.43*25000</f>
        <v>2235750</v>
      </c>
    </row>
    <row r="19" spans="1:20" ht="15.75">
      <c r="A19" s="42"/>
      <c r="B19" s="42"/>
      <c r="C19" s="42"/>
      <c r="D19" s="42"/>
      <c r="E19" s="42"/>
      <c r="F19" s="42"/>
      <c r="G19" s="42"/>
      <c r="H19" s="62"/>
      <c r="I19" s="41"/>
      <c r="J19" s="42"/>
      <c r="K19" s="42"/>
      <c r="L19" s="42"/>
      <c r="M19" s="42"/>
      <c r="N19" s="42"/>
      <c r="O19" s="42"/>
      <c r="P19" s="42"/>
      <c r="Q19" s="42"/>
    </row>
    <row r="20" spans="1:20" ht="15.75">
      <c r="A20" s="42"/>
      <c r="B20" s="42"/>
      <c r="C20" s="42"/>
      <c r="D20" s="42"/>
      <c r="E20" s="42"/>
      <c r="F20" s="42"/>
      <c r="G20" s="42"/>
      <c r="H20" s="55"/>
      <c r="I20" s="41"/>
      <c r="J20" s="42"/>
      <c r="K20" s="42"/>
      <c r="L20" s="42"/>
      <c r="M20" s="42"/>
      <c r="N20" s="42"/>
      <c r="O20" s="42"/>
      <c r="P20" s="42"/>
      <c r="Q20" s="42"/>
    </row>
    <row r="21" spans="1:20" ht="15.75">
      <c r="A21" s="42"/>
      <c r="B21" s="42"/>
      <c r="C21" s="42"/>
      <c r="D21" s="42"/>
      <c r="E21" s="42"/>
      <c r="F21" s="42"/>
      <c r="G21" s="42"/>
      <c r="H21" s="55"/>
      <c r="I21" s="41"/>
      <c r="J21" s="42"/>
      <c r="K21" s="42"/>
      <c r="L21" s="42"/>
      <c r="M21" s="42"/>
      <c r="N21" s="42"/>
      <c r="O21" s="42"/>
      <c r="P21" s="42"/>
      <c r="Q21" s="42"/>
    </row>
    <row r="22" spans="1:20" ht="15.75">
      <c r="A22" s="140"/>
      <c r="B22" s="140"/>
      <c r="C22" s="140"/>
      <c r="D22" s="140"/>
      <c r="E22" s="140"/>
      <c r="F22" s="140"/>
      <c r="G22" s="140"/>
      <c r="H22" s="141"/>
      <c r="I22" s="148"/>
      <c r="J22" s="140"/>
      <c r="K22" s="4241"/>
      <c r="L22" s="4241"/>
      <c r="M22" s="4241"/>
      <c r="N22" s="140"/>
      <c r="O22" s="3751" t="s">
        <v>337</v>
      </c>
      <c r="P22" s="3751"/>
      <c r="Q22" s="3751"/>
    </row>
  </sheetData>
  <mergeCells count="26">
    <mergeCell ref="N7:N9"/>
    <mergeCell ref="O7:O9"/>
    <mergeCell ref="A1:H1"/>
    <mergeCell ref="I1:Q1"/>
    <mergeCell ref="A2:H2"/>
    <mergeCell ref="I2:Q2"/>
    <mergeCell ref="A4:Q4"/>
    <mergeCell ref="A5:Q5"/>
    <mergeCell ref="P7:P9"/>
    <mergeCell ref="Q7:Q9"/>
    <mergeCell ref="E8:G8"/>
    <mergeCell ref="H8:J8"/>
    <mergeCell ref="K8:M8"/>
    <mergeCell ref="A13:D13"/>
    <mergeCell ref="A7:A9"/>
    <mergeCell ref="B7:C8"/>
    <mergeCell ref="D7:D9"/>
    <mergeCell ref="E7:M7"/>
    <mergeCell ref="K22:M22"/>
    <mergeCell ref="O22:Q22"/>
    <mergeCell ref="A14:Q14"/>
    <mergeCell ref="A16:C16"/>
    <mergeCell ref="F16:H16"/>
    <mergeCell ref="K16:M16"/>
    <mergeCell ref="O16:Q16"/>
    <mergeCell ref="N15:Q15"/>
  </mergeCells>
  <phoneticPr fontId="57" type="noConversion"/>
  <pageMargins left="0.39" right="0.17" top="0.41" bottom="0.75" header="0.3" footer="0.3"/>
  <pageSetup scale="83" fitToHeight="0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  <pageSetUpPr fitToPage="1"/>
  </sheetPr>
  <dimension ref="A1:Q25"/>
  <sheetViews>
    <sheetView workbookViewId="0">
      <selection activeCell="F14" sqref="F14"/>
    </sheetView>
  </sheetViews>
  <sheetFormatPr defaultColWidth="9.375" defaultRowHeight="15"/>
  <cols>
    <col min="1" max="1" width="3.375" style="1" bestFit="1" customWidth="1"/>
    <col min="2" max="2" width="12.25" style="1" customWidth="1"/>
    <col min="3" max="3" width="15.875" style="1" customWidth="1"/>
    <col min="4" max="4" width="16.125" style="1" customWidth="1"/>
    <col min="5" max="5" width="8.75" style="1" customWidth="1"/>
    <col min="6" max="6" width="8.375" style="1" bestFit="1" customWidth="1"/>
    <col min="7" max="7" width="7.125" style="1" customWidth="1"/>
    <col min="8" max="8" width="10.375" style="2" customWidth="1"/>
    <col min="9" max="9" width="14.125" style="1" customWidth="1"/>
    <col min="10" max="10" width="10.875" style="1" customWidth="1"/>
    <col min="11" max="11" width="11.125" style="1" customWidth="1"/>
    <col min="12" max="12" width="10.375" style="1" bestFit="1" customWidth="1"/>
    <col min="13" max="13" width="10.25" style="1" customWidth="1"/>
    <col min="14" max="14" width="11" style="1" customWidth="1"/>
    <col min="15" max="15" width="13.25" style="1" customWidth="1"/>
    <col min="16" max="16" width="27.375" style="1" customWidth="1"/>
    <col min="17" max="16384" width="9.375" style="1"/>
  </cols>
  <sheetData>
    <row r="1" spans="1:17" ht="15.75">
      <c r="A1" s="4244" t="s">
        <v>574</v>
      </c>
      <c r="B1" s="4244"/>
      <c r="C1" s="4244"/>
      <c r="D1" s="4244"/>
      <c r="E1" s="4244"/>
      <c r="F1" s="4244"/>
      <c r="H1" s="3751" t="s">
        <v>165</v>
      </c>
      <c r="I1" s="3751"/>
      <c r="J1" s="3751"/>
      <c r="K1" s="3751"/>
      <c r="L1" s="3751"/>
      <c r="M1" s="3751"/>
      <c r="N1" s="3751"/>
      <c r="O1" s="3751"/>
      <c r="P1" s="40"/>
      <c r="Q1" s="40"/>
    </row>
    <row r="2" spans="1:17" ht="15.75">
      <c r="A2" s="4301" t="s">
        <v>262</v>
      </c>
      <c r="B2" s="4301"/>
      <c r="C2" s="4301"/>
      <c r="D2" s="4301"/>
      <c r="E2" s="4301"/>
      <c r="F2" s="4301"/>
      <c r="H2" s="4302" t="s">
        <v>250</v>
      </c>
      <c r="I2" s="4302"/>
      <c r="J2" s="4302"/>
      <c r="K2" s="4302"/>
      <c r="L2" s="4302"/>
      <c r="M2" s="4302"/>
      <c r="N2" s="4302"/>
      <c r="O2" s="4302"/>
      <c r="P2" s="40"/>
      <c r="Q2" s="40"/>
    </row>
    <row r="3" spans="1:17" ht="29.25" customHeight="1">
      <c r="A3" s="4074" t="s">
        <v>589</v>
      </c>
      <c r="B3" s="4074"/>
      <c r="C3" s="4074"/>
      <c r="D3" s="4074"/>
      <c r="E3" s="4074"/>
      <c r="F3" s="4074"/>
      <c r="G3" s="4074"/>
      <c r="H3" s="4074"/>
      <c r="I3" s="4074"/>
      <c r="J3" s="4074"/>
      <c r="K3" s="4074"/>
      <c r="L3" s="4074"/>
      <c r="M3" s="4074"/>
      <c r="N3" s="4074"/>
      <c r="O3" s="4074"/>
    </row>
    <row r="4" spans="1:17" ht="18.75">
      <c r="A4" s="4074" t="s">
        <v>235</v>
      </c>
      <c r="B4" s="4074"/>
      <c r="C4" s="4074"/>
      <c r="D4" s="4074"/>
      <c r="E4" s="4074"/>
      <c r="F4" s="4074"/>
      <c r="G4" s="4074"/>
      <c r="H4" s="4074"/>
      <c r="I4" s="4074"/>
      <c r="J4" s="4074"/>
      <c r="K4" s="4074"/>
      <c r="L4" s="4074"/>
      <c r="M4" s="4074"/>
      <c r="N4" s="4074"/>
      <c r="O4" s="4074"/>
    </row>
    <row r="5" spans="1:17" ht="6.75" customHeight="1"/>
    <row r="6" spans="1:17">
      <c r="A6" s="4300" t="s">
        <v>65</v>
      </c>
      <c r="B6" s="4300"/>
      <c r="C6" s="4300"/>
      <c r="D6" s="4300"/>
      <c r="E6" s="1">
        <f>'C.B NV'!F6</f>
        <v>9069</v>
      </c>
    </row>
    <row r="7" spans="1:17">
      <c r="A7" s="4300" t="s">
        <v>64</v>
      </c>
      <c r="B7" s="4300"/>
      <c r="C7" s="4300"/>
      <c r="D7" s="4300"/>
      <c r="E7" s="227">
        <f>'C.B NV'!F7</f>
        <v>0.42609999999999998</v>
      </c>
    </row>
    <row r="8" spans="1:17" ht="8.25" customHeight="1"/>
    <row r="9" spans="1:17" ht="20.25" customHeight="1">
      <c r="A9" s="4066" t="s">
        <v>1</v>
      </c>
      <c r="B9" s="4297" t="s">
        <v>2</v>
      </c>
      <c r="C9" s="4297"/>
      <c r="D9" s="4296" t="s">
        <v>5</v>
      </c>
      <c r="E9" s="4297" t="s">
        <v>6</v>
      </c>
      <c r="F9" s="4297"/>
      <c r="G9" s="4297"/>
      <c r="H9" s="4297"/>
      <c r="I9" s="4297"/>
      <c r="J9" s="4297" t="s">
        <v>8</v>
      </c>
      <c r="K9" s="4296" t="s">
        <v>10</v>
      </c>
      <c r="L9" s="4296" t="s">
        <v>11</v>
      </c>
      <c r="M9" s="4296" t="s">
        <v>12</v>
      </c>
      <c r="N9" s="4296" t="s">
        <v>16</v>
      </c>
      <c r="O9" s="4296" t="s">
        <v>17</v>
      </c>
    </row>
    <row r="10" spans="1:17" ht="42.75">
      <c r="A10" s="4066"/>
      <c r="B10" s="3" t="s">
        <v>3</v>
      </c>
      <c r="C10" s="3" t="s">
        <v>4</v>
      </c>
      <c r="D10" s="4296"/>
      <c r="E10" s="4" t="s">
        <v>13</v>
      </c>
      <c r="F10" s="4" t="s">
        <v>14</v>
      </c>
      <c r="G10" s="3" t="s">
        <v>7</v>
      </c>
      <c r="H10" s="5" t="s">
        <v>15</v>
      </c>
      <c r="I10" s="4" t="s">
        <v>25</v>
      </c>
      <c r="J10" s="4297"/>
      <c r="K10" s="4296"/>
      <c r="L10" s="4297"/>
      <c r="M10" s="4297"/>
      <c r="N10" s="4297"/>
      <c r="O10" s="4297"/>
    </row>
    <row r="11" spans="1:17" ht="16.5">
      <c r="A11" s="71" t="s">
        <v>66</v>
      </c>
      <c r="B11" s="71" t="s">
        <v>67</v>
      </c>
      <c r="C11" s="71" t="s">
        <v>81</v>
      </c>
      <c r="D11" s="71" t="s">
        <v>69</v>
      </c>
      <c r="E11" s="71" t="s">
        <v>70</v>
      </c>
      <c r="F11" s="71" t="s">
        <v>72</v>
      </c>
      <c r="G11" s="71" t="s">
        <v>72</v>
      </c>
      <c r="H11" s="72" t="s">
        <v>73</v>
      </c>
      <c r="I11" s="71" t="s">
        <v>74</v>
      </c>
      <c r="J11" s="71" t="s">
        <v>75</v>
      </c>
      <c r="K11" s="71" t="s">
        <v>82</v>
      </c>
      <c r="L11" s="71" t="s">
        <v>77</v>
      </c>
      <c r="M11" s="71" t="s">
        <v>83</v>
      </c>
      <c r="N11" s="71" t="s">
        <v>79</v>
      </c>
      <c r="O11" s="71" t="s">
        <v>80</v>
      </c>
    </row>
    <row r="12" spans="1:17" s="144" customFormat="1" ht="20.100000000000001" customHeight="1">
      <c r="A12" s="583">
        <v>1</v>
      </c>
      <c r="B12" s="319"/>
      <c r="C12" s="319" t="s">
        <v>274</v>
      </c>
      <c r="D12" s="584" t="s">
        <v>258</v>
      </c>
      <c r="E12" s="21" t="e">
        <f>VLOOKUP(C12,#REF!,33,0)</f>
        <v>#REF!</v>
      </c>
      <c r="F12" s="585" t="e">
        <f>900000/E12</f>
        <v>#REF!</v>
      </c>
      <c r="G12" s="586" t="s">
        <v>247</v>
      </c>
      <c r="H12" s="585" t="e">
        <f>E12*F12</f>
        <v>#REF!</v>
      </c>
      <c r="I12" s="587" t="e">
        <f>H12</f>
        <v>#REF!</v>
      </c>
      <c r="J12" s="585"/>
      <c r="K12" s="587" t="e">
        <f>I12-J12</f>
        <v>#REF!</v>
      </c>
      <c r="L12" s="585"/>
      <c r="M12" s="585"/>
      <c r="N12" s="587" t="e">
        <f>ROUND(K12-L12-M12,0)</f>
        <v>#REF!</v>
      </c>
      <c r="O12" s="583"/>
    </row>
    <row r="13" spans="1:17" s="144" customFormat="1" ht="20.100000000000001" customHeight="1">
      <c r="A13" s="38">
        <v>2</v>
      </c>
      <c r="B13" s="588"/>
      <c r="C13" s="588" t="s">
        <v>275</v>
      </c>
      <c r="D13" s="589" t="s">
        <v>258</v>
      </c>
      <c r="E13" s="21" t="e">
        <f>VLOOKUP(C13,#REF!,33,0)</f>
        <v>#REF!</v>
      </c>
      <c r="F13" s="590" t="e">
        <f>900000/E13</f>
        <v>#REF!</v>
      </c>
      <c r="G13" s="591" t="s">
        <v>247</v>
      </c>
      <c r="H13" s="590" t="e">
        <f>E13*F13</f>
        <v>#REF!</v>
      </c>
      <c r="I13" s="592" t="e">
        <f>H13</f>
        <v>#REF!</v>
      </c>
      <c r="J13" s="590"/>
      <c r="K13" s="592" t="e">
        <f>I13-J13</f>
        <v>#REF!</v>
      </c>
      <c r="L13" s="590"/>
      <c r="M13" s="590"/>
      <c r="N13" s="592" t="e">
        <f>ROUND(K13-L13-M13,0)</f>
        <v>#REF!</v>
      </c>
      <c r="O13" s="38"/>
    </row>
    <row r="14" spans="1:17" s="144" customFormat="1" ht="20.100000000000001" customHeight="1">
      <c r="A14" s="38">
        <v>3</v>
      </c>
      <c r="B14" s="588"/>
      <c r="C14" s="588" t="s">
        <v>276</v>
      </c>
      <c r="D14" s="589" t="s">
        <v>258</v>
      </c>
      <c r="E14" s="21" t="e">
        <f>VLOOKUP(C14,#REF!,33,0)</f>
        <v>#REF!</v>
      </c>
      <c r="F14" s="590" t="e">
        <f>900000/E14</f>
        <v>#REF!</v>
      </c>
      <c r="G14" s="591" t="s">
        <v>247</v>
      </c>
      <c r="H14" s="590" t="e">
        <f>E14*F14</f>
        <v>#REF!</v>
      </c>
      <c r="I14" s="592" t="e">
        <f>H14</f>
        <v>#REF!</v>
      </c>
      <c r="J14" s="590"/>
      <c r="K14" s="592" t="e">
        <f>I14-J14</f>
        <v>#REF!</v>
      </c>
      <c r="L14" s="590"/>
      <c r="M14" s="590"/>
      <c r="N14" s="592" t="e">
        <f>ROUND(K14-L14-M14,0)</f>
        <v>#REF!</v>
      </c>
      <c r="O14" s="38"/>
    </row>
    <row r="15" spans="1:17" s="144" customFormat="1" ht="20.100000000000001" customHeight="1">
      <c r="A15" s="4297" t="s">
        <v>62</v>
      </c>
      <c r="B15" s="4297"/>
      <c r="C15" s="4297"/>
      <c r="D15" s="4297"/>
      <c r="E15" s="145" t="e">
        <f>SUM(E12:E14)</f>
        <v>#REF!</v>
      </c>
      <c r="F15" s="237" t="e">
        <f>F14</f>
        <v>#REF!</v>
      </c>
      <c r="G15" s="145" t="str">
        <f>G14</f>
        <v>Kíp</v>
      </c>
      <c r="H15" s="237" t="e">
        <f t="shared" ref="H15:N15" si="0">SUM(H12:H14)</f>
        <v>#REF!</v>
      </c>
      <c r="I15" s="237" t="e">
        <f t="shared" si="0"/>
        <v>#REF!</v>
      </c>
      <c r="J15" s="237">
        <f t="shared" si="0"/>
        <v>0</v>
      </c>
      <c r="K15" s="237" t="e">
        <f t="shared" si="0"/>
        <v>#REF!</v>
      </c>
      <c r="L15" s="237">
        <f t="shared" si="0"/>
        <v>0</v>
      </c>
      <c r="M15" s="237">
        <f t="shared" si="0"/>
        <v>0</v>
      </c>
      <c r="N15" s="237" t="e">
        <f t="shared" si="0"/>
        <v>#REF!</v>
      </c>
      <c r="O15" s="3"/>
      <c r="P15" s="387"/>
      <c r="Q15" s="236"/>
    </row>
    <row r="16" spans="1:17" ht="20.100000000000001" customHeight="1">
      <c r="A16" s="4299" t="s">
        <v>571</v>
      </c>
      <c r="B16" s="4299"/>
      <c r="C16" s="4299"/>
      <c r="D16" s="4299"/>
      <c r="E16" s="4299"/>
      <c r="F16" s="4299"/>
      <c r="G16" s="4299"/>
      <c r="H16" s="4299"/>
      <c r="I16" s="4299"/>
      <c r="J16" s="4299"/>
      <c r="K16" s="4299"/>
      <c r="L16" s="4299"/>
      <c r="M16" s="4299"/>
      <c r="N16" s="4299"/>
      <c r="O16" s="4299"/>
    </row>
    <row r="17" spans="1:16" ht="20.100000000000001" customHeight="1">
      <c r="A17" s="41"/>
      <c r="B17" s="42"/>
      <c r="C17" s="54"/>
      <c r="D17" s="42"/>
      <c r="E17" s="55"/>
      <c r="F17" s="42"/>
      <c r="G17" s="42"/>
      <c r="H17" s="56"/>
      <c r="I17" s="56"/>
      <c r="J17" s="42"/>
      <c r="K17" s="42"/>
      <c r="L17" s="4243" t="s">
        <v>587</v>
      </c>
      <c r="M17" s="4243"/>
      <c r="N17" s="4243"/>
      <c r="O17" s="4243"/>
      <c r="P17" s="58"/>
    </row>
    <row r="18" spans="1:16" ht="15.75">
      <c r="A18" s="3751" t="s">
        <v>45</v>
      </c>
      <c r="B18" s="3751"/>
      <c r="C18" s="3751"/>
      <c r="D18" s="3751"/>
      <c r="E18" s="40"/>
      <c r="F18" s="3751" t="s">
        <v>44</v>
      </c>
      <c r="G18" s="3751"/>
      <c r="H18" s="3751"/>
      <c r="J18" s="3751" t="s">
        <v>167</v>
      </c>
      <c r="K18" s="3751"/>
      <c r="L18" s="40"/>
      <c r="M18" s="3751" t="s">
        <v>42</v>
      </c>
      <c r="N18" s="3751"/>
      <c r="O18" s="3751"/>
      <c r="P18" s="40"/>
    </row>
    <row r="24" spans="1:16" s="142" customFormat="1" ht="15.75">
      <c r="H24" s="143"/>
      <c r="I24" s="112"/>
      <c r="J24" s="4241" t="s">
        <v>336</v>
      </c>
      <c r="K24" s="4241"/>
      <c r="L24" s="112"/>
      <c r="M24" s="4298" t="s">
        <v>337</v>
      </c>
      <c r="N24" s="4298"/>
      <c r="O24" s="4298"/>
    </row>
    <row r="25" spans="1:16" s="142" customFormat="1">
      <c r="H25" s="143"/>
    </row>
  </sheetData>
  <mergeCells count="27">
    <mergeCell ref="A7:D7"/>
    <mergeCell ref="A15:D15"/>
    <mergeCell ref="K9:K10"/>
    <mergeCell ref="B9:C9"/>
    <mergeCell ref="D9:D10"/>
    <mergeCell ref="E9:I9"/>
    <mergeCell ref="J9:J10"/>
    <mergeCell ref="A1:F1"/>
    <mergeCell ref="A3:O3"/>
    <mergeCell ref="A4:O4"/>
    <mergeCell ref="A6:D6"/>
    <mergeCell ref="A2:F2"/>
    <mergeCell ref="H1:O1"/>
    <mergeCell ref="H2:O2"/>
    <mergeCell ref="J24:K24"/>
    <mergeCell ref="J18:K18"/>
    <mergeCell ref="N9:N10"/>
    <mergeCell ref="O9:O10"/>
    <mergeCell ref="L9:L10"/>
    <mergeCell ref="M24:O24"/>
    <mergeCell ref="M18:O18"/>
    <mergeCell ref="A16:O16"/>
    <mergeCell ref="A9:A10"/>
    <mergeCell ref="M9:M10"/>
    <mergeCell ref="L17:O17"/>
    <mergeCell ref="F18:H18"/>
    <mergeCell ref="A18:D18"/>
  </mergeCells>
  <phoneticPr fontId="57" type="noConversion"/>
  <pageMargins left="0.54" right="0.22" top="0.44" bottom="0.49" header="0.3" footer="0.3"/>
  <pageSetup paperSize="9" scale="84" fitToHeight="0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W23"/>
  <sheetViews>
    <sheetView zoomScale="90" zoomScaleNormal="90" workbookViewId="0">
      <selection activeCell="E15" sqref="E15"/>
    </sheetView>
  </sheetViews>
  <sheetFormatPr defaultColWidth="11.375" defaultRowHeight="15.75"/>
  <cols>
    <col min="1" max="1" width="5.375" style="41" customWidth="1"/>
    <col min="2" max="2" width="7.875" style="42" customWidth="1"/>
    <col min="3" max="3" width="12.375" style="54" customWidth="1"/>
    <col min="4" max="4" width="9.375" style="42" customWidth="1"/>
    <col min="5" max="5" width="9" style="55" customWidth="1"/>
    <col min="6" max="6" width="7.625" style="42" bestFit="1" customWidth="1"/>
    <col min="7" max="7" width="13.125" style="42" customWidth="1"/>
    <col min="8" max="8" width="7.75" style="55" customWidth="1"/>
    <col min="9" max="9" width="8" style="147" customWidth="1"/>
    <col min="10" max="10" width="7.25" style="56" customWidth="1"/>
    <col min="11" max="11" width="9.375" style="42" customWidth="1"/>
    <col min="12" max="12" width="10.25" style="42" customWidth="1"/>
    <col min="13" max="13" width="7.25" style="42" customWidth="1"/>
    <col min="14" max="14" width="13" style="42" customWidth="1"/>
    <col min="15" max="15" width="7.875" style="42" customWidth="1"/>
    <col min="16" max="16" width="10.875" style="42" customWidth="1"/>
    <col min="17" max="17" width="12.75" style="42" customWidth="1"/>
    <col min="18" max="238" width="9.375" style="42" customWidth="1"/>
    <col min="239" max="239" width="5.375" style="42" customWidth="1"/>
    <col min="240" max="240" width="16.125" style="42" customWidth="1"/>
    <col min="241" max="241" width="18.875" style="42" customWidth="1"/>
    <col min="242" max="242" width="9.375" style="42" customWidth="1"/>
    <col min="243" max="243" width="6.75" style="42" customWidth="1"/>
    <col min="244" max="244" width="6.25" style="42" customWidth="1"/>
    <col min="245" max="245" width="8.625" style="42" customWidth="1"/>
    <col min="246" max="246" width="8.375" style="42" customWidth="1"/>
    <col min="247" max="247" width="5.75" style="42" customWidth="1"/>
    <col min="248" max="248" width="6.25" style="42" customWidth="1"/>
    <col min="249" max="16384" width="11.375" style="42"/>
  </cols>
  <sheetData>
    <row r="1" spans="1:23">
      <c r="A1" s="3751" t="s">
        <v>0</v>
      </c>
      <c r="B1" s="3751"/>
      <c r="C1" s="3751"/>
      <c r="D1" s="3751"/>
      <c r="E1" s="3751"/>
      <c r="F1" s="3751"/>
      <c r="G1" s="3751"/>
      <c r="H1" s="3751"/>
      <c r="I1" s="3751" t="s">
        <v>165</v>
      </c>
      <c r="J1" s="3751"/>
      <c r="K1" s="3751"/>
      <c r="L1" s="3751"/>
      <c r="M1" s="3751"/>
      <c r="N1" s="3751"/>
      <c r="O1" s="3751"/>
      <c r="P1" s="3751"/>
      <c r="Q1" s="3751"/>
      <c r="R1" s="40"/>
      <c r="S1" s="40"/>
    </row>
    <row r="2" spans="1:23">
      <c r="A2" s="3751" t="s">
        <v>251</v>
      </c>
      <c r="B2" s="3751"/>
      <c r="C2" s="3751"/>
      <c r="D2" s="3751"/>
      <c r="E2" s="3751"/>
      <c r="F2" s="3751"/>
      <c r="G2" s="3751"/>
      <c r="H2" s="3751"/>
      <c r="I2" s="3751" t="s">
        <v>250</v>
      </c>
      <c r="J2" s="3751"/>
      <c r="K2" s="3751"/>
      <c r="L2" s="3751"/>
      <c r="M2" s="3751"/>
      <c r="N2" s="3751"/>
      <c r="O2" s="3751"/>
      <c r="P2" s="3751"/>
      <c r="Q2" s="3751"/>
      <c r="R2" s="40"/>
      <c r="S2" s="40"/>
    </row>
    <row r="3" spans="1:23" s="40" customFormat="1" ht="20.25" customHeight="1">
      <c r="A3" s="4265" t="s">
        <v>388</v>
      </c>
      <c r="B3" s="4265"/>
      <c r="C3" s="4265"/>
      <c r="D3" s="4265"/>
      <c r="E3" s="4265"/>
      <c r="F3" s="4265"/>
      <c r="G3" s="4265"/>
      <c r="H3" s="4265"/>
      <c r="I3" s="4265"/>
      <c r="J3" s="4265"/>
      <c r="K3" s="4265"/>
      <c r="L3" s="4265"/>
      <c r="M3" s="4265"/>
      <c r="N3" s="4265"/>
      <c r="O3" s="4265"/>
      <c r="P3" s="4265"/>
      <c r="Q3" s="4265"/>
    </row>
    <row r="4" spans="1:23" s="40" customFormat="1" ht="18" customHeight="1">
      <c r="A4" s="3751" t="s">
        <v>234</v>
      </c>
      <c r="B4" s="3751"/>
      <c r="C4" s="3751"/>
      <c r="D4" s="3751"/>
      <c r="E4" s="3751"/>
      <c r="F4" s="3751"/>
      <c r="G4" s="3751"/>
      <c r="H4" s="3751"/>
      <c r="I4" s="3751"/>
      <c r="J4" s="3751"/>
      <c r="K4" s="3751"/>
      <c r="L4" s="3751"/>
      <c r="M4" s="3751"/>
      <c r="N4" s="3751"/>
      <c r="O4" s="3751"/>
      <c r="P4" s="3751"/>
      <c r="Q4" s="3751"/>
    </row>
    <row r="5" spans="1:23">
      <c r="A5" s="43"/>
      <c r="B5" s="44"/>
      <c r="C5" s="45"/>
      <c r="D5" s="44"/>
      <c r="E5" s="46"/>
      <c r="F5" s="47"/>
      <c r="G5" s="47"/>
      <c r="H5" s="46"/>
      <c r="I5" s="146"/>
      <c r="J5" s="48"/>
      <c r="K5" s="49"/>
      <c r="L5" s="49"/>
      <c r="M5" s="49"/>
      <c r="N5" s="49"/>
      <c r="O5" s="44"/>
      <c r="P5" s="234" t="s">
        <v>59</v>
      </c>
      <c r="Q5" s="44"/>
    </row>
    <row r="6" spans="1:23" s="39" customFormat="1" ht="17.25" customHeight="1">
      <c r="A6" s="4274" t="s">
        <v>1</v>
      </c>
      <c r="B6" s="4276" t="s">
        <v>20</v>
      </c>
      <c r="C6" s="4277"/>
      <c r="D6" s="4274" t="s">
        <v>26</v>
      </c>
      <c r="E6" s="4280" t="s">
        <v>27</v>
      </c>
      <c r="F6" s="4281"/>
      <c r="G6" s="4281"/>
      <c r="H6" s="4281"/>
      <c r="I6" s="4281"/>
      <c r="J6" s="4281"/>
      <c r="K6" s="4281"/>
      <c r="L6" s="4281"/>
      <c r="M6" s="4282"/>
      <c r="N6" s="4283" t="s">
        <v>60</v>
      </c>
      <c r="O6" s="4284" t="s">
        <v>28</v>
      </c>
      <c r="P6" s="4284" t="s">
        <v>29</v>
      </c>
      <c r="Q6" s="4287" t="s">
        <v>9</v>
      </c>
    </row>
    <row r="7" spans="1:23" s="39" customFormat="1" ht="20.25" customHeight="1">
      <c r="A7" s="4274"/>
      <c r="B7" s="4278"/>
      <c r="C7" s="4279"/>
      <c r="D7" s="4274"/>
      <c r="E7" s="4288" t="s">
        <v>30</v>
      </c>
      <c r="F7" s="4289"/>
      <c r="G7" s="4290"/>
      <c r="H7" s="4291" t="s">
        <v>31</v>
      </c>
      <c r="I7" s="4291"/>
      <c r="J7" s="4292"/>
      <c r="K7" s="4293" t="s">
        <v>32</v>
      </c>
      <c r="L7" s="4294"/>
      <c r="M7" s="4295"/>
      <c r="N7" s="4283"/>
      <c r="O7" s="4285"/>
      <c r="P7" s="4285"/>
      <c r="Q7" s="4274"/>
    </row>
    <row r="8" spans="1:23" s="53" customFormat="1" ht="51">
      <c r="A8" s="4275"/>
      <c r="B8" s="68" t="s">
        <v>33</v>
      </c>
      <c r="C8" s="68" t="s">
        <v>4</v>
      </c>
      <c r="D8" s="4275"/>
      <c r="E8" s="69" t="s">
        <v>43</v>
      </c>
      <c r="F8" s="50" t="s">
        <v>34</v>
      </c>
      <c r="G8" s="67" t="s">
        <v>35</v>
      </c>
      <c r="H8" s="52" t="s">
        <v>36</v>
      </c>
      <c r="I8" s="51" t="s">
        <v>37</v>
      </c>
      <c r="J8" s="51" t="s">
        <v>38</v>
      </c>
      <c r="K8" s="66" t="s">
        <v>39</v>
      </c>
      <c r="L8" s="66" t="s">
        <v>186</v>
      </c>
      <c r="M8" s="65" t="s">
        <v>24</v>
      </c>
      <c r="N8" s="4283"/>
      <c r="O8" s="4286"/>
      <c r="P8" s="4286"/>
      <c r="Q8" s="4275"/>
      <c r="T8" s="53">
        <f>33.95*25000</f>
        <v>848750.00000000012</v>
      </c>
    </row>
    <row r="9" spans="1:23" s="53" customFormat="1" ht="56.25" hidden="1" customHeight="1">
      <c r="A9" s="73" t="s">
        <v>66</v>
      </c>
      <c r="B9" s="73" t="s">
        <v>67</v>
      </c>
      <c r="C9" s="73" t="s">
        <v>81</v>
      </c>
      <c r="D9" s="73" t="s">
        <v>69</v>
      </c>
      <c r="E9" s="73" t="s">
        <v>70</v>
      </c>
      <c r="F9" s="73" t="s">
        <v>85</v>
      </c>
      <c r="G9" s="73" t="s">
        <v>73</v>
      </c>
      <c r="H9" s="74" t="s">
        <v>86</v>
      </c>
      <c r="I9" s="73" t="s">
        <v>87</v>
      </c>
      <c r="J9" s="73" t="s">
        <v>73</v>
      </c>
      <c r="K9" s="73" t="s">
        <v>88</v>
      </c>
      <c r="L9" s="73" t="s">
        <v>89</v>
      </c>
      <c r="M9" s="73" t="s">
        <v>73</v>
      </c>
      <c r="N9" s="73" t="s">
        <v>90</v>
      </c>
      <c r="O9" s="73" t="s">
        <v>91</v>
      </c>
      <c r="P9" s="73" t="s">
        <v>84</v>
      </c>
      <c r="Q9" s="73" t="s">
        <v>80</v>
      </c>
    </row>
    <row r="10" spans="1:23" s="279" customFormat="1" ht="22.5" customHeight="1">
      <c r="A10" s="452">
        <v>1</v>
      </c>
      <c r="B10" s="452">
        <v>2</v>
      </c>
      <c r="C10" s="452">
        <v>3</v>
      </c>
      <c r="D10" s="452">
        <v>4</v>
      </c>
      <c r="E10" s="452">
        <v>5</v>
      </c>
      <c r="F10" s="452">
        <v>6</v>
      </c>
      <c r="G10" s="452">
        <v>8</v>
      </c>
      <c r="H10" s="452">
        <v>9</v>
      </c>
      <c r="I10" s="452">
        <v>10</v>
      </c>
      <c r="J10" s="452">
        <v>11</v>
      </c>
      <c r="K10" s="452">
        <v>12</v>
      </c>
      <c r="L10" s="452">
        <v>13</v>
      </c>
      <c r="M10" s="452">
        <v>14</v>
      </c>
      <c r="N10" s="452">
        <v>15</v>
      </c>
      <c r="O10" s="452">
        <v>19</v>
      </c>
      <c r="P10" s="452">
        <v>21</v>
      </c>
      <c r="Q10" s="452">
        <v>22</v>
      </c>
    </row>
    <row r="11" spans="1:23" s="279" customFormat="1" ht="27" customHeight="1">
      <c r="A11" s="353">
        <v>1</v>
      </c>
      <c r="B11" s="354"/>
      <c r="C11" s="403" t="s">
        <v>399</v>
      </c>
      <c r="D11" s="355" t="s">
        <v>231</v>
      </c>
      <c r="E11" s="356">
        <f>VLOOKUP(C11,'Biểu t.h'!$B$57:$X$59,22,0)</f>
        <v>0</v>
      </c>
      <c r="F11" s="388">
        <v>25000</v>
      </c>
      <c r="G11" s="357">
        <f>E11*F11</f>
        <v>0</v>
      </c>
      <c r="H11" s="354"/>
      <c r="I11" s="354"/>
      <c r="J11" s="354"/>
      <c r="K11" s="354"/>
      <c r="L11" s="354"/>
      <c r="M11" s="354"/>
      <c r="N11" s="358">
        <f>G11+J11+M11</f>
        <v>0</v>
      </c>
      <c r="O11" s="354"/>
      <c r="P11" s="358">
        <f>ROUND(N11-O11,0)</f>
        <v>0</v>
      </c>
      <c r="Q11" s="354"/>
    </row>
    <row r="12" spans="1:23" s="111" customFormat="1" ht="27" customHeight="1">
      <c r="A12" s="4271" t="s">
        <v>190</v>
      </c>
      <c r="B12" s="4272"/>
      <c r="C12" s="4272"/>
      <c r="D12" s="4273"/>
      <c r="E12" s="266">
        <f>SUM(E11:E11)</f>
        <v>0</v>
      </c>
      <c r="F12" s="389">
        <v>25000</v>
      </c>
      <c r="G12" s="267">
        <f>SUM(G11:G11)</f>
        <v>0</v>
      </c>
      <c r="H12" s="231"/>
      <c r="I12" s="233"/>
      <c r="J12" s="232"/>
      <c r="K12" s="232"/>
      <c r="L12" s="232"/>
      <c r="M12" s="232"/>
      <c r="N12" s="267">
        <f>SUM(N11:N11)</f>
        <v>0</v>
      </c>
      <c r="O12" s="232"/>
      <c r="P12" s="267">
        <f>SUM(P11:P11)</f>
        <v>0</v>
      </c>
      <c r="Q12" s="232"/>
      <c r="W12" s="111">
        <f>311.18*25000</f>
        <v>7779500</v>
      </c>
    </row>
    <row r="13" spans="1:23" s="40" customFormat="1" ht="27" customHeight="1">
      <c r="A13" s="4304" t="s">
        <v>389</v>
      </c>
      <c r="B13" s="4304"/>
      <c r="C13" s="4304"/>
      <c r="D13" s="4304"/>
      <c r="E13" s="4304"/>
      <c r="F13" s="4304"/>
      <c r="G13" s="4304"/>
      <c r="H13" s="4304"/>
      <c r="I13" s="4304"/>
      <c r="J13" s="4304"/>
      <c r="K13" s="4304"/>
      <c r="L13" s="4304"/>
      <c r="M13" s="4304"/>
      <c r="N13" s="4304"/>
      <c r="O13" s="4304"/>
      <c r="P13" s="4304"/>
      <c r="Q13" s="4304"/>
    </row>
    <row r="14" spans="1:23" ht="18" customHeight="1">
      <c r="N14" s="4303" t="s">
        <v>387</v>
      </c>
      <c r="O14" s="4303"/>
      <c r="P14" s="4303"/>
      <c r="Q14" s="4303"/>
      <c r="U14" s="42">
        <f>94.68*25000</f>
        <v>2367000</v>
      </c>
    </row>
    <row r="15" spans="1:23" s="40" customFormat="1">
      <c r="A15" s="3751" t="s">
        <v>45</v>
      </c>
      <c r="B15" s="3751"/>
      <c r="C15" s="3751"/>
      <c r="D15" s="39"/>
      <c r="F15" s="3751" t="s">
        <v>44</v>
      </c>
      <c r="G15" s="3751"/>
      <c r="H15" s="3751"/>
      <c r="I15" s="39"/>
      <c r="K15" s="3751" t="s">
        <v>167</v>
      </c>
      <c r="L15" s="3751"/>
      <c r="M15" s="3751"/>
      <c r="O15" s="3751" t="s">
        <v>42</v>
      </c>
      <c r="P15" s="3751"/>
      <c r="Q15" s="3751"/>
    </row>
    <row r="16" spans="1:23">
      <c r="A16" s="42"/>
      <c r="C16" s="58"/>
      <c r="E16" s="42"/>
      <c r="G16" s="59"/>
      <c r="H16" s="59"/>
      <c r="I16" s="41"/>
      <c r="J16" s="60"/>
      <c r="K16" s="58"/>
      <c r="L16" s="58"/>
      <c r="M16" s="61"/>
    </row>
    <row r="17" spans="1:17">
      <c r="A17" s="42"/>
      <c r="C17" s="42"/>
      <c r="E17" s="42"/>
      <c r="H17" s="62"/>
      <c r="I17" s="41"/>
      <c r="J17" s="58"/>
      <c r="M17" s="58"/>
    </row>
    <row r="18" spans="1:17">
      <c r="A18" s="42"/>
      <c r="C18" s="42"/>
      <c r="E18" s="42"/>
      <c r="H18" s="62"/>
      <c r="I18" s="41"/>
      <c r="J18" s="42"/>
    </row>
    <row r="19" spans="1:17" ht="20.25" customHeight="1">
      <c r="A19" s="42"/>
      <c r="C19" s="42"/>
      <c r="E19" s="42"/>
      <c r="I19" s="41"/>
      <c r="J19" s="42"/>
    </row>
    <row r="20" spans="1:17">
      <c r="A20" s="42"/>
      <c r="C20" s="42"/>
      <c r="E20" s="42"/>
      <c r="I20" s="41"/>
      <c r="J20" s="42"/>
      <c r="O20" s="3751" t="s">
        <v>337</v>
      </c>
      <c r="P20" s="3751"/>
      <c r="Q20" s="3751"/>
    </row>
    <row r="21" spans="1:17">
      <c r="A21" s="63"/>
    </row>
    <row r="22" spans="1:17">
      <c r="A22" s="64"/>
    </row>
    <row r="23" spans="1:17">
      <c r="A23" s="64"/>
    </row>
  </sheetData>
  <mergeCells count="25">
    <mergeCell ref="O20:Q20"/>
    <mergeCell ref="E7:G7"/>
    <mergeCell ref="H7:J7"/>
    <mergeCell ref="K7:M7"/>
    <mergeCell ref="O6:O8"/>
    <mergeCell ref="N14:Q14"/>
    <mergeCell ref="A13:Q13"/>
    <mergeCell ref="N6:N8"/>
    <mergeCell ref="A6:A8"/>
    <mergeCell ref="B6:C7"/>
    <mergeCell ref="D6:D8"/>
    <mergeCell ref="E6:M6"/>
    <mergeCell ref="A12:D12"/>
    <mergeCell ref="A1:H1"/>
    <mergeCell ref="A2:H2"/>
    <mergeCell ref="I1:Q1"/>
    <mergeCell ref="I2:Q2"/>
    <mergeCell ref="A15:C15"/>
    <mergeCell ref="Q6:Q8"/>
    <mergeCell ref="K15:M15"/>
    <mergeCell ref="O15:Q15"/>
    <mergeCell ref="F15:H15"/>
    <mergeCell ref="P6:P8"/>
    <mergeCell ref="A3:Q3"/>
    <mergeCell ref="A4:Q4"/>
  </mergeCells>
  <phoneticPr fontId="57" type="noConversion"/>
  <pageMargins left="0.35" right="0.2" top="0.44" bottom="0.49" header="0.3" footer="0.3"/>
  <pageSetup paperSize="9" scale="88" fitToHeight="0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T88"/>
  <sheetViews>
    <sheetView topLeftCell="A40" zoomScaleNormal="100" workbookViewId="0">
      <selection activeCell="E57" sqref="E57"/>
    </sheetView>
  </sheetViews>
  <sheetFormatPr defaultColWidth="9.375" defaultRowHeight="12.75"/>
  <cols>
    <col min="1" max="1" width="3" style="246" bestFit="1" customWidth="1"/>
    <col min="2" max="2" width="20" style="246" customWidth="1"/>
    <col min="3" max="3" width="10" style="246" customWidth="1"/>
    <col min="4" max="4" width="7.625" style="246" customWidth="1"/>
    <col min="5" max="5" width="7" style="246" bestFit="1" customWidth="1"/>
    <col min="6" max="6" width="7" style="246" customWidth="1"/>
    <col min="7" max="7" width="7" style="246" hidden="1" customWidth="1"/>
    <col min="8" max="10" width="7" style="246" customWidth="1"/>
    <col min="11" max="11" width="7.75" style="246" customWidth="1"/>
    <col min="12" max="12" width="6.125" style="246" hidden="1" customWidth="1"/>
    <col min="13" max="13" width="6.375" style="246" customWidth="1"/>
    <col min="14" max="14" width="6.25" style="246" hidden="1" customWidth="1"/>
    <col min="15" max="15" width="7.25" style="246" customWidth="1"/>
    <col min="16" max="17" width="6.25" style="246" hidden="1" customWidth="1"/>
    <col min="18" max="18" width="6.25" style="246" customWidth="1"/>
    <col min="19" max="19" width="6.875" style="246" customWidth="1"/>
    <col min="20" max="20" width="7.25" style="246" bestFit="1" customWidth="1"/>
    <col min="21" max="21" width="7.125" style="246" customWidth="1"/>
    <col min="22" max="22" width="7" style="246" bestFit="1" customWidth="1"/>
    <col min="23" max="23" width="6.75" style="246" customWidth="1"/>
    <col min="24" max="24" width="7" style="246" bestFit="1" customWidth="1"/>
    <col min="25" max="25" width="6.875" style="268" hidden="1" customWidth="1"/>
    <col min="26" max="26" width="6.875" style="273" customWidth="1"/>
    <col min="27" max="27" width="7" style="117" customWidth="1"/>
    <col min="28" max="28" width="6.75" style="246" customWidth="1"/>
    <col min="29" max="29" width="7.625" style="651" customWidth="1"/>
    <col min="30" max="30" width="7" style="651" customWidth="1"/>
    <col min="31" max="31" width="6.875" style="651" bestFit="1" customWidth="1"/>
    <col min="32" max="32" width="8.625" style="247" customWidth="1"/>
    <col min="33" max="33" width="11" style="246" customWidth="1"/>
    <col min="34" max="34" width="7.25" style="246" customWidth="1"/>
    <col min="35" max="35" width="12" style="437" customWidth="1"/>
    <col min="36" max="36" width="6.375" style="246" bestFit="1" customWidth="1"/>
    <col min="37" max="39" width="6.625" style="246" customWidth="1"/>
    <col min="40" max="40" width="17" style="246" customWidth="1"/>
    <col min="41" max="44" width="0" style="246" hidden="1" customWidth="1"/>
    <col min="45" max="45" width="9.375" style="246" customWidth="1"/>
    <col min="46" max="16384" width="9.375" style="246"/>
  </cols>
  <sheetData>
    <row r="1" spans="1:46" ht="9.75" customHeight="1"/>
    <row r="2" spans="1:46" s="248" customFormat="1">
      <c r="A2" s="4319" t="s">
        <v>0</v>
      </c>
      <c r="B2" s="4319"/>
      <c r="C2" s="4319"/>
      <c r="D2" s="4319"/>
      <c r="E2" s="4319"/>
      <c r="F2" s="4319"/>
      <c r="G2" s="4319"/>
      <c r="H2" s="4319"/>
      <c r="I2" s="4319"/>
      <c r="J2" s="4319"/>
      <c r="K2" s="4319"/>
      <c r="L2" s="4319"/>
      <c r="M2" s="4319"/>
      <c r="N2" s="4319"/>
      <c r="O2" s="4319"/>
      <c r="P2" s="4319"/>
      <c r="Q2" s="4319"/>
      <c r="R2" s="4319"/>
      <c r="S2" s="4319"/>
      <c r="T2" s="4319"/>
      <c r="U2" s="4319"/>
      <c r="V2" s="241"/>
      <c r="W2" s="241"/>
      <c r="X2" s="241"/>
      <c r="Y2" s="269"/>
      <c r="Z2" s="274"/>
      <c r="AA2" s="241"/>
      <c r="AB2" s="4319"/>
      <c r="AC2" s="4319"/>
      <c r="AD2" s="4319"/>
      <c r="AE2" s="4319"/>
      <c r="AF2" s="4319"/>
      <c r="AG2" s="4319"/>
      <c r="AH2" s="4319"/>
      <c r="AI2" s="4319"/>
      <c r="AJ2" s="4319"/>
      <c r="AK2" s="4319"/>
      <c r="AL2" s="4319"/>
      <c r="AM2" s="4319"/>
      <c r="AN2" s="4319"/>
    </row>
    <row r="3" spans="1:46">
      <c r="A3" s="4319" t="s">
        <v>251</v>
      </c>
      <c r="B3" s="4319"/>
      <c r="C3" s="4319"/>
      <c r="D3" s="4319"/>
      <c r="E3" s="4319"/>
      <c r="F3" s="4319"/>
      <c r="G3" s="4319"/>
      <c r="H3" s="4319"/>
      <c r="I3" s="4319"/>
      <c r="J3" s="4319"/>
      <c r="K3" s="4319"/>
      <c r="L3" s="4319"/>
      <c r="M3" s="4319"/>
      <c r="N3" s="4319"/>
      <c r="O3" s="4319"/>
      <c r="P3" s="4319"/>
      <c r="Q3" s="4319"/>
      <c r="R3" s="4319"/>
      <c r="S3" s="4319"/>
      <c r="T3" s="4319"/>
      <c r="U3" s="4319"/>
      <c r="V3" s="241"/>
      <c r="W3" s="241"/>
      <c r="X3" s="241"/>
      <c r="Y3" s="269"/>
      <c r="Z3" s="274"/>
      <c r="AA3" s="241"/>
      <c r="AB3" s="4319"/>
      <c r="AC3" s="4319"/>
      <c r="AD3" s="4319"/>
      <c r="AE3" s="4319"/>
      <c r="AF3" s="4319"/>
      <c r="AG3" s="4319"/>
      <c r="AH3" s="4319"/>
      <c r="AI3" s="4319"/>
      <c r="AJ3" s="4319"/>
      <c r="AK3" s="4319"/>
      <c r="AL3" s="4319"/>
      <c r="AM3" s="4319"/>
      <c r="AN3" s="4319"/>
    </row>
    <row r="4" spans="1:46" ht="6.75" customHeight="1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69"/>
      <c r="Z4" s="274"/>
      <c r="AA4" s="241"/>
      <c r="AB4" s="241"/>
      <c r="AC4" s="652"/>
      <c r="AD4" s="652"/>
      <c r="AE4" s="652"/>
      <c r="AF4" s="241"/>
      <c r="AG4" s="241"/>
      <c r="AH4" s="241"/>
      <c r="AI4" s="445"/>
      <c r="AJ4" s="241"/>
      <c r="AK4" s="241"/>
      <c r="AL4" s="241"/>
      <c r="AM4" s="241"/>
      <c r="AN4" s="241"/>
    </row>
    <row r="5" spans="1:46">
      <c r="A5" s="4319" t="s">
        <v>584</v>
      </c>
      <c r="B5" s="4319"/>
      <c r="C5" s="4319"/>
      <c r="D5" s="4319"/>
      <c r="E5" s="4319"/>
      <c r="F5" s="4319"/>
      <c r="G5" s="4319"/>
      <c r="H5" s="4319"/>
      <c r="I5" s="4319"/>
      <c r="J5" s="4319"/>
      <c r="K5" s="4319"/>
      <c r="L5" s="4319"/>
      <c r="M5" s="4319"/>
      <c r="N5" s="4319"/>
      <c r="O5" s="4319"/>
      <c r="P5" s="4319"/>
      <c r="Q5" s="4319"/>
      <c r="R5" s="4319"/>
      <c r="S5" s="4319"/>
      <c r="T5" s="4319"/>
      <c r="U5" s="4319"/>
      <c r="V5" s="4319"/>
      <c r="W5" s="4319"/>
      <c r="X5" s="4319"/>
      <c r="Y5" s="4319"/>
      <c r="Z5" s="4319"/>
      <c r="AA5" s="4319"/>
      <c r="AB5" s="4319"/>
      <c r="AC5" s="4319"/>
      <c r="AD5" s="4319"/>
      <c r="AE5" s="4319"/>
      <c r="AF5" s="4319"/>
      <c r="AG5" s="4319"/>
      <c r="AH5" s="4319"/>
      <c r="AI5" s="4319"/>
      <c r="AJ5" s="4319"/>
      <c r="AK5" s="4319"/>
      <c r="AL5" s="4319"/>
      <c r="AM5" s="4319"/>
      <c r="AN5" s="4319"/>
    </row>
    <row r="6" spans="1:46" ht="2.25" customHeight="1">
      <c r="A6" s="249"/>
      <c r="B6" s="249"/>
      <c r="C6" s="249"/>
      <c r="D6" s="249"/>
      <c r="E6" s="249"/>
      <c r="F6" s="249"/>
      <c r="G6" s="249"/>
      <c r="H6" s="249"/>
      <c r="I6" s="249"/>
      <c r="J6" s="249"/>
      <c r="K6" s="249"/>
      <c r="L6" s="249"/>
      <c r="M6" s="249"/>
      <c r="N6" s="249"/>
      <c r="O6" s="249"/>
      <c r="P6" s="249"/>
      <c r="Q6" s="249"/>
      <c r="R6" s="249"/>
      <c r="S6" s="249"/>
      <c r="T6" s="249"/>
      <c r="U6" s="249"/>
      <c r="V6" s="249"/>
      <c r="W6" s="249"/>
      <c r="X6" s="249"/>
      <c r="Y6" s="270"/>
      <c r="Z6" s="275"/>
      <c r="AA6" s="249"/>
      <c r="AB6" s="249"/>
      <c r="AC6" s="653"/>
      <c r="AD6" s="653"/>
      <c r="AE6" s="653"/>
      <c r="AF6" s="249"/>
      <c r="AG6" s="249"/>
      <c r="AH6" s="249"/>
      <c r="AI6" s="446"/>
      <c r="AJ6" s="249"/>
      <c r="AK6" s="249"/>
      <c r="AL6" s="249"/>
      <c r="AM6" s="249"/>
      <c r="AN6" s="249"/>
    </row>
    <row r="7" spans="1:46" ht="24.75" customHeight="1">
      <c r="A7" s="4313" t="s">
        <v>19</v>
      </c>
      <c r="B7" s="4313" t="s">
        <v>318</v>
      </c>
      <c r="C7" s="4313" t="s">
        <v>506</v>
      </c>
      <c r="D7" s="4318" t="s">
        <v>239</v>
      </c>
      <c r="E7" s="4307" t="s">
        <v>256</v>
      </c>
      <c r="F7" s="4308"/>
      <c r="G7" s="4308"/>
      <c r="H7" s="4308"/>
      <c r="I7" s="4308"/>
      <c r="J7" s="4308"/>
      <c r="K7" s="4309"/>
      <c r="L7" s="4307" t="s">
        <v>265</v>
      </c>
      <c r="M7" s="4308"/>
      <c r="N7" s="4308"/>
      <c r="O7" s="4308"/>
      <c r="P7" s="4308"/>
      <c r="Q7" s="4308"/>
      <c r="R7" s="4308"/>
      <c r="S7" s="4309"/>
      <c r="T7" s="4307" t="s">
        <v>374</v>
      </c>
      <c r="U7" s="4308"/>
      <c r="V7" s="4308"/>
      <c r="W7" s="4308"/>
      <c r="X7" s="4309"/>
      <c r="Y7" s="4307" t="s">
        <v>333</v>
      </c>
      <c r="Z7" s="4308"/>
      <c r="AA7" s="4308"/>
      <c r="AB7" s="4308"/>
      <c r="AC7" s="4308"/>
      <c r="AD7" s="4308"/>
      <c r="AE7" s="4308"/>
      <c r="AF7" s="4308"/>
      <c r="AG7" s="4308"/>
      <c r="AH7" s="4308"/>
      <c r="AI7" s="4308"/>
      <c r="AJ7" s="4308"/>
      <c r="AK7" s="4308"/>
      <c r="AL7" s="4308"/>
      <c r="AM7" s="4309"/>
      <c r="AN7" s="67"/>
    </row>
    <row r="8" spans="1:46" s="253" customFormat="1" ht="93.75" customHeight="1">
      <c r="A8" s="4314"/>
      <c r="B8" s="4314"/>
      <c r="C8" s="4314"/>
      <c r="D8" s="4314"/>
      <c r="E8" s="251" t="s">
        <v>585</v>
      </c>
      <c r="F8" s="251" t="s">
        <v>538</v>
      </c>
      <c r="G8" s="251" t="s">
        <v>384</v>
      </c>
      <c r="H8" s="250" t="s">
        <v>537</v>
      </c>
      <c r="I8" s="251" t="s">
        <v>391</v>
      </c>
      <c r="J8" s="251" t="s">
        <v>390</v>
      </c>
      <c r="K8" s="250" t="s">
        <v>47</v>
      </c>
      <c r="L8" s="251" t="s">
        <v>384</v>
      </c>
      <c r="M8" s="251" t="s">
        <v>585</v>
      </c>
      <c r="N8" s="250" t="s">
        <v>385</v>
      </c>
      <c r="O8" s="251" t="s">
        <v>391</v>
      </c>
      <c r="P8" s="250" t="s">
        <v>356</v>
      </c>
      <c r="Q8" s="250" t="s">
        <v>357</v>
      </c>
      <c r="R8" s="250" t="s">
        <v>355</v>
      </c>
      <c r="S8" s="250" t="s">
        <v>47</v>
      </c>
      <c r="T8" s="250" t="s">
        <v>376</v>
      </c>
      <c r="U8" s="251" t="s">
        <v>386</v>
      </c>
      <c r="V8" s="250" t="s">
        <v>375</v>
      </c>
      <c r="W8" s="251"/>
      <c r="X8" s="250" t="s">
        <v>47</v>
      </c>
      <c r="Y8" s="271"/>
      <c r="Z8" s="381"/>
      <c r="AA8" s="251" t="s">
        <v>569</v>
      </c>
      <c r="AB8" s="250" t="s">
        <v>586</v>
      </c>
      <c r="AC8" s="654" t="s">
        <v>596</v>
      </c>
      <c r="AD8" s="654" t="s">
        <v>597</v>
      </c>
      <c r="AE8" s="654" t="s">
        <v>383</v>
      </c>
      <c r="AF8" s="251" t="s">
        <v>47</v>
      </c>
      <c r="AG8" s="251" t="s">
        <v>49</v>
      </c>
      <c r="AH8" s="251" t="s">
        <v>418</v>
      </c>
      <c r="AI8" s="447" t="s">
        <v>48</v>
      </c>
      <c r="AJ8" s="252" t="s">
        <v>50</v>
      </c>
      <c r="AK8" s="252" t="s">
        <v>253</v>
      </c>
      <c r="AL8" s="252" t="s">
        <v>398</v>
      </c>
      <c r="AM8" s="252" t="s">
        <v>54</v>
      </c>
      <c r="AN8" s="67" t="s">
        <v>51</v>
      </c>
      <c r="AS8" s="545" t="s">
        <v>507</v>
      </c>
    </row>
    <row r="9" spans="1:46" s="437" customFormat="1" ht="22.5" customHeight="1">
      <c r="A9" s="429">
        <v>1</v>
      </c>
      <c r="B9" s="454" t="s">
        <v>100</v>
      </c>
      <c r="C9" s="527" t="s">
        <v>195</v>
      </c>
      <c r="D9" s="528" t="s">
        <v>419</v>
      </c>
      <c r="E9" s="430"/>
      <c r="F9" s="430"/>
      <c r="G9" s="430"/>
      <c r="H9" s="430"/>
      <c r="I9" s="430"/>
      <c r="J9" s="430"/>
      <c r="K9" s="430">
        <f>SUM(E9:J9)</f>
        <v>0</v>
      </c>
      <c r="L9" s="430"/>
      <c r="M9" s="430"/>
      <c r="N9" s="430"/>
      <c r="O9" s="430"/>
      <c r="P9" s="430"/>
      <c r="Q9" s="430"/>
      <c r="R9" s="430"/>
      <c r="S9" s="430">
        <f t="shared" ref="S9:S57" si="0">SUM(L9:O9)</f>
        <v>0</v>
      </c>
      <c r="T9" s="430"/>
      <c r="U9" s="430"/>
      <c r="V9" s="430"/>
      <c r="W9" s="430"/>
      <c r="X9" s="430">
        <f>SUM(T9:W9)</f>
        <v>0</v>
      </c>
      <c r="Y9" s="431">
        <v>4</v>
      </c>
      <c r="Z9" s="430"/>
      <c r="AA9" s="430"/>
      <c r="AB9" s="430">
        <v>1.33</v>
      </c>
      <c r="AC9" s="655"/>
      <c r="AD9" s="655"/>
      <c r="AE9" s="667"/>
      <c r="AF9" s="187">
        <f t="shared" ref="AF9:AF39" si="1">SUM(Z9:AE9)</f>
        <v>1.33</v>
      </c>
      <c r="AG9" s="432" t="e">
        <f>VLOOKUP(B9,#REF!,6,0)</f>
        <v>#REF!</v>
      </c>
      <c r="AH9" s="432" t="e">
        <f>VLOOKUP(B9,#REF!,12,0)</f>
        <v>#REF!</v>
      </c>
      <c r="AI9" s="433" t="e">
        <f>+AG9*0.4+AH9*0.5</f>
        <v>#REF!</v>
      </c>
      <c r="AJ9" s="434" t="e">
        <f>VLOOKUP(B9,#REF!,34,0)</f>
        <v>#REF!</v>
      </c>
      <c r="AK9" s="434" t="e">
        <f>VLOOKUP(B9,#REF!,35,0)</f>
        <v>#REF!</v>
      </c>
      <c r="AL9" s="434"/>
      <c r="AM9" s="435" t="e">
        <f>VLOOKUP(B9,'ky thuật'!$C$9:$M$56,11,0)</f>
        <v>#REF!</v>
      </c>
      <c r="AN9" s="436"/>
      <c r="AO9" s="437">
        <v>4.4000000000000004</v>
      </c>
      <c r="AS9" s="544" t="str">
        <f>VLOOKUP(B9,'Mã số NV'!$B$6:$I$53,3,0)</f>
        <v>01871</v>
      </c>
      <c r="AT9" s="546">
        <f>AS9-D9</f>
        <v>0</v>
      </c>
    </row>
    <row r="10" spans="1:46" s="437" customFormat="1" ht="22.5" customHeight="1">
      <c r="A10" s="438">
        <v>2</v>
      </c>
      <c r="B10" s="454" t="s">
        <v>101</v>
      </c>
      <c r="C10" s="531" t="s">
        <v>420</v>
      </c>
      <c r="D10" s="528" t="s">
        <v>421</v>
      </c>
      <c r="E10" s="440"/>
      <c r="F10" s="440"/>
      <c r="G10" s="440"/>
      <c r="H10" s="440"/>
      <c r="I10" s="440"/>
      <c r="J10" s="440"/>
      <c r="K10" s="440">
        <f t="shared" ref="K10:K58" si="2">SUM(E10:J10)</f>
        <v>0</v>
      </c>
      <c r="L10" s="440"/>
      <c r="M10" s="440"/>
      <c r="N10" s="440"/>
      <c r="O10" s="440"/>
      <c r="P10" s="440"/>
      <c r="Q10" s="440"/>
      <c r="R10" s="440"/>
      <c r="S10" s="440">
        <f t="shared" si="0"/>
        <v>0</v>
      </c>
      <c r="T10" s="440"/>
      <c r="U10" s="440"/>
      <c r="V10" s="440"/>
      <c r="W10" s="440"/>
      <c r="X10" s="430">
        <f t="shared" ref="X10:X59" si="3">SUM(T10:W10)</f>
        <v>0</v>
      </c>
      <c r="Y10" s="441">
        <v>4</v>
      </c>
      <c r="Z10" s="430"/>
      <c r="AA10" s="430"/>
      <c r="AB10" s="430">
        <v>1.33</v>
      </c>
      <c r="AC10" s="655"/>
      <c r="AD10" s="655"/>
      <c r="AE10" s="667"/>
      <c r="AF10" s="187">
        <f t="shared" si="1"/>
        <v>1.33</v>
      </c>
      <c r="AG10" s="432" t="e">
        <f>VLOOKUP(B10,#REF!,6,0)</f>
        <v>#REF!</v>
      </c>
      <c r="AH10" s="432" t="e">
        <f>VLOOKUP(B10,#REF!,12,0)</f>
        <v>#REF!</v>
      </c>
      <c r="AI10" s="433" t="e">
        <f t="shared" ref="AI10:AI56" si="4">+AG10*0.4+AH10*0.5</f>
        <v>#REF!</v>
      </c>
      <c r="AJ10" s="434" t="e">
        <f>VLOOKUP(B10,#REF!,34,0)</f>
        <v>#REF!</v>
      </c>
      <c r="AK10" s="434" t="e">
        <f>VLOOKUP(B10,#REF!,35,0)</f>
        <v>#REF!</v>
      </c>
      <c r="AL10" s="434"/>
      <c r="AM10" s="435" t="e">
        <f>VLOOKUP(B10,'ky thuật'!$C$9:$M$56,11,0)</f>
        <v>#REF!</v>
      </c>
      <c r="AN10" s="442"/>
      <c r="AO10" s="437">
        <v>4.4000000000000004</v>
      </c>
      <c r="AS10" s="544" t="str">
        <f>VLOOKUP(B10,'Mã số NV'!$B$6:$I$53,3,0)</f>
        <v>01872</v>
      </c>
      <c r="AT10" s="546">
        <f t="shared" ref="AT10:AT59" si="5">AS10-D10</f>
        <v>0</v>
      </c>
    </row>
    <row r="11" spans="1:46" s="437" customFormat="1" ht="22.5" customHeight="1">
      <c r="A11" s="438">
        <v>3</v>
      </c>
      <c r="B11" s="476" t="s">
        <v>402</v>
      </c>
      <c r="C11" s="532" t="s">
        <v>422</v>
      </c>
      <c r="D11" s="538" t="s">
        <v>423</v>
      </c>
      <c r="E11" s="440"/>
      <c r="F11" s="440"/>
      <c r="G11" s="440"/>
      <c r="H11" s="440"/>
      <c r="I11" s="440"/>
      <c r="J11" s="440"/>
      <c r="K11" s="440">
        <f t="shared" si="2"/>
        <v>0</v>
      </c>
      <c r="L11" s="440"/>
      <c r="M11" s="440"/>
      <c r="N11" s="440"/>
      <c r="O11" s="440"/>
      <c r="P11" s="440"/>
      <c r="Q11" s="440"/>
      <c r="R11" s="440"/>
      <c r="S11" s="440">
        <f t="shared" si="0"/>
        <v>0</v>
      </c>
      <c r="T11" s="440"/>
      <c r="U11" s="440"/>
      <c r="V11" s="440"/>
      <c r="W11" s="440"/>
      <c r="X11" s="430">
        <f t="shared" si="3"/>
        <v>0</v>
      </c>
      <c r="Y11" s="441">
        <v>4</v>
      </c>
      <c r="Z11" s="430"/>
      <c r="AA11" s="430"/>
      <c r="AB11" s="430">
        <v>1.33</v>
      </c>
      <c r="AC11" s="655"/>
      <c r="AD11" s="655"/>
      <c r="AE11" s="667"/>
      <c r="AF11" s="187">
        <f t="shared" si="1"/>
        <v>1.33</v>
      </c>
      <c r="AG11" s="432" t="e">
        <f>VLOOKUP(B11,#REF!,6,0)</f>
        <v>#REF!</v>
      </c>
      <c r="AH11" s="432" t="e">
        <f>VLOOKUP(B11,#REF!,12,0)</f>
        <v>#REF!</v>
      </c>
      <c r="AI11" s="433" t="e">
        <f t="shared" si="4"/>
        <v>#REF!</v>
      </c>
      <c r="AJ11" s="434" t="e">
        <f>VLOOKUP(B11,#REF!,34,0)</f>
        <v>#REF!</v>
      </c>
      <c r="AK11" s="434" t="e">
        <f>VLOOKUP(B11,#REF!,35,0)</f>
        <v>#REF!</v>
      </c>
      <c r="AL11" s="434"/>
      <c r="AM11" s="435" t="e">
        <f>VLOOKUP(B11,'ky thuật'!$C$9:$M$56,11,0)</f>
        <v>#REF!</v>
      </c>
      <c r="AN11" s="442"/>
      <c r="AO11" s="437">
        <v>4.4000000000000004</v>
      </c>
      <c r="AS11" s="544" t="str">
        <f>VLOOKUP(B11,'Mã số NV'!$B$6:$I$53,3,0)</f>
        <v>01892</v>
      </c>
      <c r="AT11" s="546">
        <f t="shared" si="5"/>
        <v>0</v>
      </c>
    </row>
    <row r="12" spans="1:46" s="437" customFormat="1" ht="22.5" customHeight="1">
      <c r="A12" s="438">
        <v>4</v>
      </c>
      <c r="B12" s="455" t="s">
        <v>278</v>
      </c>
      <c r="C12" s="531" t="s">
        <v>196</v>
      </c>
      <c r="D12" s="528" t="s">
        <v>424</v>
      </c>
      <c r="E12" s="440"/>
      <c r="F12" s="440"/>
      <c r="G12" s="440"/>
      <c r="H12" s="440"/>
      <c r="I12" s="440"/>
      <c r="J12" s="440"/>
      <c r="K12" s="440">
        <f t="shared" si="2"/>
        <v>0</v>
      </c>
      <c r="L12" s="440"/>
      <c r="M12" s="440"/>
      <c r="N12" s="440"/>
      <c r="O12" s="440"/>
      <c r="P12" s="440"/>
      <c r="Q12" s="440"/>
      <c r="R12" s="440"/>
      <c r="S12" s="440">
        <f t="shared" si="0"/>
        <v>0</v>
      </c>
      <c r="T12" s="440"/>
      <c r="U12" s="440"/>
      <c r="V12" s="440"/>
      <c r="W12" s="440"/>
      <c r="X12" s="430">
        <f t="shared" si="3"/>
        <v>0</v>
      </c>
      <c r="Y12" s="441">
        <v>4</v>
      </c>
      <c r="Z12" s="430"/>
      <c r="AA12" s="430"/>
      <c r="AB12" s="430">
        <v>1.33</v>
      </c>
      <c r="AC12" s="655"/>
      <c r="AD12" s="655"/>
      <c r="AE12" s="667"/>
      <c r="AF12" s="187">
        <f t="shared" si="1"/>
        <v>1.33</v>
      </c>
      <c r="AG12" s="432" t="e">
        <f>VLOOKUP(B12,#REF!,6,0)</f>
        <v>#REF!</v>
      </c>
      <c r="AH12" s="432" t="e">
        <f>VLOOKUP(B12,#REF!,12,0)</f>
        <v>#REF!</v>
      </c>
      <c r="AI12" s="433" t="e">
        <f t="shared" si="4"/>
        <v>#REF!</v>
      </c>
      <c r="AJ12" s="434" t="e">
        <f>VLOOKUP(B12,#REF!,34,0)</f>
        <v>#REF!</v>
      </c>
      <c r="AK12" s="434" t="e">
        <f>VLOOKUP(B12,#REF!,35,0)</f>
        <v>#REF!</v>
      </c>
      <c r="AL12" s="434"/>
      <c r="AM12" s="435" t="e">
        <f>VLOOKUP(B12,'ky thuật'!$C$9:$M$56,11,0)</f>
        <v>#REF!</v>
      </c>
      <c r="AN12" s="442"/>
      <c r="AO12" s="437">
        <v>4.4000000000000004</v>
      </c>
      <c r="AS12" s="544" t="str">
        <f>VLOOKUP(B12,'Mã số NV'!$B$6:$I$53,3,0)</f>
        <v>01875</v>
      </c>
      <c r="AT12" s="546">
        <f t="shared" si="5"/>
        <v>0</v>
      </c>
    </row>
    <row r="13" spans="1:46" s="437" customFormat="1" ht="22.5" customHeight="1">
      <c r="A13" s="438">
        <v>5</v>
      </c>
      <c r="B13" s="476" t="s">
        <v>382</v>
      </c>
      <c r="C13" s="540" t="s">
        <v>420</v>
      </c>
      <c r="D13" s="538" t="s">
        <v>472</v>
      </c>
      <c r="E13" s="440"/>
      <c r="F13" s="440"/>
      <c r="G13" s="440"/>
      <c r="H13" s="440"/>
      <c r="I13" s="440"/>
      <c r="J13" s="440"/>
      <c r="K13" s="440">
        <f t="shared" si="2"/>
        <v>0</v>
      </c>
      <c r="L13" s="440"/>
      <c r="M13" s="440"/>
      <c r="N13" s="440"/>
      <c r="O13" s="440"/>
      <c r="P13" s="440"/>
      <c r="Q13" s="440"/>
      <c r="R13" s="440"/>
      <c r="S13" s="440">
        <f t="shared" si="0"/>
        <v>0</v>
      </c>
      <c r="T13" s="440"/>
      <c r="U13" s="440"/>
      <c r="V13" s="440"/>
      <c r="W13" s="440"/>
      <c r="X13" s="430">
        <f t="shared" si="3"/>
        <v>0</v>
      </c>
      <c r="Y13" s="441">
        <v>4</v>
      </c>
      <c r="Z13" s="430"/>
      <c r="AA13" s="430"/>
      <c r="AB13" s="430">
        <v>1.33</v>
      </c>
      <c r="AC13" s="655"/>
      <c r="AD13" s="655"/>
      <c r="AE13" s="667"/>
      <c r="AF13" s="187">
        <f t="shared" si="1"/>
        <v>1.33</v>
      </c>
      <c r="AG13" s="432" t="e">
        <f>VLOOKUP(B13,#REF!,6,0)</f>
        <v>#REF!</v>
      </c>
      <c r="AH13" s="432" t="e">
        <f>VLOOKUP(B13,#REF!,12,0)</f>
        <v>#REF!</v>
      </c>
      <c r="AI13" s="433" t="e">
        <f t="shared" si="4"/>
        <v>#REF!</v>
      </c>
      <c r="AJ13" s="434" t="e">
        <f>VLOOKUP(B13,#REF!,34,0)</f>
        <v>#REF!</v>
      </c>
      <c r="AK13" s="434" t="e">
        <f>VLOOKUP(B13,#REF!,35,0)</f>
        <v>#REF!</v>
      </c>
      <c r="AL13" s="434"/>
      <c r="AM13" s="435" t="e">
        <f>VLOOKUP(B13,'ky thuật'!$C$9:$M$56,11,0)</f>
        <v>#REF!</v>
      </c>
      <c r="AN13" s="442"/>
      <c r="AO13" s="437">
        <v>4.4000000000000004</v>
      </c>
      <c r="AQ13" s="437">
        <f>48+192+136</f>
        <v>376</v>
      </c>
      <c r="AS13" s="544" t="str">
        <f>VLOOKUP(B13,'Mã số NV'!$B$6:$I$53,3,0)</f>
        <v>01891</v>
      </c>
      <c r="AT13" s="546">
        <f t="shared" si="5"/>
        <v>0</v>
      </c>
    </row>
    <row r="14" spans="1:46" s="437" customFormat="1" ht="22.5" customHeight="1">
      <c r="A14" s="438">
        <v>6</v>
      </c>
      <c r="B14" s="455" t="s">
        <v>266</v>
      </c>
      <c r="C14" s="531" t="s">
        <v>429</v>
      </c>
      <c r="D14" s="528" t="s">
        <v>430</v>
      </c>
      <c r="E14" s="440"/>
      <c r="F14" s="440"/>
      <c r="G14" s="440"/>
      <c r="H14" s="440"/>
      <c r="I14" s="440"/>
      <c r="J14" s="440"/>
      <c r="K14" s="440">
        <f t="shared" si="2"/>
        <v>0</v>
      </c>
      <c r="L14" s="440"/>
      <c r="M14" s="440"/>
      <c r="N14" s="440"/>
      <c r="O14" s="440"/>
      <c r="P14" s="440"/>
      <c r="Q14" s="440"/>
      <c r="R14" s="440"/>
      <c r="S14" s="440">
        <f t="shared" si="0"/>
        <v>0</v>
      </c>
      <c r="T14" s="440"/>
      <c r="U14" s="440"/>
      <c r="V14" s="440"/>
      <c r="W14" s="440"/>
      <c r="X14" s="430">
        <f t="shared" si="3"/>
        <v>0</v>
      </c>
      <c r="Y14" s="441">
        <v>4</v>
      </c>
      <c r="Z14" s="430"/>
      <c r="AA14" s="430"/>
      <c r="AB14" s="430">
        <v>1.33</v>
      </c>
      <c r="AC14" s="655"/>
      <c r="AD14" s="655"/>
      <c r="AE14" s="667"/>
      <c r="AF14" s="187">
        <f t="shared" si="1"/>
        <v>1.33</v>
      </c>
      <c r="AG14" s="432" t="e">
        <f>VLOOKUP(B14,#REF!,6,0)</f>
        <v>#REF!</v>
      </c>
      <c r="AH14" s="432" t="e">
        <f>VLOOKUP(B14,#REF!,12,0)</f>
        <v>#REF!</v>
      </c>
      <c r="AI14" s="433" t="e">
        <f t="shared" si="4"/>
        <v>#REF!</v>
      </c>
      <c r="AJ14" s="434" t="e">
        <f>VLOOKUP(B14,#REF!,34,0)</f>
        <v>#REF!</v>
      </c>
      <c r="AK14" s="434" t="e">
        <f>VLOOKUP(B14,#REF!,35,0)</f>
        <v>#REF!</v>
      </c>
      <c r="AL14" s="434"/>
      <c r="AM14" s="435" t="e">
        <f>VLOOKUP(B14,'ky thuật'!$C$9:$M$56,11,0)</f>
        <v>#REF!</v>
      </c>
      <c r="AN14" s="442"/>
      <c r="AO14" s="437">
        <v>4.4000000000000004</v>
      </c>
      <c r="AQ14" s="437">
        <f>35.82+140+136</f>
        <v>311.82</v>
      </c>
      <c r="AS14" s="544" t="str">
        <f>VLOOKUP(B14,'Mã số NV'!$B$6:$I$53,3,0)</f>
        <v>01876</v>
      </c>
      <c r="AT14" s="546">
        <f t="shared" si="5"/>
        <v>0</v>
      </c>
    </row>
    <row r="15" spans="1:46" s="437" customFormat="1" ht="22.5" customHeight="1">
      <c r="A15" s="438">
        <v>7</v>
      </c>
      <c r="B15" s="627" t="s">
        <v>580</v>
      </c>
      <c r="C15" s="531"/>
      <c r="D15" s="528"/>
      <c r="E15" s="440"/>
      <c r="F15" s="440"/>
      <c r="G15" s="440"/>
      <c r="H15" s="440"/>
      <c r="I15" s="440"/>
      <c r="J15" s="440"/>
      <c r="K15" s="440">
        <f t="shared" si="2"/>
        <v>0</v>
      </c>
      <c r="L15" s="440"/>
      <c r="M15" s="440"/>
      <c r="N15" s="440"/>
      <c r="O15" s="440"/>
      <c r="P15" s="440"/>
      <c r="Q15" s="440"/>
      <c r="R15" s="440"/>
      <c r="S15" s="440">
        <f t="shared" si="0"/>
        <v>0</v>
      </c>
      <c r="T15" s="440"/>
      <c r="U15" s="440"/>
      <c r="V15" s="440"/>
      <c r="W15" s="440"/>
      <c r="X15" s="430">
        <f t="shared" si="3"/>
        <v>0</v>
      </c>
      <c r="Y15" s="441">
        <v>4</v>
      </c>
      <c r="Z15" s="430"/>
      <c r="AA15" s="430"/>
      <c r="AB15" s="430">
        <v>1.33</v>
      </c>
      <c r="AC15" s="655"/>
      <c r="AD15" s="655"/>
      <c r="AE15" s="667"/>
      <c r="AF15" s="187">
        <f t="shared" si="1"/>
        <v>1.33</v>
      </c>
      <c r="AG15" s="432" t="e">
        <f>VLOOKUP(B15,#REF!,6,0)</f>
        <v>#REF!</v>
      </c>
      <c r="AH15" s="432" t="e">
        <f>VLOOKUP(B15,#REF!,12,0)</f>
        <v>#REF!</v>
      </c>
      <c r="AI15" s="433" t="e">
        <f t="shared" si="4"/>
        <v>#REF!</v>
      </c>
      <c r="AJ15" s="434" t="e">
        <f>VLOOKUP(B15,#REF!,34,0)</f>
        <v>#REF!</v>
      </c>
      <c r="AK15" s="434" t="e">
        <f>VLOOKUP(B15,#REF!,35,0)</f>
        <v>#REF!</v>
      </c>
      <c r="AL15" s="434"/>
      <c r="AM15" s="435" t="e">
        <f>VLOOKUP(B15,'ky thuật'!$C$9:$M$56,11,0)</f>
        <v>#REF!</v>
      </c>
      <c r="AN15" s="442"/>
      <c r="AO15" s="437">
        <v>4.4000000000000004</v>
      </c>
      <c r="AS15" s="544">
        <f>VLOOKUP(B15,'Mã số NV'!$B$6:$I$53,3,0)</f>
        <v>0</v>
      </c>
      <c r="AT15" s="546">
        <f t="shared" si="5"/>
        <v>0</v>
      </c>
    </row>
    <row r="16" spans="1:46" s="437" customFormat="1" ht="22.5" customHeight="1">
      <c r="A16" s="438">
        <v>8</v>
      </c>
      <c r="B16" s="476" t="s">
        <v>403</v>
      </c>
      <c r="C16" s="533" t="s">
        <v>436</v>
      </c>
      <c r="D16" s="528" t="s">
        <v>437</v>
      </c>
      <c r="E16" s="440"/>
      <c r="F16" s="440"/>
      <c r="G16" s="440"/>
      <c r="H16" s="440"/>
      <c r="I16" s="440"/>
      <c r="J16" s="440"/>
      <c r="K16" s="440">
        <f t="shared" si="2"/>
        <v>0</v>
      </c>
      <c r="L16" s="440"/>
      <c r="M16" s="440"/>
      <c r="N16" s="440"/>
      <c r="O16" s="440"/>
      <c r="P16" s="440"/>
      <c r="Q16" s="440"/>
      <c r="R16" s="440"/>
      <c r="S16" s="440">
        <f t="shared" si="0"/>
        <v>0</v>
      </c>
      <c r="T16" s="440"/>
      <c r="U16" s="440"/>
      <c r="V16" s="440"/>
      <c r="W16" s="440"/>
      <c r="X16" s="430">
        <f t="shared" si="3"/>
        <v>0</v>
      </c>
      <c r="Y16" s="441">
        <v>4</v>
      </c>
      <c r="Z16" s="430"/>
      <c r="AA16" s="430"/>
      <c r="AB16" s="430">
        <v>1.33</v>
      </c>
      <c r="AC16" s="655"/>
      <c r="AD16" s="655"/>
      <c r="AE16" s="667"/>
      <c r="AF16" s="187">
        <f t="shared" si="1"/>
        <v>1.33</v>
      </c>
      <c r="AG16" s="432" t="e">
        <f>VLOOKUP(B16,#REF!,6,0)</f>
        <v>#REF!</v>
      </c>
      <c r="AH16" s="432" t="e">
        <f>VLOOKUP(B16,#REF!,12,0)</f>
        <v>#REF!</v>
      </c>
      <c r="AI16" s="433" t="e">
        <f t="shared" si="4"/>
        <v>#REF!</v>
      </c>
      <c r="AJ16" s="434" t="e">
        <f>VLOOKUP(B16,#REF!,34,0)</f>
        <v>#REF!</v>
      </c>
      <c r="AK16" s="434" t="e">
        <f>VLOOKUP(B16,#REF!,35,0)</f>
        <v>#REF!</v>
      </c>
      <c r="AL16" s="434"/>
      <c r="AM16" s="435" t="str">
        <f>VLOOKUP(B16,'ky thuật'!$C$9:$M$56,11,0)</f>
        <v>A</v>
      </c>
      <c r="AN16" s="442"/>
      <c r="AO16" s="437">
        <v>4.4000000000000004</v>
      </c>
      <c r="AS16" s="544" t="str">
        <f>VLOOKUP(B16,'Mã số NV'!$B$6:$I$53,3,0)</f>
        <v>01880</v>
      </c>
      <c r="AT16" s="546">
        <f t="shared" si="5"/>
        <v>0</v>
      </c>
    </row>
    <row r="17" spans="1:46" s="437" customFormat="1" ht="22.5" customHeight="1">
      <c r="A17" s="438">
        <v>9</v>
      </c>
      <c r="B17" s="476" t="s">
        <v>404</v>
      </c>
      <c r="C17" s="536" t="s">
        <v>454</v>
      </c>
      <c r="D17" s="537" t="s">
        <v>455</v>
      </c>
      <c r="E17" s="440"/>
      <c r="F17" s="440"/>
      <c r="G17" s="440"/>
      <c r="H17" s="440"/>
      <c r="I17" s="440"/>
      <c r="J17" s="440"/>
      <c r="K17" s="440">
        <f t="shared" si="2"/>
        <v>0</v>
      </c>
      <c r="L17" s="440"/>
      <c r="M17" s="440"/>
      <c r="N17" s="440"/>
      <c r="O17" s="440"/>
      <c r="P17" s="440"/>
      <c r="Q17" s="440"/>
      <c r="R17" s="440"/>
      <c r="S17" s="440">
        <f t="shared" si="0"/>
        <v>0</v>
      </c>
      <c r="T17" s="440"/>
      <c r="U17" s="440"/>
      <c r="V17" s="440"/>
      <c r="W17" s="440"/>
      <c r="X17" s="430">
        <f t="shared" si="3"/>
        <v>0</v>
      </c>
      <c r="Y17" s="441">
        <v>4</v>
      </c>
      <c r="Z17" s="430"/>
      <c r="AA17" s="430"/>
      <c r="AB17" s="430">
        <v>1.33</v>
      </c>
      <c r="AC17" s="655"/>
      <c r="AD17" s="655"/>
      <c r="AE17" s="667"/>
      <c r="AF17" s="187">
        <f t="shared" si="1"/>
        <v>1.33</v>
      </c>
      <c r="AG17" s="432" t="e">
        <f>VLOOKUP(B17,#REF!,6,0)</f>
        <v>#REF!</v>
      </c>
      <c r="AH17" s="432" t="e">
        <f>VLOOKUP(B17,#REF!,12,0)</f>
        <v>#REF!</v>
      </c>
      <c r="AI17" s="433" t="e">
        <f t="shared" si="4"/>
        <v>#REF!</v>
      </c>
      <c r="AJ17" s="434" t="e">
        <f>VLOOKUP(B17,#REF!,34,0)</f>
        <v>#REF!</v>
      </c>
      <c r="AK17" s="434" t="e">
        <f>VLOOKUP(B17,#REF!,35,0)</f>
        <v>#REF!</v>
      </c>
      <c r="AL17" s="434"/>
      <c r="AM17" s="435" t="e">
        <f>VLOOKUP(B17,'ky thuật'!$C$9:$M$56,11,0)</f>
        <v>#REF!</v>
      </c>
      <c r="AN17" s="442"/>
      <c r="AO17" s="437">
        <v>5.78</v>
      </c>
      <c r="AS17" s="544" t="str">
        <f>VLOOKUP(B17,'Mã số NV'!$B$6:$I$53,3,0)</f>
        <v>01882</v>
      </c>
      <c r="AT17" s="546">
        <f t="shared" si="5"/>
        <v>0</v>
      </c>
    </row>
    <row r="18" spans="1:46" s="437" customFormat="1" ht="22.5" customHeight="1">
      <c r="A18" s="438">
        <v>10</v>
      </c>
      <c r="B18" s="455" t="s">
        <v>254</v>
      </c>
      <c r="C18" s="531" t="s">
        <v>431</v>
      </c>
      <c r="D18" s="528" t="s">
        <v>432</v>
      </c>
      <c r="E18" s="440"/>
      <c r="F18" s="440"/>
      <c r="G18" s="440"/>
      <c r="H18" s="440"/>
      <c r="I18" s="440"/>
      <c r="J18" s="440"/>
      <c r="K18" s="440">
        <f t="shared" si="2"/>
        <v>0</v>
      </c>
      <c r="L18" s="440"/>
      <c r="M18" s="440"/>
      <c r="N18" s="440"/>
      <c r="O18" s="440"/>
      <c r="P18" s="440"/>
      <c r="Q18" s="440"/>
      <c r="R18" s="440"/>
      <c r="S18" s="440">
        <f t="shared" si="0"/>
        <v>0</v>
      </c>
      <c r="T18" s="440"/>
      <c r="U18" s="440"/>
      <c r="V18" s="440"/>
      <c r="W18" s="440"/>
      <c r="X18" s="430">
        <f t="shared" si="3"/>
        <v>0</v>
      </c>
      <c r="Y18" s="441">
        <v>4</v>
      </c>
      <c r="Z18" s="430"/>
      <c r="AA18" s="430"/>
      <c r="AB18" s="430">
        <v>1.33</v>
      </c>
      <c r="AC18" s="655"/>
      <c r="AD18" s="655"/>
      <c r="AE18" s="667"/>
      <c r="AF18" s="187">
        <f t="shared" si="1"/>
        <v>1.33</v>
      </c>
      <c r="AG18" s="432" t="e">
        <f>VLOOKUP(B18,#REF!,6,0)</f>
        <v>#REF!</v>
      </c>
      <c r="AH18" s="432" t="e">
        <f>VLOOKUP(B18,#REF!,12,0)</f>
        <v>#REF!</v>
      </c>
      <c r="AI18" s="433" t="e">
        <f t="shared" si="4"/>
        <v>#REF!</v>
      </c>
      <c r="AJ18" s="434" t="e">
        <f>VLOOKUP(B18,#REF!,34,0)</f>
        <v>#REF!</v>
      </c>
      <c r="AK18" s="434" t="e">
        <f>VLOOKUP(B18,#REF!,35,0)</f>
        <v>#REF!</v>
      </c>
      <c r="AL18" s="434"/>
      <c r="AM18" s="435" t="e">
        <f>VLOOKUP(B18,'ky thuật'!$C$9:$M$56,11,0)</f>
        <v>#REF!</v>
      </c>
      <c r="AN18" s="442"/>
      <c r="AO18" s="437">
        <v>4.4000000000000004</v>
      </c>
      <c r="AS18" s="544" t="str">
        <f>VLOOKUP(B18,'Mã số NV'!$B$6:$I$53,3,0)</f>
        <v>01877</v>
      </c>
      <c r="AT18" s="546">
        <f t="shared" si="5"/>
        <v>0</v>
      </c>
    </row>
    <row r="19" spans="1:46" s="437" customFormat="1" ht="22.5" customHeight="1">
      <c r="A19" s="438">
        <v>11</v>
      </c>
      <c r="B19" s="476" t="s">
        <v>405</v>
      </c>
      <c r="C19" s="531" t="s">
        <v>425</v>
      </c>
      <c r="D19" s="528" t="s">
        <v>426</v>
      </c>
      <c r="E19" s="440"/>
      <c r="F19" s="440"/>
      <c r="G19" s="440"/>
      <c r="H19" s="440"/>
      <c r="I19" s="440"/>
      <c r="J19" s="440"/>
      <c r="K19" s="440">
        <f t="shared" si="2"/>
        <v>0</v>
      </c>
      <c r="L19" s="440"/>
      <c r="M19" s="440"/>
      <c r="N19" s="440"/>
      <c r="O19" s="440"/>
      <c r="P19" s="440"/>
      <c r="Q19" s="440"/>
      <c r="R19" s="440"/>
      <c r="S19" s="440">
        <f t="shared" si="0"/>
        <v>0</v>
      </c>
      <c r="T19" s="440"/>
      <c r="U19" s="440"/>
      <c r="V19" s="440"/>
      <c r="W19" s="440"/>
      <c r="X19" s="430">
        <f t="shared" si="3"/>
        <v>0</v>
      </c>
      <c r="Y19" s="441">
        <v>4</v>
      </c>
      <c r="Z19" s="430"/>
      <c r="AA19" s="430"/>
      <c r="AB19" s="430">
        <v>1.33</v>
      </c>
      <c r="AC19" s="655"/>
      <c r="AD19" s="655"/>
      <c r="AE19" s="667"/>
      <c r="AF19" s="187">
        <f t="shared" si="1"/>
        <v>1.33</v>
      </c>
      <c r="AG19" s="432" t="e">
        <f>VLOOKUP(B19,#REF!,6,0)</f>
        <v>#REF!</v>
      </c>
      <c r="AH19" s="432" t="e">
        <f>VLOOKUP(B19,#REF!,12,0)</f>
        <v>#REF!</v>
      </c>
      <c r="AI19" s="433" t="e">
        <f t="shared" si="4"/>
        <v>#REF!</v>
      </c>
      <c r="AJ19" s="434" t="e">
        <f>VLOOKUP(B19,#REF!,34,0)</f>
        <v>#REF!</v>
      </c>
      <c r="AK19" s="434" t="e">
        <f>VLOOKUP(B19,#REF!,35,0)</f>
        <v>#REF!</v>
      </c>
      <c r="AL19" s="434"/>
      <c r="AM19" s="435" t="e">
        <f>VLOOKUP(B19,'ky thuật'!$C$9:$M$56,11,0)</f>
        <v>#REF!</v>
      </c>
      <c r="AN19" s="442"/>
      <c r="AO19" s="437">
        <v>8.8000000000000007</v>
      </c>
      <c r="AS19" s="544" t="str">
        <f>VLOOKUP(B19,'Mã số NV'!$B$6:$I$53,3,0)</f>
        <v>01874</v>
      </c>
      <c r="AT19" s="546">
        <f t="shared" si="5"/>
        <v>0</v>
      </c>
    </row>
    <row r="20" spans="1:46" s="437" customFormat="1" ht="22.5" customHeight="1">
      <c r="A20" s="438">
        <v>12</v>
      </c>
      <c r="B20" s="455" t="s">
        <v>271</v>
      </c>
      <c r="C20" s="532" t="s">
        <v>434</v>
      </c>
      <c r="D20" s="528" t="s">
        <v>435</v>
      </c>
      <c r="E20" s="440"/>
      <c r="F20" s="440"/>
      <c r="G20" s="440"/>
      <c r="H20" s="440"/>
      <c r="I20" s="440"/>
      <c r="J20" s="440"/>
      <c r="K20" s="440">
        <f t="shared" si="2"/>
        <v>0</v>
      </c>
      <c r="L20" s="440"/>
      <c r="M20" s="440"/>
      <c r="N20" s="440"/>
      <c r="O20" s="440"/>
      <c r="P20" s="440"/>
      <c r="Q20" s="440"/>
      <c r="R20" s="440"/>
      <c r="S20" s="440">
        <f t="shared" si="0"/>
        <v>0</v>
      </c>
      <c r="T20" s="440"/>
      <c r="U20" s="440"/>
      <c r="V20" s="440"/>
      <c r="W20" s="440"/>
      <c r="X20" s="430">
        <f t="shared" si="3"/>
        <v>0</v>
      </c>
      <c r="Y20" s="441">
        <v>4</v>
      </c>
      <c r="Z20" s="430"/>
      <c r="AA20" s="430"/>
      <c r="AB20" s="430">
        <v>1.33</v>
      </c>
      <c r="AC20" s="655"/>
      <c r="AD20" s="655"/>
      <c r="AE20" s="667"/>
      <c r="AF20" s="187">
        <f t="shared" si="1"/>
        <v>1.33</v>
      </c>
      <c r="AG20" s="432" t="e">
        <f>VLOOKUP(B20,#REF!,6,0)</f>
        <v>#REF!</v>
      </c>
      <c r="AH20" s="432" t="e">
        <f>VLOOKUP(B20,#REF!,12,0)</f>
        <v>#REF!</v>
      </c>
      <c r="AI20" s="433" t="e">
        <f t="shared" si="4"/>
        <v>#REF!</v>
      </c>
      <c r="AJ20" s="434" t="e">
        <f>VLOOKUP(B20,#REF!,34,0)</f>
        <v>#REF!</v>
      </c>
      <c r="AK20" s="434" t="e">
        <f>VLOOKUP(B20,#REF!,35,0)</f>
        <v>#REF!</v>
      </c>
      <c r="AL20" s="434"/>
      <c r="AM20" s="435" t="e">
        <f>VLOOKUP(B20,'ky thuật'!$C$9:$M$56,11,0)</f>
        <v>#REF!</v>
      </c>
      <c r="AN20" s="442"/>
      <c r="AS20" s="544" t="str">
        <f>VLOOKUP(B20,'Mã số NV'!$B$6:$I$53,3,0)</f>
        <v>01879</v>
      </c>
      <c r="AT20" s="546">
        <f t="shared" si="5"/>
        <v>0</v>
      </c>
    </row>
    <row r="21" spans="1:46" s="437" customFormat="1" ht="22.5" customHeight="1">
      <c r="A21" s="438">
        <v>13</v>
      </c>
      <c r="B21" s="455" t="s">
        <v>255</v>
      </c>
      <c r="C21" s="531" t="s">
        <v>427</v>
      </c>
      <c r="D21" s="528" t="s">
        <v>428</v>
      </c>
      <c r="E21" s="440"/>
      <c r="F21" s="440"/>
      <c r="G21" s="440"/>
      <c r="H21" s="440"/>
      <c r="I21" s="440"/>
      <c r="J21" s="440"/>
      <c r="K21" s="440">
        <f t="shared" si="2"/>
        <v>0</v>
      </c>
      <c r="L21" s="440"/>
      <c r="M21" s="440"/>
      <c r="N21" s="440"/>
      <c r="O21" s="440"/>
      <c r="P21" s="440"/>
      <c r="Q21" s="440"/>
      <c r="R21" s="440"/>
      <c r="S21" s="440">
        <f t="shared" si="0"/>
        <v>0</v>
      </c>
      <c r="T21" s="440"/>
      <c r="U21" s="440"/>
      <c r="V21" s="440"/>
      <c r="W21" s="440"/>
      <c r="X21" s="430">
        <f t="shared" si="3"/>
        <v>0</v>
      </c>
      <c r="Y21" s="441">
        <v>4</v>
      </c>
      <c r="Z21" s="430"/>
      <c r="AA21" s="430"/>
      <c r="AB21" s="430">
        <v>1.33</v>
      </c>
      <c r="AC21" s="655"/>
      <c r="AD21" s="655"/>
      <c r="AE21" s="667"/>
      <c r="AF21" s="187">
        <f t="shared" si="1"/>
        <v>1.33</v>
      </c>
      <c r="AG21" s="432" t="e">
        <f>VLOOKUP(B21,#REF!,6,0)</f>
        <v>#REF!</v>
      </c>
      <c r="AH21" s="432" t="e">
        <f>VLOOKUP(B21,#REF!,12,0)</f>
        <v>#REF!</v>
      </c>
      <c r="AI21" s="433" t="e">
        <f t="shared" si="4"/>
        <v>#REF!</v>
      </c>
      <c r="AJ21" s="434" t="e">
        <f>VLOOKUP(B21,#REF!,34,0)</f>
        <v>#REF!</v>
      </c>
      <c r="AK21" s="434" t="e">
        <f>VLOOKUP(B21,#REF!,35,0)</f>
        <v>#REF!</v>
      </c>
      <c r="AL21" s="434"/>
      <c r="AM21" s="435" t="e">
        <f>VLOOKUP(B21,'ky thuật'!$C$9:$M$56,11,0)</f>
        <v>#REF!</v>
      </c>
      <c r="AN21" s="442"/>
      <c r="AS21" s="544" t="str">
        <f>VLOOKUP(B21,'Mã số NV'!$B$6:$I$53,3,0)</f>
        <v>01873</v>
      </c>
      <c r="AT21" s="546">
        <f t="shared" si="5"/>
        <v>0</v>
      </c>
    </row>
    <row r="22" spans="1:46" s="437" customFormat="1" ht="22.5" customHeight="1">
      <c r="A22" s="438">
        <v>14</v>
      </c>
      <c r="B22" s="627" t="s">
        <v>581</v>
      </c>
      <c r="C22" s="532"/>
      <c r="D22" s="528"/>
      <c r="E22" s="440"/>
      <c r="F22" s="440"/>
      <c r="G22" s="440"/>
      <c r="H22" s="440"/>
      <c r="I22" s="440"/>
      <c r="J22" s="440"/>
      <c r="K22" s="440">
        <f t="shared" si="2"/>
        <v>0</v>
      </c>
      <c r="L22" s="440"/>
      <c r="M22" s="440"/>
      <c r="N22" s="440"/>
      <c r="O22" s="440"/>
      <c r="P22" s="440"/>
      <c r="Q22" s="440"/>
      <c r="R22" s="440"/>
      <c r="S22" s="440">
        <f t="shared" si="0"/>
        <v>0</v>
      </c>
      <c r="T22" s="440"/>
      <c r="U22" s="440"/>
      <c r="V22" s="440"/>
      <c r="W22" s="440"/>
      <c r="X22" s="430">
        <f t="shared" si="3"/>
        <v>0</v>
      </c>
      <c r="Y22" s="441">
        <v>4</v>
      </c>
      <c r="Z22" s="430"/>
      <c r="AA22" s="430"/>
      <c r="AB22" s="430">
        <v>1.33</v>
      </c>
      <c r="AC22" s="655"/>
      <c r="AD22" s="655"/>
      <c r="AE22" s="667"/>
      <c r="AF22" s="187">
        <f t="shared" si="1"/>
        <v>1.33</v>
      </c>
      <c r="AG22" s="432" t="e">
        <f>VLOOKUP(B22,#REF!,6,0)</f>
        <v>#REF!</v>
      </c>
      <c r="AH22" s="432" t="e">
        <f>VLOOKUP(B22,#REF!,12,0)</f>
        <v>#REF!</v>
      </c>
      <c r="AI22" s="433" t="e">
        <f t="shared" si="4"/>
        <v>#REF!</v>
      </c>
      <c r="AJ22" s="434" t="e">
        <f>VLOOKUP(B22,#REF!,34,0)</f>
        <v>#REF!</v>
      </c>
      <c r="AK22" s="434" t="e">
        <f>VLOOKUP(B22,#REF!,35,0)</f>
        <v>#REF!</v>
      </c>
      <c r="AL22" s="434"/>
      <c r="AM22" s="435" t="e">
        <f>VLOOKUP(B22,'ky thuật'!$C$9:$M$56,11,0)</f>
        <v>#REF!</v>
      </c>
      <c r="AN22" s="442"/>
      <c r="AO22" s="437">
        <v>4.4000000000000004</v>
      </c>
      <c r="AS22" s="544">
        <f>VLOOKUP(B22,'Mã số NV'!$B$6:$I$53,3,0)</f>
        <v>0</v>
      </c>
      <c r="AT22" s="546">
        <f t="shared" si="5"/>
        <v>0</v>
      </c>
    </row>
    <row r="23" spans="1:46" s="437" customFormat="1" ht="22.5" customHeight="1">
      <c r="A23" s="438">
        <v>15</v>
      </c>
      <c r="B23" s="477" t="s">
        <v>406</v>
      </c>
      <c r="C23" s="540" t="s">
        <v>473</v>
      </c>
      <c r="D23" s="538" t="s">
        <v>474</v>
      </c>
      <c r="E23" s="440"/>
      <c r="F23" s="440"/>
      <c r="G23" s="440"/>
      <c r="H23" s="440"/>
      <c r="I23" s="440"/>
      <c r="J23" s="440"/>
      <c r="K23" s="440">
        <f t="shared" si="2"/>
        <v>0</v>
      </c>
      <c r="L23" s="440"/>
      <c r="M23" s="440"/>
      <c r="N23" s="440"/>
      <c r="O23" s="440"/>
      <c r="P23" s="440"/>
      <c r="Q23" s="440"/>
      <c r="R23" s="440"/>
      <c r="S23" s="440">
        <f t="shared" si="0"/>
        <v>0</v>
      </c>
      <c r="T23" s="440"/>
      <c r="U23" s="440"/>
      <c r="V23" s="440"/>
      <c r="W23" s="440"/>
      <c r="X23" s="430">
        <f t="shared" si="3"/>
        <v>0</v>
      </c>
      <c r="Y23" s="441">
        <v>4</v>
      </c>
      <c r="Z23" s="430"/>
      <c r="AA23" s="430"/>
      <c r="AB23" s="430">
        <v>1.33</v>
      </c>
      <c r="AC23" s="655"/>
      <c r="AD23" s="655"/>
      <c r="AE23" s="667"/>
      <c r="AF23" s="187">
        <f t="shared" si="1"/>
        <v>1.33</v>
      </c>
      <c r="AG23" s="432" t="e">
        <f>VLOOKUP(B23,#REF!,6,0)</f>
        <v>#REF!</v>
      </c>
      <c r="AH23" s="432" t="e">
        <f>VLOOKUP(B23,#REF!,12,0)</f>
        <v>#REF!</v>
      </c>
      <c r="AI23" s="433" t="e">
        <f t="shared" si="4"/>
        <v>#REF!</v>
      </c>
      <c r="AJ23" s="434" t="e">
        <f>VLOOKUP(B23,#REF!,34,0)</f>
        <v>#REF!</v>
      </c>
      <c r="AK23" s="434" t="e">
        <f>VLOOKUP(B23,#REF!,35,0)</f>
        <v>#REF!</v>
      </c>
      <c r="AL23" s="434"/>
      <c r="AM23" s="435" t="e">
        <f>VLOOKUP(B23,'ky thuật'!$C$9:$M$56,11,0)</f>
        <v>#REF!</v>
      </c>
      <c r="AN23" s="442"/>
      <c r="AS23" s="544" t="str">
        <f>VLOOKUP(B23,'Mã số NV'!$B$6:$I$53,3,0)</f>
        <v>01893</v>
      </c>
      <c r="AT23" s="546">
        <f t="shared" si="5"/>
        <v>0</v>
      </c>
    </row>
    <row r="24" spans="1:46" s="437" customFormat="1" ht="22.5" customHeight="1">
      <c r="A24" s="438">
        <v>16</v>
      </c>
      <c r="B24" s="455" t="s">
        <v>270</v>
      </c>
      <c r="C24" s="532" t="s">
        <v>462</v>
      </c>
      <c r="D24" s="538" t="s">
        <v>463</v>
      </c>
      <c r="E24" s="440"/>
      <c r="F24" s="440"/>
      <c r="G24" s="440"/>
      <c r="H24" s="440"/>
      <c r="I24" s="440"/>
      <c r="J24" s="440"/>
      <c r="K24" s="440">
        <f t="shared" si="2"/>
        <v>0</v>
      </c>
      <c r="L24" s="440"/>
      <c r="M24" s="440"/>
      <c r="N24" s="440"/>
      <c r="O24" s="440"/>
      <c r="P24" s="440"/>
      <c r="Q24" s="440"/>
      <c r="R24" s="440"/>
      <c r="S24" s="440">
        <f t="shared" si="0"/>
        <v>0</v>
      </c>
      <c r="T24" s="440"/>
      <c r="U24" s="440"/>
      <c r="V24" s="440"/>
      <c r="W24" s="440"/>
      <c r="X24" s="430">
        <f t="shared" si="3"/>
        <v>0</v>
      </c>
      <c r="Y24" s="441">
        <v>4</v>
      </c>
      <c r="Z24" s="430"/>
      <c r="AA24" s="430"/>
      <c r="AB24" s="430">
        <v>1.33</v>
      </c>
      <c r="AC24" s="655"/>
      <c r="AD24" s="655"/>
      <c r="AE24" s="667"/>
      <c r="AF24" s="187">
        <f t="shared" si="1"/>
        <v>1.33</v>
      </c>
      <c r="AG24" s="432" t="e">
        <f>VLOOKUP(B24,#REF!,6,0)</f>
        <v>#REF!</v>
      </c>
      <c r="AH24" s="432" t="e">
        <f>VLOOKUP(B24,#REF!,12,0)</f>
        <v>#REF!</v>
      </c>
      <c r="AI24" s="433" t="e">
        <f t="shared" si="4"/>
        <v>#REF!</v>
      </c>
      <c r="AJ24" s="434" t="e">
        <f>VLOOKUP(B24,#REF!,34,0)</f>
        <v>#REF!</v>
      </c>
      <c r="AK24" s="434" t="e">
        <f>VLOOKUP(B24,#REF!,35,0)</f>
        <v>#REF!</v>
      </c>
      <c r="AL24" s="434"/>
      <c r="AM24" s="435" t="e">
        <f>VLOOKUP(B24,'ky thuật'!$C$9:$M$56,11,0)</f>
        <v>#REF!</v>
      </c>
      <c r="AN24" s="442"/>
      <c r="AS24" s="544" t="str">
        <f>VLOOKUP(B24,'Mã số NV'!$B$6:$I$53,3,0)</f>
        <v>01885</v>
      </c>
      <c r="AT24" s="546">
        <f t="shared" si="5"/>
        <v>0</v>
      </c>
    </row>
    <row r="25" spans="1:46" s="437" customFormat="1" ht="22.5" customHeight="1">
      <c r="A25" s="438">
        <v>17</v>
      </c>
      <c r="B25" s="629" t="s">
        <v>582</v>
      </c>
      <c r="C25" s="532"/>
      <c r="D25" s="538"/>
      <c r="E25" s="440"/>
      <c r="F25" s="440"/>
      <c r="G25" s="440"/>
      <c r="H25" s="440"/>
      <c r="I25" s="440"/>
      <c r="J25" s="440"/>
      <c r="K25" s="440">
        <f t="shared" si="2"/>
        <v>0</v>
      </c>
      <c r="L25" s="440"/>
      <c r="M25" s="440"/>
      <c r="N25" s="440"/>
      <c r="O25" s="440"/>
      <c r="P25" s="440"/>
      <c r="Q25" s="440"/>
      <c r="R25" s="440"/>
      <c r="S25" s="440">
        <f t="shared" si="0"/>
        <v>0</v>
      </c>
      <c r="T25" s="440"/>
      <c r="U25" s="440"/>
      <c r="V25" s="440"/>
      <c r="W25" s="440"/>
      <c r="X25" s="430">
        <f t="shared" si="3"/>
        <v>0</v>
      </c>
      <c r="Y25" s="441">
        <v>4</v>
      </c>
      <c r="Z25" s="430"/>
      <c r="AA25" s="430"/>
      <c r="AB25" s="430">
        <v>1.33</v>
      </c>
      <c r="AC25" s="655"/>
      <c r="AD25" s="655"/>
      <c r="AE25" s="667"/>
      <c r="AF25" s="187">
        <f t="shared" si="1"/>
        <v>1.33</v>
      </c>
      <c r="AG25" s="432" t="e">
        <f>VLOOKUP(B25,#REF!,6,0)</f>
        <v>#REF!</v>
      </c>
      <c r="AH25" s="432" t="e">
        <f>VLOOKUP(B25,#REF!,12,0)</f>
        <v>#REF!</v>
      </c>
      <c r="AI25" s="433" t="e">
        <f t="shared" si="4"/>
        <v>#REF!</v>
      </c>
      <c r="AJ25" s="434" t="e">
        <f>VLOOKUP(B25,#REF!,34,0)</f>
        <v>#REF!</v>
      </c>
      <c r="AK25" s="434" t="e">
        <f>VLOOKUP(B25,#REF!,35,0)</f>
        <v>#REF!</v>
      </c>
      <c r="AL25" s="434"/>
      <c r="AM25" s="435" t="e">
        <f>VLOOKUP(B25,'ky thuật'!$C$9:$M$56,11,0)</f>
        <v>#REF!</v>
      </c>
      <c r="AN25" s="442"/>
      <c r="AS25" s="544">
        <f>VLOOKUP(B25,'Mã số NV'!$B$6:$I$53,3,0)</f>
        <v>0</v>
      </c>
      <c r="AT25" s="546">
        <f t="shared" si="5"/>
        <v>0</v>
      </c>
    </row>
    <row r="26" spans="1:46" s="437" customFormat="1" ht="22.5" customHeight="1">
      <c r="A26" s="438">
        <v>18</v>
      </c>
      <c r="B26" s="455" t="s">
        <v>283</v>
      </c>
      <c r="C26" s="532" t="s">
        <v>460</v>
      </c>
      <c r="D26" s="538" t="s">
        <v>461</v>
      </c>
      <c r="E26" s="440"/>
      <c r="F26" s="440"/>
      <c r="G26" s="440"/>
      <c r="H26" s="440"/>
      <c r="I26" s="440"/>
      <c r="J26" s="440"/>
      <c r="K26" s="440">
        <f t="shared" si="2"/>
        <v>0</v>
      </c>
      <c r="L26" s="440"/>
      <c r="M26" s="440"/>
      <c r="N26" s="440"/>
      <c r="O26" s="440"/>
      <c r="P26" s="440"/>
      <c r="Q26" s="440"/>
      <c r="R26" s="440"/>
      <c r="S26" s="440">
        <f t="shared" si="0"/>
        <v>0</v>
      </c>
      <c r="T26" s="440"/>
      <c r="U26" s="440"/>
      <c r="V26" s="440"/>
      <c r="W26" s="440"/>
      <c r="X26" s="430">
        <f t="shared" si="3"/>
        <v>0</v>
      </c>
      <c r="Y26" s="441">
        <v>4</v>
      </c>
      <c r="Z26" s="430"/>
      <c r="AA26" s="430"/>
      <c r="AB26" s="430">
        <v>1.33</v>
      </c>
      <c r="AC26" s="655"/>
      <c r="AD26" s="655"/>
      <c r="AE26" s="667"/>
      <c r="AF26" s="187">
        <f t="shared" si="1"/>
        <v>1.33</v>
      </c>
      <c r="AG26" s="432" t="e">
        <f>VLOOKUP(B26,#REF!,6,0)</f>
        <v>#REF!</v>
      </c>
      <c r="AH26" s="432" t="e">
        <f>VLOOKUP(B26,#REF!,12,0)</f>
        <v>#REF!</v>
      </c>
      <c r="AI26" s="433" t="e">
        <f t="shared" si="4"/>
        <v>#REF!</v>
      </c>
      <c r="AJ26" s="434" t="e">
        <f>VLOOKUP(B26,#REF!,34,0)</f>
        <v>#REF!</v>
      </c>
      <c r="AK26" s="434" t="e">
        <f>VLOOKUP(B26,#REF!,35,0)</f>
        <v>#REF!</v>
      </c>
      <c r="AL26" s="434"/>
      <c r="AM26" s="435" t="e">
        <f>VLOOKUP(B26,'ky thuật'!$C$9:$M$56,11,0)</f>
        <v>#REF!</v>
      </c>
      <c r="AN26" s="442"/>
      <c r="AS26" s="544" t="str">
        <f>VLOOKUP(B26,'Mã số NV'!$B$6:$I$53,3,0)</f>
        <v>01884</v>
      </c>
      <c r="AT26" s="546">
        <f t="shared" si="5"/>
        <v>0</v>
      </c>
    </row>
    <row r="27" spans="1:46" s="437" customFormat="1" ht="22.5" customHeight="1">
      <c r="A27" s="438">
        <v>19</v>
      </c>
      <c r="B27" s="477" t="s">
        <v>407</v>
      </c>
      <c r="C27" s="532" t="s">
        <v>464</v>
      </c>
      <c r="D27" s="538" t="s">
        <v>465</v>
      </c>
      <c r="E27" s="440"/>
      <c r="F27" s="440"/>
      <c r="G27" s="440"/>
      <c r="H27" s="440"/>
      <c r="I27" s="440"/>
      <c r="J27" s="440"/>
      <c r="K27" s="440">
        <f t="shared" si="2"/>
        <v>0</v>
      </c>
      <c r="L27" s="440"/>
      <c r="M27" s="440"/>
      <c r="N27" s="440"/>
      <c r="O27" s="440"/>
      <c r="P27" s="440"/>
      <c r="Q27" s="440"/>
      <c r="R27" s="440"/>
      <c r="S27" s="440">
        <f t="shared" si="0"/>
        <v>0</v>
      </c>
      <c r="T27" s="440"/>
      <c r="U27" s="440"/>
      <c r="V27" s="440"/>
      <c r="W27" s="440"/>
      <c r="X27" s="430">
        <f t="shared" si="3"/>
        <v>0</v>
      </c>
      <c r="Y27" s="441">
        <v>4</v>
      </c>
      <c r="Z27" s="430"/>
      <c r="AA27" s="430"/>
      <c r="AB27" s="430">
        <v>1.33</v>
      </c>
      <c r="AC27" s="655"/>
      <c r="AD27" s="655"/>
      <c r="AE27" s="667"/>
      <c r="AF27" s="187">
        <f t="shared" si="1"/>
        <v>1.33</v>
      </c>
      <c r="AG27" s="432" t="e">
        <f>VLOOKUP(B27,#REF!,6,0)</f>
        <v>#REF!</v>
      </c>
      <c r="AH27" s="432" t="e">
        <f>VLOOKUP(B27,#REF!,12,0)</f>
        <v>#REF!</v>
      </c>
      <c r="AI27" s="433" t="e">
        <f t="shared" si="4"/>
        <v>#REF!</v>
      </c>
      <c r="AJ27" s="434" t="e">
        <f>VLOOKUP(B27,#REF!,34,0)</f>
        <v>#REF!</v>
      </c>
      <c r="AK27" s="434" t="e">
        <f>VLOOKUP(B27,#REF!,35,0)</f>
        <v>#REF!</v>
      </c>
      <c r="AL27" s="434"/>
      <c r="AM27" s="435" t="str">
        <f>VLOOKUP(B27,'ky thuật'!$C$9:$M$56,11,0)</f>
        <v>A</v>
      </c>
      <c r="AN27" s="442"/>
      <c r="AS27" s="544" t="str">
        <f>VLOOKUP(B27,'Mã số NV'!$B$6:$I$53,3,0)</f>
        <v>01886</v>
      </c>
      <c r="AT27" s="546">
        <f t="shared" si="5"/>
        <v>0</v>
      </c>
    </row>
    <row r="28" spans="1:46" s="437" customFormat="1" ht="22.5" customHeight="1">
      <c r="A28" s="438">
        <v>20</v>
      </c>
      <c r="B28" s="455" t="s">
        <v>269</v>
      </c>
      <c r="C28" s="532" t="s">
        <v>458</v>
      </c>
      <c r="D28" s="538" t="s">
        <v>459</v>
      </c>
      <c r="E28" s="440"/>
      <c r="F28" s="440"/>
      <c r="G28" s="440"/>
      <c r="H28" s="440"/>
      <c r="I28" s="440"/>
      <c r="J28" s="440"/>
      <c r="K28" s="440">
        <f t="shared" si="2"/>
        <v>0</v>
      </c>
      <c r="L28" s="440"/>
      <c r="M28" s="440"/>
      <c r="N28" s="440"/>
      <c r="O28" s="440"/>
      <c r="P28" s="440"/>
      <c r="Q28" s="440"/>
      <c r="R28" s="440"/>
      <c r="S28" s="440">
        <f t="shared" si="0"/>
        <v>0</v>
      </c>
      <c r="T28" s="440"/>
      <c r="U28" s="440"/>
      <c r="V28" s="440"/>
      <c r="W28" s="440"/>
      <c r="X28" s="430">
        <f t="shared" si="3"/>
        <v>0</v>
      </c>
      <c r="Y28" s="441">
        <v>4</v>
      </c>
      <c r="Z28" s="430"/>
      <c r="AA28" s="430"/>
      <c r="AB28" s="430">
        <v>1.33</v>
      </c>
      <c r="AC28" s="655"/>
      <c r="AD28" s="655"/>
      <c r="AE28" s="667"/>
      <c r="AF28" s="187">
        <f t="shared" si="1"/>
        <v>1.33</v>
      </c>
      <c r="AG28" s="432" t="e">
        <f>VLOOKUP(B28,#REF!,6,0)</f>
        <v>#REF!</v>
      </c>
      <c r="AH28" s="432" t="e">
        <f>VLOOKUP(B28,#REF!,12,0)</f>
        <v>#REF!</v>
      </c>
      <c r="AI28" s="433" t="e">
        <f t="shared" si="4"/>
        <v>#REF!</v>
      </c>
      <c r="AJ28" s="434" t="e">
        <f>VLOOKUP(B28,#REF!,34,0)</f>
        <v>#REF!</v>
      </c>
      <c r="AK28" s="434" t="e">
        <f>VLOOKUP(B28,#REF!,35,0)</f>
        <v>#REF!</v>
      </c>
      <c r="AL28" s="434"/>
      <c r="AM28" s="435" t="e">
        <f>VLOOKUP(B28,'ky thuật'!$C$9:$M$56,11,0)</f>
        <v>#REF!</v>
      </c>
      <c r="AN28" s="442"/>
      <c r="AS28" s="544" t="str">
        <f>VLOOKUP(B28,'Mã số NV'!$B$6:$I$53,3,0)</f>
        <v>01883</v>
      </c>
      <c r="AT28" s="546">
        <f t="shared" si="5"/>
        <v>0</v>
      </c>
    </row>
    <row r="29" spans="1:46" s="437" customFormat="1" ht="22.5" customHeight="1">
      <c r="A29" s="438">
        <v>21</v>
      </c>
      <c r="B29" s="455" t="s">
        <v>319</v>
      </c>
      <c r="C29" s="540" t="s">
        <v>468</v>
      </c>
      <c r="D29" s="538" t="s">
        <v>469</v>
      </c>
      <c r="E29" s="440"/>
      <c r="F29" s="440"/>
      <c r="G29" s="440"/>
      <c r="H29" s="440"/>
      <c r="I29" s="440"/>
      <c r="J29" s="440"/>
      <c r="K29" s="440">
        <f t="shared" si="2"/>
        <v>0</v>
      </c>
      <c r="L29" s="440"/>
      <c r="M29" s="440"/>
      <c r="N29" s="440"/>
      <c r="O29" s="440"/>
      <c r="P29" s="440"/>
      <c r="Q29" s="440"/>
      <c r="R29" s="440"/>
      <c r="S29" s="440">
        <f t="shared" si="0"/>
        <v>0</v>
      </c>
      <c r="T29" s="440"/>
      <c r="U29" s="440"/>
      <c r="V29" s="440"/>
      <c r="W29" s="440"/>
      <c r="X29" s="430">
        <f t="shared" si="3"/>
        <v>0</v>
      </c>
      <c r="Y29" s="441">
        <v>4</v>
      </c>
      <c r="Z29" s="430"/>
      <c r="AA29" s="430"/>
      <c r="AB29" s="430">
        <v>1.33</v>
      </c>
      <c r="AC29" s="655"/>
      <c r="AD29" s="655"/>
      <c r="AE29" s="667"/>
      <c r="AF29" s="187">
        <f t="shared" si="1"/>
        <v>1.33</v>
      </c>
      <c r="AG29" s="432" t="e">
        <f>VLOOKUP(B29,#REF!,6,0)</f>
        <v>#REF!</v>
      </c>
      <c r="AH29" s="432" t="e">
        <f>VLOOKUP(B29,#REF!,12,0)</f>
        <v>#REF!</v>
      </c>
      <c r="AI29" s="433" t="e">
        <f t="shared" si="4"/>
        <v>#REF!</v>
      </c>
      <c r="AJ29" s="434" t="e">
        <f>VLOOKUP(B29,#REF!,34,0)</f>
        <v>#REF!</v>
      </c>
      <c r="AK29" s="434" t="e">
        <f>VLOOKUP(B29,#REF!,35,0)</f>
        <v>#REF!</v>
      </c>
      <c r="AL29" s="434"/>
      <c r="AM29" s="435" t="e">
        <f>VLOOKUP(B29,'ky thuật'!$C$9:$M$56,11,0)</f>
        <v>#REF!</v>
      </c>
      <c r="AN29" s="442"/>
      <c r="AS29" s="544" t="str">
        <f>VLOOKUP(B29,'Mã số NV'!$B$6:$I$53,3,0)</f>
        <v>01889</v>
      </c>
      <c r="AT29" s="546">
        <f t="shared" si="5"/>
        <v>0</v>
      </c>
    </row>
    <row r="30" spans="1:46" s="437" customFormat="1" ht="22.5" customHeight="1">
      <c r="A30" s="438">
        <v>22</v>
      </c>
      <c r="B30" s="455" t="s">
        <v>320</v>
      </c>
      <c r="C30" s="540" t="s">
        <v>470</v>
      </c>
      <c r="D30" s="538" t="s">
        <v>471</v>
      </c>
      <c r="E30" s="440"/>
      <c r="F30" s="440"/>
      <c r="G30" s="440"/>
      <c r="H30" s="440"/>
      <c r="I30" s="440"/>
      <c r="J30" s="440"/>
      <c r="K30" s="440">
        <f t="shared" si="2"/>
        <v>0</v>
      </c>
      <c r="L30" s="440"/>
      <c r="M30" s="440"/>
      <c r="N30" s="440"/>
      <c r="O30" s="440"/>
      <c r="P30" s="440"/>
      <c r="Q30" s="440"/>
      <c r="R30" s="440"/>
      <c r="S30" s="440">
        <f t="shared" si="0"/>
        <v>0</v>
      </c>
      <c r="T30" s="440"/>
      <c r="U30" s="440"/>
      <c r="V30" s="440"/>
      <c r="W30" s="440"/>
      <c r="X30" s="430">
        <f t="shared" si="3"/>
        <v>0</v>
      </c>
      <c r="Y30" s="441">
        <v>4</v>
      </c>
      <c r="Z30" s="430"/>
      <c r="AA30" s="430"/>
      <c r="AB30" s="430">
        <v>1.33</v>
      </c>
      <c r="AC30" s="655"/>
      <c r="AD30" s="655"/>
      <c r="AE30" s="667"/>
      <c r="AF30" s="187">
        <f t="shared" si="1"/>
        <v>1.33</v>
      </c>
      <c r="AG30" s="432" t="e">
        <f>VLOOKUP(B30,#REF!,6,0)</f>
        <v>#REF!</v>
      </c>
      <c r="AH30" s="432" t="e">
        <f>VLOOKUP(B30,#REF!,12,0)</f>
        <v>#REF!</v>
      </c>
      <c r="AI30" s="433" t="e">
        <f t="shared" si="4"/>
        <v>#REF!</v>
      </c>
      <c r="AJ30" s="434" t="e">
        <f>VLOOKUP(B30,#REF!,34,0)</f>
        <v>#REF!</v>
      </c>
      <c r="AK30" s="434" t="e">
        <f>VLOOKUP(B30,#REF!,35,0)</f>
        <v>#REF!</v>
      </c>
      <c r="AL30" s="434"/>
      <c r="AM30" s="435" t="e">
        <f>VLOOKUP(B30,'ky thuật'!$C$9:$M$56,11,0)</f>
        <v>#REF!</v>
      </c>
      <c r="AN30" s="442"/>
      <c r="AO30" s="437">
        <v>6.6000000000000005</v>
      </c>
      <c r="AS30" s="544" t="str">
        <f>VLOOKUP(B30,'Mã số NV'!$B$6:$I$53,3,0)</f>
        <v>01890</v>
      </c>
      <c r="AT30" s="546">
        <f t="shared" si="5"/>
        <v>0</v>
      </c>
    </row>
    <row r="31" spans="1:46" s="437" customFormat="1" ht="22.5" customHeight="1">
      <c r="A31" s="438">
        <v>23</v>
      </c>
      <c r="B31" s="479" t="s">
        <v>583</v>
      </c>
      <c r="C31" s="539"/>
      <c r="D31" s="538"/>
      <c r="E31" s="440"/>
      <c r="F31" s="440"/>
      <c r="G31" s="440"/>
      <c r="H31" s="440"/>
      <c r="I31" s="440"/>
      <c r="J31" s="440"/>
      <c r="K31" s="440">
        <f t="shared" si="2"/>
        <v>0</v>
      </c>
      <c r="L31" s="440"/>
      <c r="M31" s="440"/>
      <c r="N31" s="440"/>
      <c r="O31" s="440"/>
      <c r="P31" s="440"/>
      <c r="Q31" s="440"/>
      <c r="R31" s="440"/>
      <c r="S31" s="440">
        <f t="shared" si="0"/>
        <v>0</v>
      </c>
      <c r="T31" s="440"/>
      <c r="U31" s="440"/>
      <c r="V31" s="440"/>
      <c r="W31" s="440"/>
      <c r="X31" s="430">
        <f t="shared" si="3"/>
        <v>0</v>
      </c>
      <c r="Y31" s="441">
        <v>4</v>
      </c>
      <c r="Z31" s="430"/>
      <c r="AA31" s="430"/>
      <c r="AB31" s="430">
        <v>1.33</v>
      </c>
      <c r="AC31" s="655"/>
      <c r="AD31" s="655"/>
      <c r="AE31" s="667"/>
      <c r="AF31" s="187">
        <f t="shared" si="1"/>
        <v>1.33</v>
      </c>
      <c r="AG31" s="432" t="e">
        <f>VLOOKUP(B31,#REF!,6,0)</f>
        <v>#REF!</v>
      </c>
      <c r="AH31" s="432" t="e">
        <f>VLOOKUP(B31,#REF!,12,0)</f>
        <v>#REF!</v>
      </c>
      <c r="AI31" s="433" t="e">
        <f t="shared" si="4"/>
        <v>#REF!</v>
      </c>
      <c r="AJ31" s="434" t="e">
        <f>VLOOKUP(B31,#REF!,34,0)</f>
        <v>#REF!</v>
      </c>
      <c r="AK31" s="434" t="e">
        <f>VLOOKUP(B31,#REF!,35,0)</f>
        <v>#REF!</v>
      </c>
      <c r="AL31" s="434"/>
      <c r="AM31" s="435" t="e">
        <f>VLOOKUP(B31,'ky thuật'!$C$9:$M$56,11,0)</f>
        <v>#REF!</v>
      </c>
      <c r="AN31" s="442"/>
      <c r="AS31" s="544">
        <f>VLOOKUP(B31,'Mã số NV'!$B$6:$I$53,3,0)</f>
        <v>0</v>
      </c>
      <c r="AT31" s="546">
        <f t="shared" si="5"/>
        <v>0</v>
      </c>
    </row>
    <row r="32" spans="1:46" s="437" customFormat="1" ht="22.5" customHeight="1">
      <c r="A32" s="438">
        <v>24</v>
      </c>
      <c r="B32" s="478" t="s">
        <v>408</v>
      </c>
      <c r="C32" s="536" t="s">
        <v>452</v>
      </c>
      <c r="D32" s="534" t="s">
        <v>453</v>
      </c>
      <c r="E32" s="440"/>
      <c r="F32" s="440"/>
      <c r="G32" s="440"/>
      <c r="H32" s="440"/>
      <c r="I32" s="440"/>
      <c r="J32" s="440"/>
      <c r="K32" s="440">
        <f t="shared" si="2"/>
        <v>0</v>
      </c>
      <c r="L32" s="440"/>
      <c r="M32" s="440"/>
      <c r="N32" s="440"/>
      <c r="O32" s="440"/>
      <c r="P32" s="440"/>
      <c r="Q32" s="440"/>
      <c r="R32" s="440"/>
      <c r="S32" s="440">
        <f t="shared" si="0"/>
        <v>0</v>
      </c>
      <c r="T32" s="440"/>
      <c r="U32" s="440"/>
      <c r="V32" s="440"/>
      <c r="W32" s="440"/>
      <c r="X32" s="430">
        <f t="shared" si="3"/>
        <v>0</v>
      </c>
      <c r="Y32" s="441">
        <v>4</v>
      </c>
      <c r="Z32" s="430"/>
      <c r="AA32" s="430"/>
      <c r="AB32" s="430">
        <v>1.33</v>
      </c>
      <c r="AC32" s="655"/>
      <c r="AD32" s="655"/>
      <c r="AE32" s="667"/>
      <c r="AF32" s="187">
        <f t="shared" si="1"/>
        <v>1.33</v>
      </c>
      <c r="AG32" s="432" t="e">
        <f>VLOOKUP(B32,#REF!,6,0)</f>
        <v>#REF!</v>
      </c>
      <c r="AH32" s="432" t="e">
        <f>VLOOKUP(B32,#REF!,12,0)</f>
        <v>#REF!</v>
      </c>
      <c r="AI32" s="433" t="e">
        <f t="shared" si="4"/>
        <v>#REF!</v>
      </c>
      <c r="AJ32" s="434" t="e">
        <f>VLOOKUP(B32,#REF!,34,0)</f>
        <v>#REF!</v>
      </c>
      <c r="AK32" s="434" t="e">
        <f>VLOOKUP(B32,#REF!,35,0)</f>
        <v>#REF!</v>
      </c>
      <c r="AL32" s="434"/>
      <c r="AM32" s="435" t="e">
        <f>VLOOKUP(B32,'ky thuật'!$C$9:$M$56,11,0)</f>
        <v>#REF!</v>
      </c>
      <c r="AN32" s="442"/>
      <c r="AS32" s="544" t="str">
        <f>VLOOKUP(B32,'Mã số NV'!$B$6:$I$53,3,0)</f>
        <v>01901</v>
      </c>
      <c r="AT32" s="546">
        <f t="shared" si="5"/>
        <v>0</v>
      </c>
    </row>
    <row r="33" spans="1:46" s="437" customFormat="1" ht="22.5" customHeight="1">
      <c r="A33" s="438">
        <v>25</v>
      </c>
      <c r="B33" s="477" t="s">
        <v>409</v>
      </c>
      <c r="C33" s="536" t="s">
        <v>442</v>
      </c>
      <c r="D33" s="534" t="s">
        <v>443</v>
      </c>
      <c r="E33" s="440"/>
      <c r="F33" s="440"/>
      <c r="G33" s="440"/>
      <c r="H33" s="440"/>
      <c r="I33" s="440"/>
      <c r="J33" s="440"/>
      <c r="K33" s="440">
        <f t="shared" si="2"/>
        <v>0</v>
      </c>
      <c r="L33" s="440"/>
      <c r="M33" s="440"/>
      <c r="N33" s="440"/>
      <c r="O33" s="440"/>
      <c r="P33" s="440"/>
      <c r="Q33" s="440"/>
      <c r="R33" s="440"/>
      <c r="S33" s="440">
        <f t="shared" si="0"/>
        <v>0</v>
      </c>
      <c r="T33" s="440"/>
      <c r="U33" s="440"/>
      <c r="V33" s="440"/>
      <c r="W33" s="440"/>
      <c r="X33" s="430">
        <f t="shared" si="3"/>
        <v>0</v>
      </c>
      <c r="Y33" s="441">
        <v>4</v>
      </c>
      <c r="Z33" s="430"/>
      <c r="AA33" s="430"/>
      <c r="AB33" s="430">
        <v>1.33</v>
      </c>
      <c r="AC33" s="655"/>
      <c r="AD33" s="655"/>
      <c r="AE33" s="667"/>
      <c r="AF33" s="187">
        <f t="shared" si="1"/>
        <v>1.33</v>
      </c>
      <c r="AG33" s="432" t="e">
        <f>VLOOKUP(B33,#REF!,6,0)</f>
        <v>#REF!</v>
      </c>
      <c r="AH33" s="432" t="e">
        <f>VLOOKUP(B33,#REF!,12,0)</f>
        <v>#REF!</v>
      </c>
      <c r="AI33" s="433" t="e">
        <f t="shared" si="4"/>
        <v>#REF!</v>
      </c>
      <c r="AJ33" s="434" t="e">
        <f>VLOOKUP(B33,#REF!,34,0)</f>
        <v>#REF!</v>
      </c>
      <c r="AK33" s="434" t="e">
        <f>VLOOKUP(B33,#REF!,35,0)</f>
        <v>#REF!</v>
      </c>
      <c r="AL33" s="434"/>
      <c r="AM33" s="435" t="e">
        <f>VLOOKUP(B33,'ky thuật'!$C$9:$M$56,11,0)</f>
        <v>#REF!</v>
      </c>
      <c r="AN33" s="442"/>
      <c r="AO33" s="437">
        <v>6.6000000000000005</v>
      </c>
      <c r="AS33" s="544" t="str">
        <f>VLOOKUP(B33,'Mã số NV'!$B$6:$I$53,3,0)</f>
        <v>01896</v>
      </c>
      <c r="AT33" s="546">
        <f t="shared" si="5"/>
        <v>0</v>
      </c>
    </row>
    <row r="34" spans="1:46" s="437" customFormat="1" ht="22.5" customHeight="1">
      <c r="A34" s="438">
        <v>26</v>
      </c>
      <c r="B34" s="477" t="s">
        <v>274</v>
      </c>
      <c r="C34" s="536" t="s">
        <v>444</v>
      </c>
      <c r="D34" s="534" t="s">
        <v>445</v>
      </c>
      <c r="E34" s="440"/>
      <c r="F34" s="440"/>
      <c r="G34" s="440"/>
      <c r="H34" s="440"/>
      <c r="I34" s="440"/>
      <c r="J34" s="440"/>
      <c r="K34" s="440">
        <f t="shared" si="2"/>
        <v>0</v>
      </c>
      <c r="L34" s="440"/>
      <c r="M34" s="440"/>
      <c r="N34" s="440"/>
      <c r="O34" s="440"/>
      <c r="P34" s="440"/>
      <c r="Q34" s="440"/>
      <c r="R34" s="440"/>
      <c r="S34" s="440">
        <f t="shared" si="0"/>
        <v>0</v>
      </c>
      <c r="T34" s="440"/>
      <c r="U34" s="440"/>
      <c r="V34" s="440"/>
      <c r="W34" s="440"/>
      <c r="X34" s="430">
        <f t="shared" si="3"/>
        <v>0</v>
      </c>
      <c r="Y34" s="441">
        <v>4</v>
      </c>
      <c r="Z34" s="430"/>
      <c r="AA34" s="430"/>
      <c r="AB34" s="430">
        <v>1.33</v>
      </c>
      <c r="AC34" s="655"/>
      <c r="AD34" s="655"/>
      <c r="AE34" s="667"/>
      <c r="AF34" s="187">
        <f>SUM(Z34:AE34)</f>
        <v>1.33</v>
      </c>
      <c r="AG34" s="432" t="e">
        <f>VLOOKUP(B34,#REF!,6,0)</f>
        <v>#REF!</v>
      </c>
      <c r="AH34" s="432" t="e">
        <f>VLOOKUP(B34,#REF!,12,0)</f>
        <v>#REF!</v>
      </c>
      <c r="AI34" s="433" t="e">
        <f t="shared" si="4"/>
        <v>#REF!</v>
      </c>
      <c r="AJ34" s="434" t="e">
        <f>VLOOKUP(B34,#REF!,34,0)</f>
        <v>#REF!</v>
      </c>
      <c r="AK34" s="434" t="e">
        <f>VLOOKUP(B34,#REF!,35,0)</f>
        <v>#REF!</v>
      </c>
      <c r="AL34" s="434"/>
      <c r="AM34" s="435" t="e">
        <f>VLOOKUP(B34,'ky thuật'!$C$9:$M$56,11,0)</f>
        <v>#REF!</v>
      </c>
      <c r="AN34" s="442"/>
      <c r="AO34" s="437">
        <v>4.4000000000000004</v>
      </c>
      <c r="AS34" s="544" t="str">
        <f>VLOOKUP(B34,'Mã số NV'!$B$6:$I$53,3,0)</f>
        <v>01897</v>
      </c>
      <c r="AT34" s="546">
        <f t="shared" si="5"/>
        <v>0</v>
      </c>
    </row>
    <row r="35" spans="1:46" s="437" customFormat="1" ht="22.5" customHeight="1">
      <c r="A35" s="438">
        <v>27</v>
      </c>
      <c r="B35" s="477" t="s">
        <v>410</v>
      </c>
      <c r="C35" s="536" t="s">
        <v>446</v>
      </c>
      <c r="D35" s="534" t="s">
        <v>447</v>
      </c>
      <c r="E35" s="440"/>
      <c r="F35" s="440"/>
      <c r="G35" s="440"/>
      <c r="H35" s="440"/>
      <c r="I35" s="440"/>
      <c r="J35" s="440"/>
      <c r="K35" s="440">
        <f t="shared" si="2"/>
        <v>0</v>
      </c>
      <c r="L35" s="440"/>
      <c r="M35" s="440"/>
      <c r="N35" s="440"/>
      <c r="O35" s="440"/>
      <c r="P35" s="440"/>
      <c r="Q35" s="440"/>
      <c r="R35" s="440"/>
      <c r="S35" s="440">
        <f t="shared" si="0"/>
        <v>0</v>
      </c>
      <c r="T35" s="440"/>
      <c r="U35" s="440"/>
      <c r="V35" s="440"/>
      <c r="W35" s="440"/>
      <c r="X35" s="430">
        <f t="shared" si="3"/>
        <v>0</v>
      </c>
      <c r="Y35" s="441">
        <v>4</v>
      </c>
      <c r="Z35" s="430"/>
      <c r="AA35" s="430"/>
      <c r="AB35" s="430">
        <v>1.33</v>
      </c>
      <c r="AC35" s="655"/>
      <c r="AD35" s="655"/>
      <c r="AE35" s="667"/>
      <c r="AF35" s="187">
        <f t="shared" si="1"/>
        <v>1.33</v>
      </c>
      <c r="AG35" s="432" t="e">
        <f>VLOOKUP(B35,#REF!,6,0)</f>
        <v>#REF!</v>
      </c>
      <c r="AH35" s="432" t="e">
        <f>VLOOKUP(B35,#REF!,12,0)</f>
        <v>#REF!</v>
      </c>
      <c r="AI35" s="433" t="e">
        <f t="shared" si="4"/>
        <v>#REF!</v>
      </c>
      <c r="AJ35" s="434" t="e">
        <f>VLOOKUP(B35,#REF!,34,0)</f>
        <v>#REF!</v>
      </c>
      <c r="AK35" s="434" t="e">
        <f>VLOOKUP(B35,#REF!,35,0)</f>
        <v>#REF!</v>
      </c>
      <c r="AL35" s="434"/>
      <c r="AM35" s="435" t="e">
        <f>VLOOKUP(B35,'ky thuật'!$C$9:$M$56,11,0)</f>
        <v>#REF!</v>
      </c>
      <c r="AN35" s="442"/>
      <c r="AO35" s="437">
        <v>8.8000000000000007</v>
      </c>
      <c r="AS35" s="544" t="str">
        <f>VLOOKUP(B35,'Mã số NV'!$B$6:$I$53,3,0)</f>
        <v>01898</v>
      </c>
      <c r="AT35" s="546">
        <f t="shared" si="5"/>
        <v>0</v>
      </c>
    </row>
    <row r="36" spans="1:46" s="437" customFormat="1" ht="22.5" customHeight="1">
      <c r="A36" s="438">
        <v>28</v>
      </c>
      <c r="B36" s="477" t="s">
        <v>529</v>
      </c>
      <c r="C36" s="540" t="s">
        <v>475</v>
      </c>
      <c r="D36" s="541" t="s">
        <v>476</v>
      </c>
      <c r="E36" s="440"/>
      <c r="F36" s="440"/>
      <c r="G36" s="440"/>
      <c r="H36" s="440"/>
      <c r="I36" s="440"/>
      <c r="J36" s="440"/>
      <c r="K36" s="440">
        <f t="shared" si="2"/>
        <v>0</v>
      </c>
      <c r="L36" s="440"/>
      <c r="M36" s="440"/>
      <c r="N36" s="440"/>
      <c r="O36" s="440"/>
      <c r="P36" s="440"/>
      <c r="Q36" s="440"/>
      <c r="R36" s="440"/>
      <c r="S36" s="440">
        <f t="shared" si="0"/>
        <v>0</v>
      </c>
      <c r="T36" s="440"/>
      <c r="U36" s="440"/>
      <c r="V36" s="440"/>
      <c r="W36" s="440"/>
      <c r="X36" s="430">
        <f t="shared" si="3"/>
        <v>0</v>
      </c>
      <c r="Y36" s="441">
        <v>4</v>
      </c>
      <c r="Z36" s="430"/>
      <c r="AA36" s="430"/>
      <c r="AB36" s="430">
        <v>1.33</v>
      </c>
      <c r="AC36" s="655"/>
      <c r="AD36" s="655"/>
      <c r="AE36" s="667"/>
      <c r="AF36" s="187">
        <f t="shared" si="1"/>
        <v>1.33</v>
      </c>
      <c r="AG36" s="432" t="e">
        <f>VLOOKUP(B36,#REF!,6,0)</f>
        <v>#REF!</v>
      </c>
      <c r="AH36" s="432" t="e">
        <f>VLOOKUP(B36,#REF!,12,0)</f>
        <v>#REF!</v>
      </c>
      <c r="AI36" s="433" t="e">
        <f t="shared" si="4"/>
        <v>#REF!</v>
      </c>
      <c r="AJ36" s="434" t="e">
        <f>VLOOKUP(B36,#REF!,34,0)</f>
        <v>#REF!</v>
      </c>
      <c r="AK36" s="434" t="e">
        <f>VLOOKUP(B36,#REF!,35,0)</f>
        <v>#REF!</v>
      </c>
      <c r="AL36" s="434"/>
      <c r="AM36" s="435" t="str">
        <f>VLOOKUP(B36,'ky thuật'!$C$9:$M$56,11,0)</f>
        <v>A</v>
      </c>
      <c r="AN36" s="442"/>
      <c r="AO36" s="437">
        <v>8.8000000000000007</v>
      </c>
      <c r="AS36" s="544" t="str">
        <f>VLOOKUP(B36,'Mã số NV'!$B$6:$I$53,3,0)</f>
        <v>01903</v>
      </c>
      <c r="AT36" s="546">
        <f t="shared" si="5"/>
        <v>0</v>
      </c>
    </row>
    <row r="37" spans="1:46" s="437" customFormat="1" ht="22.5" customHeight="1">
      <c r="A37" s="438">
        <v>29</v>
      </c>
      <c r="B37" s="477" t="s">
        <v>526</v>
      </c>
      <c r="C37" s="536" t="s">
        <v>440</v>
      </c>
      <c r="D37" s="534" t="s">
        <v>441</v>
      </c>
      <c r="E37" s="440"/>
      <c r="F37" s="440"/>
      <c r="G37" s="440"/>
      <c r="H37" s="440"/>
      <c r="I37" s="440"/>
      <c r="J37" s="440"/>
      <c r="K37" s="440">
        <f t="shared" si="2"/>
        <v>0</v>
      </c>
      <c r="L37" s="440"/>
      <c r="M37" s="440"/>
      <c r="N37" s="440"/>
      <c r="O37" s="440"/>
      <c r="P37" s="440"/>
      <c r="Q37" s="440"/>
      <c r="R37" s="440"/>
      <c r="S37" s="440"/>
      <c r="T37" s="440"/>
      <c r="U37" s="440"/>
      <c r="V37" s="440"/>
      <c r="W37" s="440"/>
      <c r="X37" s="430">
        <f t="shared" si="3"/>
        <v>0</v>
      </c>
      <c r="Y37" s="441"/>
      <c r="Z37" s="430"/>
      <c r="AA37" s="430"/>
      <c r="AB37" s="430">
        <v>1.33</v>
      </c>
      <c r="AC37" s="655"/>
      <c r="AD37" s="655"/>
      <c r="AE37" s="668"/>
      <c r="AF37" s="187">
        <f t="shared" si="1"/>
        <v>1.33</v>
      </c>
      <c r="AG37" s="432" t="e">
        <f>VLOOKUP(B37,#REF!,6,0)</f>
        <v>#REF!</v>
      </c>
      <c r="AH37" s="432" t="e">
        <f>VLOOKUP(B37,#REF!,12,0)</f>
        <v>#REF!</v>
      </c>
      <c r="AI37" s="433" t="e">
        <f t="shared" si="4"/>
        <v>#REF!</v>
      </c>
      <c r="AJ37" s="434" t="e">
        <f>VLOOKUP(B37,#REF!,34,0)</f>
        <v>#REF!</v>
      </c>
      <c r="AK37" s="434" t="e">
        <f>VLOOKUP(B37,#REF!,35,0)</f>
        <v>#REF!</v>
      </c>
      <c r="AL37" s="434"/>
      <c r="AM37" s="435" t="e">
        <f>VLOOKUP(B37,'ky thuật'!$C$9:$M$56,11,0)</f>
        <v>#REF!</v>
      </c>
      <c r="AN37" s="442"/>
      <c r="AO37" s="437">
        <v>12</v>
      </c>
      <c r="AS37" s="544" t="str">
        <f>VLOOKUP(B37,'Mã số NV'!$B$6:$I$53,3,0)</f>
        <v>01895</v>
      </c>
      <c r="AT37" s="546">
        <f t="shared" si="5"/>
        <v>0</v>
      </c>
    </row>
    <row r="38" spans="1:46" s="437" customFormat="1" ht="22.5" customHeight="1">
      <c r="A38" s="438">
        <v>30</v>
      </c>
      <c r="B38" s="477" t="s">
        <v>411</v>
      </c>
      <c r="C38" s="536" t="s">
        <v>456</v>
      </c>
      <c r="D38" s="537" t="s">
        <v>457</v>
      </c>
      <c r="E38" s="440"/>
      <c r="F38" s="440"/>
      <c r="G38" s="440"/>
      <c r="H38" s="440"/>
      <c r="I38" s="440"/>
      <c r="J38" s="440"/>
      <c r="K38" s="440">
        <f t="shared" si="2"/>
        <v>0</v>
      </c>
      <c r="L38" s="440"/>
      <c r="M38" s="440"/>
      <c r="N38" s="440"/>
      <c r="O38" s="440"/>
      <c r="P38" s="440"/>
      <c r="Q38" s="440"/>
      <c r="R38" s="440"/>
      <c r="S38" s="440">
        <f t="shared" si="0"/>
        <v>0</v>
      </c>
      <c r="T38" s="440"/>
      <c r="U38" s="440"/>
      <c r="V38" s="440"/>
      <c r="W38" s="440"/>
      <c r="X38" s="430">
        <f t="shared" si="3"/>
        <v>0</v>
      </c>
      <c r="Y38" s="441">
        <v>4</v>
      </c>
      <c r="Z38" s="430"/>
      <c r="AA38" s="430"/>
      <c r="AB38" s="430">
        <v>1.33</v>
      </c>
      <c r="AC38" s="655"/>
      <c r="AD38" s="655"/>
      <c r="AE38" s="668"/>
      <c r="AF38" s="187">
        <f t="shared" si="1"/>
        <v>1.33</v>
      </c>
      <c r="AG38" s="432" t="e">
        <f>VLOOKUP(B38,#REF!,6,0)</f>
        <v>#REF!</v>
      </c>
      <c r="AH38" s="432" t="e">
        <f>VLOOKUP(B38,#REF!,12,0)</f>
        <v>#REF!</v>
      </c>
      <c r="AI38" s="433" t="e">
        <f t="shared" si="4"/>
        <v>#REF!</v>
      </c>
      <c r="AJ38" s="434" t="e">
        <f>VLOOKUP(B38,#REF!,34,0)</f>
        <v>#REF!</v>
      </c>
      <c r="AK38" s="434" t="e">
        <f>VLOOKUP(B38,#REF!,35,0)</f>
        <v>#REF!</v>
      </c>
      <c r="AL38" s="434"/>
      <c r="AM38" s="435" t="e">
        <f>VLOOKUP(B38,'ky thuật'!$C$9:$M$56,11,0)</f>
        <v>#REF!</v>
      </c>
      <c r="AN38" s="442"/>
      <c r="AS38" s="544" t="str">
        <f>VLOOKUP(B38,'Mã số NV'!$B$6:$I$53,3,0)</f>
        <v>01902</v>
      </c>
      <c r="AT38" s="546">
        <f t="shared" si="5"/>
        <v>0</v>
      </c>
    </row>
    <row r="39" spans="1:46" s="437" customFormat="1" ht="22.5" customHeight="1">
      <c r="A39" s="438">
        <v>31</v>
      </c>
      <c r="B39" s="477" t="s">
        <v>412</v>
      </c>
      <c r="C39" s="536" t="s">
        <v>450</v>
      </c>
      <c r="D39" s="534" t="s">
        <v>451</v>
      </c>
      <c r="E39" s="440"/>
      <c r="F39" s="440"/>
      <c r="G39" s="440"/>
      <c r="H39" s="440"/>
      <c r="I39" s="440"/>
      <c r="J39" s="440"/>
      <c r="K39" s="440">
        <f t="shared" si="2"/>
        <v>0</v>
      </c>
      <c r="L39" s="440"/>
      <c r="M39" s="440"/>
      <c r="N39" s="440"/>
      <c r="O39" s="440"/>
      <c r="P39" s="440"/>
      <c r="Q39" s="440"/>
      <c r="R39" s="440"/>
      <c r="S39" s="440">
        <f t="shared" si="0"/>
        <v>0</v>
      </c>
      <c r="T39" s="440"/>
      <c r="U39" s="440"/>
      <c r="V39" s="440"/>
      <c r="W39" s="440"/>
      <c r="X39" s="430">
        <f t="shared" si="3"/>
        <v>0</v>
      </c>
      <c r="Y39" s="441"/>
      <c r="Z39" s="430"/>
      <c r="AA39" s="430"/>
      <c r="AB39" s="430">
        <v>1.33</v>
      </c>
      <c r="AC39" s="655"/>
      <c r="AD39" s="655"/>
      <c r="AE39" s="668"/>
      <c r="AF39" s="187">
        <f t="shared" si="1"/>
        <v>1.33</v>
      </c>
      <c r="AG39" s="432" t="e">
        <f>VLOOKUP(B39,#REF!,6,0)</f>
        <v>#REF!</v>
      </c>
      <c r="AH39" s="432" t="e">
        <f>VLOOKUP(B39,#REF!,12,0)</f>
        <v>#REF!</v>
      </c>
      <c r="AI39" s="433" t="e">
        <f t="shared" si="4"/>
        <v>#REF!</v>
      </c>
      <c r="AJ39" s="434" t="e">
        <f>VLOOKUP(B39,#REF!,34,0)</f>
        <v>#REF!</v>
      </c>
      <c r="AK39" s="434" t="e">
        <f>VLOOKUP(B39,#REF!,35,0)</f>
        <v>#REF!</v>
      </c>
      <c r="AL39" s="434"/>
      <c r="AM39" s="435" t="e">
        <f>VLOOKUP(B39,'ky thuật'!$C$9:$M$56,11,0)</f>
        <v>#REF!</v>
      </c>
      <c r="AN39" s="442"/>
      <c r="AS39" s="544" t="str">
        <f>VLOOKUP(B39,'Mã số NV'!$B$6:$I$53,3,0)</f>
        <v>01900</v>
      </c>
      <c r="AT39" s="546">
        <f t="shared" si="5"/>
        <v>0</v>
      </c>
    </row>
    <row r="40" spans="1:46" s="437" customFormat="1" ht="22.5" customHeight="1">
      <c r="A40" s="438">
        <v>32</v>
      </c>
      <c r="B40" s="477" t="s">
        <v>413</v>
      </c>
      <c r="C40" s="540" t="s">
        <v>477</v>
      </c>
      <c r="D40" s="541" t="s">
        <v>478</v>
      </c>
      <c r="E40" s="440"/>
      <c r="F40" s="440"/>
      <c r="G40" s="440"/>
      <c r="H40" s="440"/>
      <c r="I40" s="440"/>
      <c r="J40" s="440"/>
      <c r="K40" s="440">
        <f t="shared" si="2"/>
        <v>0</v>
      </c>
      <c r="L40" s="440"/>
      <c r="M40" s="440"/>
      <c r="N40" s="440"/>
      <c r="O40" s="440"/>
      <c r="P40" s="440"/>
      <c r="Q40" s="440"/>
      <c r="R40" s="440"/>
      <c r="S40" s="440">
        <f t="shared" si="0"/>
        <v>0</v>
      </c>
      <c r="T40" s="440"/>
      <c r="U40" s="440"/>
      <c r="V40" s="440"/>
      <c r="W40" s="440"/>
      <c r="X40" s="430">
        <f t="shared" si="3"/>
        <v>0</v>
      </c>
      <c r="Y40" s="441"/>
      <c r="Z40" s="430"/>
      <c r="AA40" s="430"/>
      <c r="AB40" s="430">
        <v>1.33</v>
      </c>
      <c r="AC40" s="655"/>
      <c r="AD40" s="655"/>
      <c r="AE40" s="668"/>
      <c r="AF40" s="187">
        <f>SUM(Z40:AE40)</f>
        <v>1.33</v>
      </c>
      <c r="AG40" s="432" t="e">
        <f>VLOOKUP(B40,#REF!,6,0)</f>
        <v>#REF!</v>
      </c>
      <c r="AH40" s="432" t="e">
        <f>VLOOKUP(B40,#REF!,12,0)</f>
        <v>#REF!</v>
      </c>
      <c r="AI40" s="433" t="e">
        <f t="shared" si="4"/>
        <v>#REF!</v>
      </c>
      <c r="AJ40" s="434" t="e">
        <f>VLOOKUP(B40,#REF!,34,0)</f>
        <v>#REF!</v>
      </c>
      <c r="AK40" s="434" t="e">
        <f>VLOOKUP(B40,#REF!,35,0)</f>
        <v>#REF!</v>
      </c>
      <c r="AL40" s="434"/>
      <c r="AM40" s="435" t="e">
        <f>VLOOKUP(B40,'ky thuật'!$C$9:$M$56,11,0)</f>
        <v>#REF!</v>
      </c>
      <c r="AN40" s="442"/>
      <c r="AS40" s="544" t="str">
        <f>VLOOKUP(B40,'Mã số NV'!$B$6:$I$53,3,0)</f>
        <v>01904</v>
      </c>
      <c r="AT40" s="546">
        <f t="shared" si="5"/>
        <v>0</v>
      </c>
    </row>
    <row r="41" spans="1:46" s="437" customFormat="1" ht="22.5" customHeight="1">
      <c r="A41" s="438">
        <v>33</v>
      </c>
      <c r="B41" s="477" t="s">
        <v>414</v>
      </c>
      <c r="C41" s="540" t="s">
        <v>479</v>
      </c>
      <c r="D41" s="541" t="s">
        <v>480</v>
      </c>
      <c r="E41" s="440"/>
      <c r="F41" s="440"/>
      <c r="G41" s="440"/>
      <c r="H41" s="440"/>
      <c r="I41" s="440"/>
      <c r="J41" s="440"/>
      <c r="K41" s="440">
        <f t="shared" si="2"/>
        <v>0</v>
      </c>
      <c r="L41" s="440"/>
      <c r="M41" s="440"/>
      <c r="N41" s="440"/>
      <c r="O41" s="440"/>
      <c r="P41" s="440"/>
      <c r="Q41" s="440"/>
      <c r="R41" s="440"/>
      <c r="S41" s="440">
        <f t="shared" si="0"/>
        <v>0</v>
      </c>
      <c r="T41" s="440"/>
      <c r="U41" s="440"/>
      <c r="V41" s="440"/>
      <c r="W41" s="440"/>
      <c r="X41" s="430">
        <f t="shared" si="3"/>
        <v>0</v>
      </c>
      <c r="Y41" s="441"/>
      <c r="Z41" s="430"/>
      <c r="AA41" s="430"/>
      <c r="AB41" s="430">
        <v>1.33</v>
      </c>
      <c r="AC41" s="655"/>
      <c r="AD41" s="655"/>
      <c r="AE41" s="656"/>
      <c r="AF41" s="187">
        <f t="shared" ref="AF41:AF59" si="6">SUM(Z41:AE41)</f>
        <v>1.33</v>
      </c>
      <c r="AG41" s="432" t="e">
        <f>VLOOKUP(B41,#REF!,6,0)</f>
        <v>#REF!</v>
      </c>
      <c r="AH41" s="432" t="e">
        <f>VLOOKUP(B41,#REF!,12,0)</f>
        <v>#REF!</v>
      </c>
      <c r="AI41" s="433" t="e">
        <f t="shared" si="4"/>
        <v>#REF!</v>
      </c>
      <c r="AJ41" s="434" t="e">
        <f>VLOOKUP(B41,#REF!,34,0)</f>
        <v>#REF!</v>
      </c>
      <c r="AK41" s="434" t="e">
        <f>VLOOKUP(B41,#REF!,35,0)</f>
        <v>#REF!</v>
      </c>
      <c r="AL41" s="434"/>
      <c r="AM41" s="435" t="e">
        <f>VLOOKUP(B41,'ky thuật'!$C$9:$M$56,11,0)</f>
        <v>#REF!</v>
      </c>
      <c r="AN41" s="442"/>
      <c r="AS41" s="544" t="str">
        <f>VLOOKUP(B41,'Mã số NV'!$B$6:$I$53,3,0)</f>
        <v>01905</v>
      </c>
      <c r="AT41" s="546">
        <f t="shared" si="5"/>
        <v>0</v>
      </c>
    </row>
    <row r="42" spans="1:46" s="437" customFormat="1" ht="22.5" customHeight="1">
      <c r="A42" s="438">
        <v>34</v>
      </c>
      <c r="B42" s="628" t="s">
        <v>415</v>
      </c>
      <c r="C42" s="536" t="s">
        <v>448</v>
      </c>
      <c r="D42" s="534" t="s">
        <v>449</v>
      </c>
      <c r="E42" s="440"/>
      <c r="F42" s="440"/>
      <c r="G42" s="440"/>
      <c r="H42" s="440"/>
      <c r="I42" s="440"/>
      <c r="J42" s="440"/>
      <c r="K42" s="440">
        <f t="shared" si="2"/>
        <v>0</v>
      </c>
      <c r="L42" s="440"/>
      <c r="M42" s="440"/>
      <c r="N42" s="440"/>
      <c r="O42" s="440"/>
      <c r="P42" s="440"/>
      <c r="Q42" s="440"/>
      <c r="R42" s="440"/>
      <c r="S42" s="440">
        <f t="shared" si="0"/>
        <v>0</v>
      </c>
      <c r="T42" s="440"/>
      <c r="U42" s="440"/>
      <c r="V42" s="440"/>
      <c r="W42" s="440"/>
      <c r="X42" s="430">
        <f t="shared" si="3"/>
        <v>0</v>
      </c>
      <c r="Y42" s="441"/>
      <c r="Z42" s="430"/>
      <c r="AA42" s="430"/>
      <c r="AB42" s="430">
        <v>1.33</v>
      </c>
      <c r="AC42" s="655"/>
      <c r="AD42" s="655"/>
      <c r="AE42" s="656"/>
      <c r="AF42" s="187">
        <f t="shared" si="6"/>
        <v>1.33</v>
      </c>
      <c r="AG42" s="432" t="e">
        <f>VLOOKUP(B42,#REF!,6,0)</f>
        <v>#REF!</v>
      </c>
      <c r="AH42" s="432" t="e">
        <f>VLOOKUP(B42,#REF!,12,0)</f>
        <v>#REF!</v>
      </c>
      <c r="AI42" s="433" t="e">
        <f t="shared" si="4"/>
        <v>#REF!</v>
      </c>
      <c r="AJ42" s="434" t="e">
        <f>VLOOKUP(B42,#REF!,34,0)</f>
        <v>#REF!</v>
      </c>
      <c r="AK42" s="434" t="e">
        <f>VLOOKUP(B42,#REF!,35,0)</f>
        <v>#REF!</v>
      </c>
      <c r="AL42" s="434"/>
      <c r="AM42" s="435" t="e">
        <f>VLOOKUP(B42,'ky thuật'!$C$9:$M$56,11,0)</f>
        <v>#REF!</v>
      </c>
      <c r="AN42" s="442"/>
      <c r="AS42" s="544" t="str">
        <f>VLOOKUP(B42,'Mã số NV'!$B$6:$I$53,3,0)</f>
        <v>01899</v>
      </c>
      <c r="AT42" s="546">
        <f t="shared" si="5"/>
        <v>0</v>
      </c>
    </row>
    <row r="43" spans="1:46" s="437" customFormat="1" ht="22.5" customHeight="1">
      <c r="A43" s="438">
        <v>35</v>
      </c>
      <c r="B43" s="477" t="s">
        <v>416</v>
      </c>
      <c r="C43" s="535" t="s">
        <v>438</v>
      </c>
      <c r="D43" s="534" t="s">
        <v>439</v>
      </c>
      <c r="E43" s="440"/>
      <c r="F43" s="440"/>
      <c r="G43" s="440"/>
      <c r="H43" s="440"/>
      <c r="I43" s="440"/>
      <c r="J43" s="440"/>
      <c r="K43" s="440">
        <f t="shared" si="2"/>
        <v>0</v>
      </c>
      <c r="L43" s="440"/>
      <c r="M43" s="440"/>
      <c r="N43" s="440"/>
      <c r="O43" s="440"/>
      <c r="P43" s="440"/>
      <c r="Q43" s="440"/>
      <c r="R43" s="440"/>
      <c r="S43" s="440">
        <f t="shared" si="0"/>
        <v>0</v>
      </c>
      <c r="T43" s="440"/>
      <c r="U43" s="440"/>
      <c r="V43" s="440"/>
      <c r="W43" s="440"/>
      <c r="X43" s="430">
        <f t="shared" si="3"/>
        <v>0</v>
      </c>
      <c r="Y43" s="441"/>
      <c r="Z43" s="430"/>
      <c r="AA43" s="430"/>
      <c r="AB43" s="430">
        <v>1.33</v>
      </c>
      <c r="AC43" s="655"/>
      <c r="AD43" s="655"/>
      <c r="AE43" s="656"/>
      <c r="AF43" s="187">
        <f>SUM(Z43:AE43)</f>
        <v>1.33</v>
      </c>
      <c r="AG43" s="432" t="e">
        <f>VLOOKUP(B43,#REF!,6,0)</f>
        <v>#REF!</v>
      </c>
      <c r="AH43" s="432" t="e">
        <f>VLOOKUP(B43,#REF!,12,0)</f>
        <v>#REF!</v>
      </c>
      <c r="AI43" s="433" t="e">
        <f t="shared" si="4"/>
        <v>#REF!</v>
      </c>
      <c r="AJ43" s="434" t="e">
        <f>VLOOKUP(B43,#REF!,34,0)</f>
        <v>#REF!</v>
      </c>
      <c r="AK43" s="434" t="e">
        <f>VLOOKUP(B43,#REF!,35,0)</f>
        <v>#REF!</v>
      </c>
      <c r="AL43" s="434"/>
      <c r="AM43" s="435" t="str">
        <f>VLOOKUP(B43,'ky thuật'!$C$9:$M$56,11,0)</f>
        <v>A</v>
      </c>
      <c r="AN43" s="442"/>
      <c r="AS43" s="544" t="str">
        <f>VLOOKUP(B43,'Mã số NV'!$B$6:$I$53,3,0)</f>
        <v>01894</v>
      </c>
      <c r="AT43" s="546">
        <f t="shared" si="5"/>
        <v>0</v>
      </c>
    </row>
    <row r="44" spans="1:46" s="437" customFormat="1" ht="22.5" customHeight="1">
      <c r="A44" s="438">
        <v>36</v>
      </c>
      <c r="B44" s="383" t="s">
        <v>378</v>
      </c>
      <c r="C44" s="540" t="s">
        <v>482</v>
      </c>
      <c r="D44" s="541" t="s">
        <v>483</v>
      </c>
      <c r="E44" s="440"/>
      <c r="F44" s="440"/>
      <c r="G44" s="440"/>
      <c r="H44" s="440"/>
      <c r="I44" s="440"/>
      <c r="J44" s="440"/>
      <c r="K44" s="440">
        <f t="shared" si="2"/>
        <v>0</v>
      </c>
      <c r="L44" s="440"/>
      <c r="M44" s="440"/>
      <c r="N44" s="440"/>
      <c r="O44" s="440"/>
      <c r="P44" s="440"/>
      <c r="Q44" s="440"/>
      <c r="R44" s="440"/>
      <c r="S44" s="440"/>
      <c r="T44" s="440"/>
      <c r="U44" s="440"/>
      <c r="V44" s="440"/>
      <c r="W44" s="440"/>
      <c r="X44" s="430">
        <f t="shared" si="3"/>
        <v>0</v>
      </c>
      <c r="Y44" s="441"/>
      <c r="Z44" s="430"/>
      <c r="AA44" s="430"/>
      <c r="AB44" s="430">
        <v>1.33</v>
      </c>
      <c r="AC44" s="655"/>
      <c r="AD44" s="655"/>
      <c r="AE44" s="656"/>
      <c r="AF44" s="187">
        <f t="shared" si="6"/>
        <v>1.33</v>
      </c>
      <c r="AG44" s="432" t="e">
        <f>VLOOKUP(B44,#REF!,6,0)</f>
        <v>#REF!</v>
      </c>
      <c r="AH44" s="432" t="e">
        <f>VLOOKUP(B44,#REF!,12,0)</f>
        <v>#REF!</v>
      </c>
      <c r="AI44" s="433" t="e">
        <f t="shared" si="4"/>
        <v>#REF!</v>
      </c>
      <c r="AJ44" s="434" t="e">
        <f>VLOOKUP(B44,#REF!,34,0)</f>
        <v>#REF!</v>
      </c>
      <c r="AK44" s="434" t="e">
        <f>VLOOKUP(B44,#REF!,35,0)</f>
        <v>#REF!</v>
      </c>
      <c r="AL44" s="434"/>
      <c r="AM44" s="435" t="e">
        <f>VLOOKUP(B44,'ky thuật'!$C$9:$M$56,11,0)</f>
        <v>#REF!</v>
      </c>
      <c r="AN44" s="442"/>
      <c r="AS44" s="544" t="str">
        <f>VLOOKUP(B44,'Mã số NV'!$B$6:$I$53,3,0)</f>
        <v>01906</v>
      </c>
      <c r="AT44" s="546">
        <f t="shared" si="5"/>
        <v>0</v>
      </c>
    </row>
    <row r="45" spans="1:46" s="437" customFormat="1" ht="22.5" customHeight="1">
      <c r="A45" s="438">
        <v>37</v>
      </c>
      <c r="B45" s="383" t="s">
        <v>379</v>
      </c>
      <c r="C45" s="540" t="s">
        <v>484</v>
      </c>
      <c r="D45" s="541" t="s">
        <v>485</v>
      </c>
      <c r="E45" s="440"/>
      <c r="F45" s="440"/>
      <c r="G45" s="440"/>
      <c r="H45" s="440"/>
      <c r="I45" s="440"/>
      <c r="J45" s="440"/>
      <c r="K45" s="440">
        <f t="shared" si="2"/>
        <v>0</v>
      </c>
      <c r="L45" s="440"/>
      <c r="M45" s="440"/>
      <c r="N45" s="440"/>
      <c r="O45" s="440"/>
      <c r="P45" s="440"/>
      <c r="Q45" s="440"/>
      <c r="R45" s="440"/>
      <c r="S45" s="440"/>
      <c r="T45" s="440"/>
      <c r="U45" s="440"/>
      <c r="V45" s="440"/>
      <c r="W45" s="440"/>
      <c r="X45" s="430">
        <f t="shared" si="3"/>
        <v>0</v>
      </c>
      <c r="Y45" s="441"/>
      <c r="Z45" s="430"/>
      <c r="AA45" s="430"/>
      <c r="AB45" s="430">
        <v>1.33</v>
      </c>
      <c r="AC45" s="655"/>
      <c r="AD45" s="655"/>
      <c r="AE45" s="656"/>
      <c r="AF45" s="187">
        <f t="shared" si="6"/>
        <v>1.33</v>
      </c>
      <c r="AG45" s="432" t="e">
        <f>VLOOKUP(B45,#REF!,6,0)</f>
        <v>#REF!</v>
      </c>
      <c r="AH45" s="432" t="e">
        <f>VLOOKUP(B45,#REF!,12,0)</f>
        <v>#REF!</v>
      </c>
      <c r="AI45" s="433" t="e">
        <f t="shared" si="4"/>
        <v>#REF!</v>
      </c>
      <c r="AJ45" s="434" t="e">
        <f>VLOOKUP(B45,#REF!,34,0)</f>
        <v>#REF!</v>
      </c>
      <c r="AK45" s="434" t="e">
        <f>VLOOKUP(B45,#REF!,35,0)</f>
        <v>#REF!</v>
      </c>
      <c r="AL45" s="434"/>
      <c r="AM45" s="435" t="e">
        <f>VLOOKUP(B45,'ky thuật'!$C$9:$M$56,11,0)</f>
        <v>#REF!</v>
      </c>
      <c r="AN45" s="442"/>
      <c r="AS45" s="544" t="str">
        <f>VLOOKUP(B45,'Mã số NV'!$B$6:$I$53,3,0)</f>
        <v>01907</v>
      </c>
      <c r="AT45" s="546">
        <f t="shared" si="5"/>
        <v>0</v>
      </c>
    </row>
    <row r="46" spans="1:46" s="437" customFormat="1" ht="22.5" customHeight="1">
      <c r="A46" s="438">
        <v>38</v>
      </c>
      <c r="B46" s="383" t="s">
        <v>380</v>
      </c>
      <c r="C46" s="540" t="s">
        <v>486</v>
      </c>
      <c r="D46" s="541" t="s">
        <v>487</v>
      </c>
      <c r="E46" s="440"/>
      <c r="F46" s="440"/>
      <c r="G46" s="440"/>
      <c r="H46" s="440"/>
      <c r="I46" s="440"/>
      <c r="J46" s="440"/>
      <c r="K46" s="440">
        <f t="shared" si="2"/>
        <v>0</v>
      </c>
      <c r="L46" s="440"/>
      <c r="M46" s="440"/>
      <c r="N46" s="440"/>
      <c r="O46" s="440"/>
      <c r="P46" s="440"/>
      <c r="Q46" s="440"/>
      <c r="R46" s="440"/>
      <c r="S46" s="440"/>
      <c r="T46" s="440"/>
      <c r="U46" s="440"/>
      <c r="V46" s="440"/>
      <c r="W46" s="440"/>
      <c r="X46" s="430">
        <f t="shared" si="3"/>
        <v>0</v>
      </c>
      <c r="Y46" s="441"/>
      <c r="Z46" s="430"/>
      <c r="AA46" s="430"/>
      <c r="AB46" s="430">
        <v>1.33</v>
      </c>
      <c r="AC46" s="655"/>
      <c r="AD46" s="655"/>
      <c r="AE46" s="656"/>
      <c r="AF46" s="187">
        <f t="shared" si="6"/>
        <v>1.33</v>
      </c>
      <c r="AG46" s="432" t="e">
        <f>VLOOKUP(B46,#REF!,6,0)</f>
        <v>#REF!</v>
      </c>
      <c r="AH46" s="432" t="e">
        <f>VLOOKUP(B46,#REF!,12,0)</f>
        <v>#REF!</v>
      </c>
      <c r="AI46" s="433" t="e">
        <f t="shared" si="4"/>
        <v>#REF!</v>
      </c>
      <c r="AJ46" s="434" t="e">
        <f>VLOOKUP(B46,#REF!,34,0)</f>
        <v>#REF!</v>
      </c>
      <c r="AK46" s="434" t="e">
        <f>VLOOKUP(B46,#REF!,35,0)</f>
        <v>#REF!</v>
      </c>
      <c r="AL46" s="434"/>
      <c r="AM46" s="435" t="e">
        <f>VLOOKUP(B46,'ky thuật'!$C$9:$M$56,11,0)</f>
        <v>#REF!</v>
      </c>
      <c r="AN46" s="442"/>
      <c r="AS46" s="544" t="str">
        <f>VLOOKUP(B46,'Mã số NV'!$B$6:$I$53,3,0)</f>
        <v>01908</v>
      </c>
      <c r="AT46" s="546">
        <f t="shared" si="5"/>
        <v>0</v>
      </c>
    </row>
    <row r="47" spans="1:46" s="437" customFormat="1" ht="22.5" customHeight="1">
      <c r="A47" s="438">
        <v>39</v>
      </c>
      <c r="B47" s="363" t="s">
        <v>381</v>
      </c>
      <c r="C47" s="540" t="s">
        <v>488</v>
      </c>
      <c r="D47" s="541" t="s">
        <v>489</v>
      </c>
      <c r="E47" s="440"/>
      <c r="F47" s="440"/>
      <c r="G47" s="440"/>
      <c r="H47" s="440"/>
      <c r="I47" s="440"/>
      <c r="J47" s="440"/>
      <c r="K47" s="440">
        <f t="shared" si="2"/>
        <v>0</v>
      </c>
      <c r="L47" s="440"/>
      <c r="M47" s="440"/>
      <c r="N47" s="440"/>
      <c r="O47" s="440"/>
      <c r="P47" s="440"/>
      <c r="Q47" s="440"/>
      <c r="R47" s="440"/>
      <c r="S47" s="440"/>
      <c r="T47" s="440"/>
      <c r="U47" s="440"/>
      <c r="V47" s="440"/>
      <c r="W47" s="440"/>
      <c r="X47" s="430">
        <f t="shared" si="3"/>
        <v>0</v>
      </c>
      <c r="Y47" s="441"/>
      <c r="Z47" s="430"/>
      <c r="AA47" s="430"/>
      <c r="AB47" s="430">
        <v>1.33</v>
      </c>
      <c r="AC47" s="655"/>
      <c r="AD47" s="655"/>
      <c r="AE47" s="656"/>
      <c r="AF47" s="187">
        <f t="shared" si="6"/>
        <v>1.33</v>
      </c>
      <c r="AG47" s="432" t="e">
        <f>VLOOKUP(B47,#REF!,6,0)</f>
        <v>#REF!</v>
      </c>
      <c r="AH47" s="432" t="e">
        <f>VLOOKUP(B47,#REF!,12,0)</f>
        <v>#REF!</v>
      </c>
      <c r="AI47" s="433" t="e">
        <f t="shared" si="4"/>
        <v>#REF!</v>
      </c>
      <c r="AJ47" s="434" t="e">
        <f>VLOOKUP(B47,#REF!,34,0)</f>
        <v>#REF!</v>
      </c>
      <c r="AK47" s="434" t="e">
        <f>VLOOKUP(B47,#REF!,35,0)</f>
        <v>#REF!</v>
      </c>
      <c r="AL47" s="434"/>
      <c r="AM47" s="435" t="e">
        <f>VLOOKUP(B47,'ky thuật'!$C$9:$M$56,11,0)</f>
        <v>#REF!</v>
      </c>
      <c r="AN47" s="442"/>
      <c r="AS47" s="544" t="str">
        <f>VLOOKUP(B47,'Mã số NV'!$B$6:$I$53,3,0)</f>
        <v>01909</v>
      </c>
      <c r="AT47" s="546">
        <f t="shared" si="5"/>
        <v>0</v>
      </c>
    </row>
    <row r="48" spans="1:46" s="437" customFormat="1" ht="22.5" customHeight="1">
      <c r="A48" s="438">
        <v>40</v>
      </c>
      <c r="B48" s="363" t="s">
        <v>533</v>
      </c>
      <c r="C48" s="540" t="s">
        <v>490</v>
      </c>
      <c r="D48" s="541" t="s">
        <v>491</v>
      </c>
      <c r="E48" s="440"/>
      <c r="F48" s="440"/>
      <c r="G48" s="440"/>
      <c r="H48" s="440"/>
      <c r="I48" s="440"/>
      <c r="J48" s="440"/>
      <c r="K48" s="440">
        <f t="shared" si="2"/>
        <v>0</v>
      </c>
      <c r="L48" s="440"/>
      <c r="M48" s="440"/>
      <c r="N48" s="440"/>
      <c r="O48" s="440"/>
      <c r="P48" s="440"/>
      <c r="Q48" s="440"/>
      <c r="R48" s="440"/>
      <c r="S48" s="440"/>
      <c r="T48" s="440"/>
      <c r="U48" s="440"/>
      <c r="V48" s="440"/>
      <c r="W48" s="440"/>
      <c r="X48" s="430">
        <f t="shared" si="3"/>
        <v>0</v>
      </c>
      <c r="Y48" s="441"/>
      <c r="Z48" s="430"/>
      <c r="AA48" s="430"/>
      <c r="AB48" s="430">
        <v>1.33</v>
      </c>
      <c r="AC48" s="655"/>
      <c r="AD48" s="655"/>
      <c r="AE48" s="656"/>
      <c r="AF48" s="187">
        <f t="shared" si="6"/>
        <v>1.33</v>
      </c>
      <c r="AG48" s="432" t="e">
        <f>VLOOKUP(B48,#REF!,6,0)</f>
        <v>#REF!</v>
      </c>
      <c r="AH48" s="432" t="e">
        <f>VLOOKUP(B48,#REF!,12,0)</f>
        <v>#REF!</v>
      </c>
      <c r="AI48" s="433" t="e">
        <f t="shared" si="4"/>
        <v>#REF!</v>
      </c>
      <c r="AJ48" s="434" t="e">
        <f>VLOOKUP(B48,#REF!,34,0)</f>
        <v>#REF!</v>
      </c>
      <c r="AK48" s="434" t="e">
        <f>VLOOKUP(B48,#REF!,35,0)</f>
        <v>#REF!</v>
      </c>
      <c r="AL48" s="434"/>
      <c r="AM48" s="435" t="e">
        <f>VLOOKUP(B48,'ky thuật'!$C$9:$M$56,11,0)</f>
        <v>#REF!</v>
      </c>
      <c r="AN48" s="442"/>
      <c r="AS48" s="544" t="str">
        <f>VLOOKUP(B48,'Mã số NV'!$B$6:$I$53,3,0)</f>
        <v>01910</v>
      </c>
      <c r="AT48" s="546">
        <f t="shared" si="5"/>
        <v>0</v>
      </c>
    </row>
    <row r="49" spans="1:46" s="437" customFormat="1" ht="22.5" customHeight="1">
      <c r="A49" s="438">
        <v>41</v>
      </c>
      <c r="B49" s="363" t="s">
        <v>417</v>
      </c>
      <c r="C49" s="540" t="s">
        <v>492</v>
      </c>
      <c r="D49" s="541" t="s">
        <v>493</v>
      </c>
      <c r="E49" s="440"/>
      <c r="F49" s="440"/>
      <c r="G49" s="440"/>
      <c r="H49" s="440"/>
      <c r="I49" s="440"/>
      <c r="J49" s="440"/>
      <c r="K49" s="440">
        <f t="shared" si="2"/>
        <v>0</v>
      </c>
      <c r="L49" s="440"/>
      <c r="M49" s="440"/>
      <c r="N49" s="440"/>
      <c r="O49" s="440"/>
      <c r="P49" s="440"/>
      <c r="Q49" s="440"/>
      <c r="R49" s="440"/>
      <c r="S49" s="440"/>
      <c r="T49" s="440"/>
      <c r="U49" s="440"/>
      <c r="V49" s="440"/>
      <c r="W49" s="440"/>
      <c r="X49" s="430">
        <f t="shared" si="3"/>
        <v>0</v>
      </c>
      <c r="Y49" s="441"/>
      <c r="Z49" s="430"/>
      <c r="AA49" s="430"/>
      <c r="AB49" s="430">
        <v>1.33</v>
      </c>
      <c r="AC49" s="655"/>
      <c r="AD49" s="655"/>
      <c r="AE49" s="656"/>
      <c r="AF49" s="187">
        <f t="shared" si="6"/>
        <v>1.33</v>
      </c>
      <c r="AG49" s="432" t="e">
        <f>VLOOKUP(B49,#REF!,6,0)</f>
        <v>#REF!</v>
      </c>
      <c r="AH49" s="432" t="e">
        <f>VLOOKUP(B49,#REF!,12,0)</f>
        <v>#REF!</v>
      </c>
      <c r="AI49" s="433" t="e">
        <f t="shared" si="4"/>
        <v>#REF!</v>
      </c>
      <c r="AJ49" s="434" t="e">
        <f>VLOOKUP(B49,#REF!,34,0)</f>
        <v>#REF!</v>
      </c>
      <c r="AK49" s="434" t="e">
        <f>VLOOKUP(B49,#REF!,35,0)</f>
        <v>#REF!</v>
      </c>
      <c r="AL49" s="434"/>
      <c r="AM49" s="435" t="e">
        <f>VLOOKUP(B49,'ky thuật'!$C$9:$M$56,11,0)</f>
        <v>#REF!</v>
      </c>
      <c r="AN49" s="442"/>
      <c r="AS49" s="544" t="str">
        <f>VLOOKUP(B49,'Mã số NV'!$B$6:$I$53,3,0)</f>
        <v>01911</v>
      </c>
      <c r="AT49" s="546">
        <f t="shared" si="5"/>
        <v>0</v>
      </c>
    </row>
    <row r="50" spans="1:46" s="437" customFormat="1" ht="22.5" customHeight="1">
      <c r="A50" s="438">
        <v>42</v>
      </c>
      <c r="B50" s="363" t="s">
        <v>535</v>
      </c>
      <c r="C50" s="540" t="s">
        <v>494</v>
      </c>
      <c r="D50" s="541" t="s">
        <v>495</v>
      </c>
      <c r="E50" s="440"/>
      <c r="F50" s="440"/>
      <c r="G50" s="440"/>
      <c r="H50" s="440"/>
      <c r="I50" s="440"/>
      <c r="J50" s="440"/>
      <c r="K50" s="440">
        <f t="shared" si="2"/>
        <v>0</v>
      </c>
      <c r="L50" s="440"/>
      <c r="M50" s="440"/>
      <c r="N50" s="440"/>
      <c r="O50" s="440"/>
      <c r="P50" s="440"/>
      <c r="Q50" s="440"/>
      <c r="R50" s="440"/>
      <c r="S50" s="440"/>
      <c r="T50" s="440"/>
      <c r="U50" s="440"/>
      <c r="V50" s="440"/>
      <c r="W50" s="440"/>
      <c r="X50" s="430">
        <f t="shared" si="3"/>
        <v>0</v>
      </c>
      <c r="Y50" s="441"/>
      <c r="Z50" s="430"/>
      <c r="AA50" s="430"/>
      <c r="AB50" s="430">
        <v>1.33</v>
      </c>
      <c r="AC50" s="655"/>
      <c r="AD50" s="655"/>
      <c r="AE50" s="656"/>
      <c r="AF50" s="187">
        <f t="shared" si="6"/>
        <v>1.33</v>
      </c>
      <c r="AG50" s="432" t="e">
        <f>VLOOKUP(B50,#REF!,6,0)</f>
        <v>#REF!</v>
      </c>
      <c r="AH50" s="432" t="e">
        <f>VLOOKUP(B50,#REF!,12,0)</f>
        <v>#REF!</v>
      </c>
      <c r="AI50" s="433" t="e">
        <f t="shared" si="4"/>
        <v>#REF!</v>
      </c>
      <c r="AJ50" s="434" t="e">
        <f>VLOOKUP(B50,#REF!,34,0)</f>
        <v>#REF!</v>
      </c>
      <c r="AK50" s="434" t="e">
        <f>VLOOKUP(B50,#REF!,35,0)</f>
        <v>#REF!</v>
      </c>
      <c r="AL50" s="434"/>
      <c r="AM50" s="435" t="e">
        <f>VLOOKUP(B50,'ky thuật'!$C$9:$M$56,11,0)</f>
        <v>#REF!</v>
      </c>
      <c r="AN50" s="442"/>
      <c r="AS50" s="544" t="str">
        <f>VLOOKUP(B50,'Mã số NV'!$B$6:$I$53,3,0)</f>
        <v>01912</v>
      </c>
      <c r="AT50" s="546">
        <f t="shared" si="5"/>
        <v>0</v>
      </c>
    </row>
    <row r="51" spans="1:46" s="437" customFormat="1" ht="22.5" customHeight="1">
      <c r="A51" s="438">
        <v>43</v>
      </c>
      <c r="B51" s="623" t="s">
        <v>579</v>
      </c>
      <c r="C51" s="540"/>
      <c r="D51" s="541"/>
      <c r="E51" s="440"/>
      <c r="F51" s="440"/>
      <c r="G51" s="440"/>
      <c r="H51" s="440"/>
      <c r="I51" s="440"/>
      <c r="J51" s="440"/>
      <c r="K51" s="440">
        <f t="shared" si="2"/>
        <v>0</v>
      </c>
      <c r="L51" s="440"/>
      <c r="M51" s="440"/>
      <c r="N51" s="440"/>
      <c r="O51" s="440"/>
      <c r="P51" s="440"/>
      <c r="Q51" s="440"/>
      <c r="R51" s="440"/>
      <c r="S51" s="440"/>
      <c r="T51" s="440"/>
      <c r="U51" s="440"/>
      <c r="V51" s="440"/>
      <c r="W51" s="440"/>
      <c r="X51" s="430">
        <f t="shared" si="3"/>
        <v>0</v>
      </c>
      <c r="Y51" s="441"/>
      <c r="Z51" s="430"/>
      <c r="AA51" s="430"/>
      <c r="AB51" s="430">
        <v>1.49</v>
      </c>
      <c r="AC51" s="655"/>
      <c r="AD51" s="655"/>
      <c r="AE51" s="656"/>
      <c r="AF51" s="187">
        <f t="shared" si="6"/>
        <v>1.49</v>
      </c>
      <c r="AG51" s="432" t="e">
        <f>VLOOKUP(B51,#REF!,6,0)</f>
        <v>#REF!</v>
      </c>
      <c r="AH51" s="432" t="e">
        <f>VLOOKUP(B51,#REF!,12,0)</f>
        <v>#REF!</v>
      </c>
      <c r="AI51" s="433" t="e">
        <f t="shared" si="4"/>
        <v>#REF!</v>
      </c>
      <c r="AJ51" s="434" t="e">
        <f>VLOOKUP(B51,#REF!,34,0)</f>
        <v>#REF!</v>
      </c>
      <c r="AK51" s="434" t="e">
        <f>VLOOKUP(B51,#REF!,35,0)</f>
        <v>#REF!</v>
      </c>
      <c r="AL51" s="434"/>
      <c r="AM51" s="435" t="e">
        <f>VLOOKUP(B51,'ky thuật'!$C$9:$M$56,11,0)</f>
        <v>#REF!</v>
      </c>
      <c r="AN51" s="442"/>
      <c r="AS51" s="544">
        <f>VLOOKUP(B51,'Mã số NV'!$B$6:$I$53,3,0)</f>
        <v>0</v>
      </c>
      <c r="AT51" s="546">
        <f t="shared" si="5"/>
        <v>0</v>
      </c>
    </row>
    <row r="52" spans="1:46" s="437" customFormat="1" ht="22.5" customHeight="1">
      <c r="A52" s="438">
        <v>44</v>
      </c>
      <c r="B52" s="352" t="s">
        <v>373</v>
      </c>
      <c r="C52" s="540" t="s">
        <v>497</v>
      </c>
      <c r="D52" s="541" t="s">
        <v>498</v>
      </c>
      <c r="E52" s="440"/>
      <c r="F52" s="440"/>
      <c r="G52" s="440"/>
      <c r="H52" s="440"/>
      <c r="I52" s="440"/>
      <c r="J52" s="440"/>
      <c r="K52" s="440">
        <f t="shared" si="2"/>
        <v>0</v>
      </c>
      <c r="L52" s="440"/>
      <c r="M52" s="440"/>
      <c r="N52" s="440"/>
      <c r="O52" s="440"/>
      <c r="P52" s="440"/>
      <c r="Q52" s="440"/>
      <c r="R52" s="440"/>
      <c r="S52" s="440"/>
      <c r="T52" s="440"/>
      <c r="U52" s="440"/>
      <c r="V52" s="440"/>
      <c r="W52" s="440"/>
      <c r="X52" s="430">
        <f t="shared" si="3"/>
        <v>0</v>
      </c>
      <c r="Y52" s="441"/>
      <c r="Z52" s="430"/>
      <c r="AA52" s="430"/>
      <c r="AB52" s="430">
        <v>1.33</v>
      </c>
      <c r="AC52" s="655"/>
      <c r="AD52" s="655"/>
      <c r="AE52" s="656"/>
      <c r="AF52" s="187">
        <f t="shared" si="6"/>
        <v>1.33</v>
      </c>
      <c r="AG52" s="432" t="e">
        <f>VLOOKUP(B52,#REF!,6,0)</f>
        <v>#REF!</v>
      </c>
      <c r="AH52" s="432" t="e">
        <f>VLOOKUP(B52,#REF!,12,0)</f>
        <v>#REF!</v>
      </c>
      <c r="AI52" s="433" t="e">
        <f t="shared" si="4"/>
        <v>#REF!</v>
      </c>
      <c r="AJ52" s="434" t="e">
        <f>VLOOKUP(B52,#REF!,34,0)</f>
        <v>#REF!</v>
      </c>
      <c r="AK52" s="434" t="e">
        <f>VLOOKUP(B52,#REF!,35,0)</f>
        <v>#REF!</v>
      </c>
      <c r="AL52" s="434"/>
      <c r="AM52" s="435" t="e">
        <f>VLOOKUP(B52,'ky thuật'!$C$9:$M$56,11,0)</f>
        <v>#REF!</v>
      </c>
      <c r="AN52" s="442"/>
      <c r="AS52" s="544" t="str">
        <f>VLOOKUP(B52,'Mã số NV'!$B$6:$I$53,3,0)</f>
        <v>01914</v>
      </c>
      <c r="AT52" s="546">
        <f t="shared" si="5"/>
        <v>0</v>
      </c>
    </row>
    <row r="53" spans="1:46" s="437" customFormat="1" ht="22.5" customHeight="1">
      <c r="A53" s="438">
        <v>45</v>
      </c>
      <c r="B53" s="623" t="s">
        <v>578</v>
      </c>
      <c r="C53" s="540"/>
      <c r="D53" s="541"/>
      <c r="E53" s="439"/>
      <c r="F53" s="439"/>
      <c r="G53" s="439"/>
      <c r="H53" s="439"/>
      <c r="I53" s="439"/>
      <c r="J53" s="439"/>
      <c r="K53" s="440">
        <f t="shared" si="2"/>
        <v>0</v>
      </c>
      <c r="L53" s="439"/>
      <c r="M53" s="439"/>
      <c r="N53" s="439"/>
      <c r="O53" s="439"/>
      <c r="P53" s="440"/>
      <c r="Q53" s="440"/>
      <c r="R53" s="440"/>
      <c r="S53" s="440"/>
      <c r="T53" s="440"/>
      <c r="U53" s="440"/>
      <c r="V53" s="440"/>
      <c r="W53" s="440"/>
      <c r="X53" s="430">
        <f t="shared" si="3"/>
        <v>0</v>
      </c>
      <c r="Y53" s="441"/>
      <c r="Z53" s="430"/>
      <c r="AA53" s="430"/>
      <c r="AB53" s="430">
        <v>1.33</v>
      </c>
      <c r="AC53" s="655"/>
      <c r="AD53" s="655"/>
      <c r="AE53" s="656"/>
      <c r="AF53" s="187">
        <f>SUM(Z53:AE53)</f>
        <v>1.33</v>
      </c>
      <c r="AG53" s="432" t="e">
        <f>VLOOKUP(B53,#REF!,6,0)</f>
        <v>#REF!</v>
      </c>
      <c r="AH53" s="432" t="e">
        <f>VLOOKUP(B53,#REF!,12,0)</f>
        <v>#REF!</v>
      </c>
      <c r="AI53" s="433" t="e">
        <f t="shared" si="4"/>
        <v>#REF!</v>
      </c>
      <c r="AJ53" s="434" t="e">
        <f>VLOOKUP(B53,#REF!,34,0)</f>
        <v>#REF!</v>
      </c>
      <c r="AK53" s="434" t="e">
        <f>VLOOKUP(B53,#REF!,35,0)</f>
        <v>#REF!</v>
      </c>
      <c r="AL53" s="434"/>
      <c r="AM53" s="435" t="e">
        <f>VLOOKUP(B53,'ky thuật'!$C$9:$M$56,11,0)</f>
        <v>#REF!</v>
      </c>
      <c r="AN53" s="442"/>
      <c r="AS53" s="544">
        <f>VLOOKUP(B53,'Mã số NV'!$B$6:$I$53,3,0)</f>
        <v>0</v>
      </c>
      <c r="AT53" s="546">
        <f t="shared" si="5"/>
        <v>0</v>
      </c>
    </row>
    <row r="54" spans="1:46" ht="22.5" customHeight="1">
      <c r="A54" s="438">
        <v>46</v>
      </c>
      <c r="B54" s="449" t="s">
        <v>401</v>
      </c>
      <c r="C54" s="533" t="s">
        <v>500</v>
      </c>
      <c r="D54" s="541" t="s">
        <v>501</v>
      </c>
      <c r="E54" s="368"/>
      <c r="F54" s="368"/>
      <c r="G54" s="368"/>
      <c r="H54" s="368"/>
      <c r="I54" s="368"/>
      <c r="J54" s="368"/>
      <c r="K54" s="440">
        <f t="shared" si="2"/>
        <v>0</v>
      </c>
      <c r="L54" s="368"/>
      <c r="M54" s="368"/>
      <c r="N54" s="368"/>
      <c r="O54" s="368"/>
      <c r="P54" s="368"/>
      <c r="Q54" s="368"/>
      <c r="R54" s="368"/>
      <c r="S54" s="368"/>
      <c r="T54" s="368"/>
      <c r="U54" s="368"/>
      <c r="V54" s="368"/>
      <c r="W54" s="368"/>
      <c r="X54" s="430">
        <f t="shared" si="3"/>
        <v>0</v>
      </c>
      <c r="Y54" s="441"/>
      <c r="Z54" s="430"/>
      <c r="AA54" s="430"/>
      <c r="AB54" s="430">
        <v>1.33</v>
      </c>
      <c r="AC54" s="655"/>
      <c r="AD54" s="655"/>
      <c r="AE54" s="656"/>
      <c r="AF54" s="187">
        <f t="shared" si="6"/>
        <v>1.33</v>
      </c>
      <c r="AG54" s="432" t="e">
        <f>VLOOKUP(B54,#REF!,6,0)</f>
        <v>#REF!</v>
      </c>
      <c r="AH54" s="432" t="e">
        <f>VLOOKUP(B54,#REF!,12,0)</f>
        <v>#REF!</v>
      </c>
      <c r="AI54" s="433" t="e">
        <f t="shared" si="4"/>
        <v>#REF!</v>
      </c>
      <c r="AJ54" s="434" t="e">
        <f>VLOOKUP(B54,#REF!,34,0)</f>
        <v>#REF!</v>
      </c>
      <c r="AK54" s="434" t="e">
        <f>VLOOKUP(B54,#REF!,35,0)</f>
        <v>#REF!</v>
      </c>
      <c r="AL54" s="434"/>
      <c r="AM54" s="435" t="e">
        <f>VLOOKUP(B54,'ky thuật'!$C$9:$M$56,11,0)</f>
        <v>#REF!</v>
      </c>
      <c r="AN54" s="371"/>
      <c r="AS54" s="544" t="str">
        <f>VLOOKUP(B54,'Mã số NV'!$B$6:$I$53,3,0)</f>
        <v>01916</v>
      </c>
      <c r="AT54" s="546">
        <f t="shared" si="5"/>
        <v>0</v>
      </c>
    </row>
    <row r="55" spans="1:46" ht="22.5" customHeight="1">
      <c r="A55" s="438">
        <v>47</v>
      </c>
      <c r="B55" s="449" t="s">
        <v>400</v>
      </c>
      <c r="C55" s="533" t="s">
        <v>502</v>
      </c>
      <c r="D55" s="541" t="s">
        <v>503</v>
      </c>
      <c r="E55" s="368"/>
      <c r="F55" s="368"/>
      <c r="G55" s="368"/>
      <c r="H55" s="368"/>
      <c r="I55" s="368"/>
      <c r="J55" s="368"/>
      <c r="K55" s="440">
        <f t="shared" si="2"/>
        <v>0</v>
      </c>
      <c r="L55" s="368"/>
      <c r="M55" s="368"/>
      <c r="N55" s="368"/>
      <c r="O55" s="368"/>
      <c r="P55" s="368"/>
      <c r="Q55" s="368"/>
      <c r="R55" s="368"/>
      <c r="S55" s="368"/>
      <c r="T55" s="368"/>
      <c r="U55" s="368"/>
      <c r="V55" s="368"/>
      <c r="W55" s="368"/>
      <c r="X55" s="430">
        <f t="shared" si="3"/>
        <v>0</v>
      </c>
      <c r="Y55" s="441"/>
      <c r="Z55" s="430"/>
      <c r="AA55" s="430"/>
      <c r="AB55" s="430">
        <v>1.33</v>
      </c>
      <c r="AC55" s="655"/>
      <c r="AD55" s="655"/>
      <c r="AE55" s="656"/>
      <c r="AF55" s="187">
        <f t="shared" si="6"/>
        <v>1.33</v>
      </c>
      <c r="AG55" s="432" t="e">
        <f>VLOOKUP(B55,#REF!,6,0)</f>
        <v>#REF!</v>
      </c>
      <c r="AH55" s="432" t="e">
        <f>VLOOKUP(B55,#REF!,12,0)</f>
        <v>#REF!</v>
      </c>
      <c r="AI55" s="433" t="e">
        <f t="shared" si="4"/>
        <v>#REF!</v>
      </c>
      <c r="AJ55" s="434" t="e">
        <f>VLOOKUP(B55,#REF!,34,0)</f>
        <v>#REF!</v>
      </c>
      <c r="AK55" s="434" t="e">
        <f>VLOOKUP(B55,#REF!,35,0)</f>
        <v>#REF!</v>
      </c>
      <c r="AL55" s="434"/>
      <c r="AM55" s="435" t="e">
        <f>VLOOKUP(B55,'ky thuật'!$C$9:$M$56,11,0)</f>
        <v>#REF!</v>
      </c>
      <c r="AN55" s="371"/>
      <c r="AS55" s="544" t="str">
        <f>VLOOKUP(B55,'Mã số NV'!$B$6:$I$53,3,0)</f>
        <v>01917</v>
      </c>
      <c r="AT55" s="546">
        <f t="shared" si="5"/>
        <v>0</v>
      </c>
    </row>
    <row r="56" spans="1:46" ht="22.5" customHeight="1">
      <c r="A56" s="438">
        <v>48</v>
      </c>
      <c r="B56" s="530" t="s">
        <v>481</v>
      </c>
      <c r="C56" s="542" t="s">
        <v>504</v>
      </c>
      <c r="D56" s="541" t="s">
        <v>505</v>
      </c>
      <c r="E56" s="368"/>
      <c r="F56" s="368"/>
      <c r="G56" s="368"/>
      <c r="H56" s="368"/>
      <c r="I56" s="368"/>
      <c r="J56" s="368"/>
      <c r="K56" s="440"/>
      <c r="L56" s="368"/>
      <c r="M56" s="368"/>
      <c r="N56" s="368"/>
      <c r="O56" s="368"/>
      <c r="P56" s="368"/>
      <c r="Q56" s="368"/>
      <c r="R56" s="368"/>
      <c r="S56" s="368"/>
      <c r="T56" s="368"/>
      <c r="U56" s="368"/>
      <c r="V56" s="368"/>
      <c r="W56" s="368"/>
      <c r="X56" s="430"/>
      <c r="Y56" s="441"/>
      <c r="Z56" s="430"/>
      <c r="AA56" s="430"/>
      <c r="AB56" s="430">
        <v>1.33</v>
      </c>
      <c r="AC56" s="655"/>
      <c r="AD56" s="655"/>
      <c r="AE56" s="656"/>
      <c r="AF56" s="187">
        <f t="shared" si="6"/>
        <v>1.33</v>
      </c>
      <c r="AG56" s="432" t="e">
        <f>VLOOKUP(B56,#REF!,6,0)</f>
        <v>#REF!</v>
      </c>
      <c r="AH56" s="432" t="e">
        <f>VLOOKUP(B56,#REF!,12,0)</f>
        <v>#REF!</v>
      </c>
      <c r="AI56" s="433" t="e">
        <f t="shared" si="4"/>
        <v>#REF!</v>
      </c>
      <c r="AJ56" s="434" t="e">
        <f>VLOOKUP(B56,#REF!,34,0)</f>
        <v>#REF!</v>
      </c>
      <c r="AK56" s="434" t="e">
        <f>VLOOKUP(B56,#REF!,35,0)</f>
        <v>#REF!</v>
      </c>
      <c r="AL56" s="529"/>
      <c r="AM56" s="435" t="e">
        <f>VLOOKUP(B56,'ky thuật'!$C$9:$M$56,11,0)</f>
        <v>#REF!</v>
      </c>
      <c r="AN56" s="371"/>
      <c r="AS56" s="544" t="str">
        <f>VLOOKUP(B56,'Mã số NV'!$B$6:$I$53,3,0)</f>
        <v>01918</v>
      </c>
      <c r="AT56" s="546">
        <f t="shared" si="5"/>
        <v>0</v>
      </c>
    </row>
    <row r="57" spans="1:46" ht="22.5" customHeight="1">
      <c r="A57" s="366">
        <v>38</v>
      </c>
      <c r="B57" s="364" t="s">
        <v>536</v>
      </c>
      <c r="C57" s="542"/>
      <c r="D57" s="367" t="s">
        <v>259</v>
      </c>
      <c r="E57" s="631">
        <v>174.09</v>
      </c>
      <c r="F57" s="368">
        <f>+'[18]BCSX T7.1 (2)'!$U$32</f>
        <v>0</v>
      </c>
      <c r="G57" s="368"/>
      <c r="H57" s="368"/>
      <c r="I57" s="368"/>
      <c r="J57" s="368"/>
      <c r="K57" s="440">
        <f t="shared" si="2"/>
        <v>174.09</v>
      </c>
      <c r="L57" s="368"/>
      <c r="M57" s="368"/>
      <c r="N57" s="368"/>
      <c r="O57" s="368"/>
      <c r="P57" s="368"/>
      <c r="Q57" s="368"/>
      <c r="R57" s="368"/>
      <c r="S57" s="368">
        <f t="shared" si="0"/>
        <v>0</v>
      </c>
      <c r="T57" s="368"/>
      <c r="U57" s="368"/>
      <c r="V57" s="12"/>
      <c r="W57" s="368"/>
      <c r="X57" s="430">
        <f t="shared" si="3"/>
        <v>0</v>
      </c>
      <c r="Y57" s="441"/>
      <c r="Z57" s="430"/>
      <c r="AA57" s="430"/>
      <c r="AB57" s="444"/>
      <c r="AC57" s="656"/>
      <c r="AD57" s="656"/>
      <c r="AE57" s="669">
        <f>90.57+170.64+21.3</f>
        <v>282.51</v>
      </c>
      <c r="AF57" s="187">
        <f t="shared" si="6"/>
        <v>282.51</v>
      </c>
      <c r="AG57" s="432"/>
      <c r="AH57" s="432"/>
      <c r="AI57" s="433">
        <f>ROUND(AG57*0.4,2)</f>
        <v>0</v>
      </c>
      <c r="AJ57" s="434"/>
      <c r="AK57" s="369"/>
      <c r="AL57" s="369"/>
      <c r="AM57" s="370"/>
      <c r="AN57" s="371"/>
      <c r="AS57" s="544" t="e">
        <f>VLOOKUP(B57,'Mã số NV'!$B$6:$I$53,3,0)</f>
        <v>#N/A</v>
      </c>
      <c r="AT57" s="546" t="e">
        <f t="shared" si="5"/>
        <v>#N/A</v>
      </c>
    </row>
    <row r="58" spans="1:46" ht="22.5" customHeight="1">
      <c r="A58" s="366">
        <v>39</v>
      </c>
      <c r="B58" s="403" t="s">
        <v>399</v>
      </c>
      <c r="C58" s="525"/>
      <c r="D58" s="367" t="s">
        <v>259</v>
      </c>
      <c r="E58" s="368"/>
      <c r="F58" s="368"/>
      <c r="G58" s="368"/>
      <c r="H58" s="368"/>
      <c r="I58" s="368"/>
      <c r="J58" s="368"/>
      <c r="K58" s="440">
        <f t="shared" si="2"/>
        <v>0</v>
      </c>
      <c r="L58" s="368"/>
      <c r="M58" s="368"/>
      <c r="N58" s="368"/>
      <c r="O58" s="368"/>
      <c r="P58" s="368"/>
      <c r="Q58" s="368"/>
      <c r="R58" s="368"/>
      <c r="S58" s="368">
        <f>SUM(L58:O58)</f>
        <v>0</v>
      </c>
      <c r="T58" s="368"/>
      <c r="U58" s="368"/>
      <c r="V58" s="368"/>
      <c r="W58" s="368"/>
      <c r="X58" s="430"/>
      <c r="Y58" s="441"/>
      <c r="Z58" s="431"/>
      <c r="AA58" s="430"/>
      <c r="AB58" s="444"/>
      <c r="AC58" s="657"/>
      <c r="AD58" s="656"/>
      <c r="AE58" s="668"/>
      <c r="AF58" s="187">
        <f t="shared" si="6"/>
        <v>0</v>
      </c>
      <c r="AG58" s="432"/>
      <c r="AH58" s="432"/>
      <c r="AI58" s="433">
        <f>ROUND(AG58*0.4,2)</f>
        <v>0</v>
      </c>
      <c r="AJ58" s="434"/>
      <c r="AK58" s="369"/>
      <c r="AL58" s="369"/>
      <c r="AM58" s="370"/>
      <c r="AN58" s="371"/>
      <c r="AS58" s="544" t="e">
        <f>VLOOKUP(B58,'Mã số NV'!$B$6:$I$53,3,0)</f>
        <v>#N/A</v>
      </c>
      <c r="AT58" s="546" t="e">
        <f t="shared" si="5"/>
        <v>#N/A</v>
      </c>
    </row>
    <row r="59" spans="1:46" ht="22.5" customHeight="1">
      <c r="A59" s="372">
        <v>40</v>
      </c>
      <c r="B59" s="365" t="s">
        <v>332</v>
      </c>
      <c r="C59" s="365"/>
      <c r="D59" s="373" t="s">
        <v>259</v>
      </c>
      <c r="E59" s="368"/>
      <c r="F59" s="368"/>
      <c r="G59" s="374"/>
      <c r="H59" s="374"/>
      <c r="I59" s="374"/>
      <c r="J59" s="374"/>
      <c r="K59" s="440">
        <f>SUM(E59:J59)</f>
        <v>0</v>
      </c>
      <c r="L59" s="374"/>
      <c r="M59" s="374"/>
      <c r="N59" s="374"/>
      <c r="O59" s="374"/>
      <c r="P59" s="374"/>
      <c r="Q59" s="374"/>
      <c r="R59" s="374"/>
      <c r="S59" s="374">
        <f>SUM(L59:R59)</f>
        <v>0</v>
      </c>
      <c r="T59" s="374"/>
      <c r="U59" s="374"/>
      <c r="V59" s="374"/>
      <c r="W59" s="374"/>
      <c r="X59" s="443">
        <f t="shared" si="3"/>
        <v>0</v>
      </c>
      <c r="Y59" s="444"/>
      <c r="Z59" s="431"/>
      <c r="AA59" s="430"/>
      <c r="AB59" s="444"/>
      <c r="AC59" s="658">
        <f>76.91+261.33+181.76</f>
        <v>520</v>
      </c>
      <c r="AD59" s="658">
        <f>56+192+136</f>
        <v>384</v>
      </c>
      <c r="AE59" s="670"/>
      <c r="AF59" s="187">
        <f t="shared" si="6"/>
        <v>904</v>
      </c>
      <c r="AG59" s="432"/>
      <c r="AH59" s="432"/>
      <c r="AI59" s="433">
        <f>ROUND(AG59*0.4,2)</f>
        <v>0</v>
      </c>
      <c r="AJ59" s="434"/>
      <c r="AK59" s="230"/>
      <c r="AL59" s="230"/>
      <c r="AM59" s="375"/>
      <c r="AN59" s="376"/>
      <c r="AS59" s="544" t="e">
        <f>VLOOKUP(B59,'Mã số NV'!$B$6:$I$53,3,0)</f>
        <v>#N/A</v>
      </c>
      <c r="AT59" s="546" t="e">
        <f t="shared" si="5"/>
        <v>#N/A</v>
      </c>
    </row>
    <row r="60" spans="1:46" s="253" customFormat="1" ht="15.75" customHeight="1">
      <c r="A60" s="4315" t="s">
        <v>187</v>
      </c>
      <c r="B60" s="4316"/>
      <c r="C60" s="4316"/>
      <c r="D60" s="4317"/>
      <c r="E60" s="262">
        <f t="shared" ref="E60:AL60" si="7">SUM(E9:E59)</f>
        <v>174.09</v>
      </c>
      <c r="F60" s="262">
        <f>SUM(F9:F59)</f>
        <v>0</v>
      </c>
      <c r="G60" s="262">
        <f t="shared" si="7"/>
        <v>0</v>
      </c>
      <c r="H60" s="262">
        <f t="shared" si="7"/>
        <v>0</v>
      </c>
      <c r="I60" s="262">
        <f t="shared" si="7"/>
        <v>0</v>
      </c>
      <c r="J60" s="262">
        <f t="shared" si="7"/>
        <v>0</v>
      </c>
      <c r="K60" s="276">
        <f t="shared" si="7"/>
        <v>174.09</v>
      </c>
      <c r="L60" s="262">
        <f t="shared" si="7"/>
        <v>0</v>
      </c>
      <c r="M60" s="262">
        <f t="shared" si="7"/>
        <v>0</v>
      </c>
      <c r="N60" s="262">
        <f t="shared" si="7"/>
        <v>0</v>
      </c>
      <c r="O60" s="262">
        <f t="shared" si="7"/>
        <v>0</v>
      </c>
      <c r="P60" s="262">
        <f t="shared" si="7"/>
        <v>0</v>
      </c>
      <c r="Q60" s="262">
        <f t="shared" si="7"/>
        <v>0</v>
      </c>
      <c r="R60" s="262">
        <f t="shared" si="7"/>
        <v>0</v>
      </c>
      <c r="S60" s="276">
        <f>SUM(S9:S59)</f>
        <v>0</v>
      </c>
      <c r="T60" s="262">
        <f t="shared" si="7"/>
        <v>0</v>
      </c>
      <c r="U60" s="262">
        <f t="shared" si="7"/>
        <v>0</v>
      </c>
      <c r="V60" s="262">
        <f t="shared" si="7"/>
        <v>0</v>
      </c>
      <c r="W60" s="262">
        <f t="shared" si="7"/>
        <v>0</v>
      </c>
      <c r="X60" s="276">
        <f t="shared" si="7"/>
        <v>0</v>
      </c>
      <c r="Y60" s="276">
        <f t="shared" si="7"/>
        <v>116</v>
      </c>
      <c r="Z60" s="451">
        <f>SUM(Z9:Z59)</f>
        <v>0</v>
      </c>
      <c r="AA60" s="451">
        <f>SUM(AA9:AA59)</f>
        <v>0</v>
      </c>
      <c r="AB60" s="451">
        <f>SUM(AB9:AB59)</f>
        <v>63.999999999999943</v>
      </c>
      <c r="AC60" s="659">
        <f>SUM(AC9:AC59)</f>
        <v>520</v>
      </c>
      <c r="AD60" s="659">
        <f t="shared" si="7"/>
        <v>384</v>
      </c>
      <c r="AE60" s="671">
        <f t="shared" si="7"/>
        <v>282.51</v>
      </c>
      <c r="AF60" s="262">
        <f>SUM(AF9:AF59)</f>
        <v>1250.51</v>
      </c>
      <c r="AG60" s="428" t="e">
        <f>SUM(AG9:AG59)</f>
        <v>#REF!</v>
      </c>
      <c r="AH60" s="428"/>
      <c r="AI60" s="469" t="e">
        <f>SUM(AI9:AI59)</f>
        <v>#REF!</v>
      </c>
      <c r="AJ60" s="277" t="e">
        <f>SUM(AJ9:AJ59)</f>
        <v>#REF!</v>
      </c>
      <c r="AK60" s="277" t="e">
        <f t="shared" si="7"/>
        <v>#REF!</v>
      </c>
      <c r="AL60" s="277">
        <f t="shared" si="7"/>
        <v>0</v>
      </c>
      <c r="AM60" s="262"/>
      <c r="AN60" s="254"/>
      <c r="AP60" s="253">
        <f>COUNTIF(AM9:AM55,"b")</f>
        <v>0</v>
      </c>
    </row>
    <row r="61" spans="1:46" s="248" customFormat="1" ht="18.75" customHeight="1">
      <c r="Y61" s="272"/>
      <c r="Z61" s="448"/>
      <c r="AA61" s="4306"/>
      <c r="AB61" s="4306"/>
      <c r="AC61" s="660"/>
      <c r="AD61" s="661"/>
      <c r="AE61" s="660"/>
      <c r="AF61" s="255"/>
      <c r="AI61" s="4321" t="s">
        <v>587</v>
      </c>
      <c r="AJ61" s="4321"/>
      <c r="AK61" s="4321"/>
      <c r="AL61" s="4321"/>
      <c r="AM61" s="4321"/>
      <c r="AN61" s="4321"/>
    </row>
    <row r="62" spans="1:46" s="248" customFormat="1" ht="15" customHeight="1">
      <c r="B62" s="4311"/>
      <c r="C62" s="4312"/>
      <c r="D62" s="4312"/>
      <c r="E62" s="4312"/>
      <c r="F62" s="4312"/>
      <c r="G62" s="4312"/>
      <c r="H62" s="4312"/>
      <c r="I62" s="4312"/>
      <c r="J62" s="4312"/>
      <c r="K62" s="4312"/>
      <c r="L62" s="4312"/>
      <c r="M62" s="4312"/>
      <c r="N62" s="4312"/>
      <c r="O62" s="4312"/>
      <c r="P62" s="4312"/>
      <c r="Q62" s="4312"/>
      <c r="R62" s="4312"/>
      <c r="S62" s="4312"/>
      <c r="T62" s="4312"/>
      <c r="U62" s="4312"/>
      <c r="V62" s="4312"/>
      <c r="W62" s="4312"/>
      <c r="X62" s="4312"/>
      <c r="Y62" s="4312"/>
      <c r="Z62" s="4312"/>
      <c r="AA62" s="4312"/>
      <c r="AB62" s="4312"/>
      <c r="AC62" s="662"/>
      <c r="AD62" s="662"/>
      <c r="AE62" s="652"/>
      <c r="AF62" s="255"/>
      <c r="AI62" s="4320" t="s">
        <v>249</v>
      </c>
      <c r="AJ62" s="4320"/>
      <c r="AK62" s="4320"/>
      <c r="AL62" s="4320"/>
      <c r="AM62" s="4320"/>
      <c r="AN62" s="4320"/>
    </row>
    <row r="63" spans="1:46">
      <c r="Z63" s="382"/>
      <c r="AB63" s="261"/>
      <c r="AD63" s="662"/>
      <c r="AF63" s="578"/>
    </row>
    <row r="64" spans="1:46">
      <c r="Z64" s="596"/>
      <c r="AB64" s="261"/>
      <c r="AC64" s="663"/>
      <c r="AD64" s="663"/>
      <c r="AF64" s="450"/>
    </row>
    <row r="65" spans="2:40">
      <c r="B65" s="453"/>
      <c r="C65" s="453"/>
      <c r="Z65" s="382"/>
      <c r="AC65" s="663"/>
      <c r="AD65" s="663"/>
      <c r="AG65" s="261"/>
      <c r="AH65" s="261"/>
    </row>
    <row r="66" spans="2:40">
      <c r="B66" s="453"/>
      <c r="C66" s="453"/>
      <c r="AB66" s="261"/>
      <c r="AD66" s="664"/>
    </row>
    <row r="67" spans="2:40" s="256" customFormat="1" ht="13.5">
      <c r="B67" s="4310"/>
      <c r="C67" s="4310"/>
      <c r="D67" s="4310"/>
      <c r="E67" s="4310"/>
      <c r="F67" s="4310"/>
      <c r="G67" s="4310"/>
      <c r="H67" s="4310"/>
      <c r="I67" s="4310"/>
      <c r="J67" s="4310"/>
      <c r="K67" s="4310"/>
      <c r="L67" s="4310"/>
      <c r="M67" s="4310"/>
      <c r="N67" s="4310"/>
      <c r="O67" s="4310"/>
      <c r="P67" s="4310"/>
      <c r="Q67" s="4310"/>
      <c r="R67" s="4310"/>
      <c r="S67" s="4310"/>
      <c r="T67" s="4310"/>
      <c r="U67" s="4310"/>
      <c r="V67" s="4310"/>
      <c r="W67" s="4310"/>
      <c r="X67" s="4310"/>
      <c r="Y67" s="4310"/>
      <c r="Z67" s="4310"/>
      <c r="AA67" s="4310"/>
      <c r="AB67" s="4310"/>
      <c r="AC67" s="665"/>
      <c r="AD67" s="666"/>
      <c r="AE67" s="665"/>
      <c r="AF67" s="257"/>
      <c r="AI67" s="4310" t="s">
        <v>337</v>
      </c>
      <c r="AJ67" s="4310"/>
      <c r="AK67" s="4310"/>
      <c r="AL67" s="4310"/>
      <c r="AM67" s="4310"/>
      <c r="AN67" s="4310"/>
    </row>
    <row r="68" spans="2:40">
      <c r="AD68" s="663"/>
    </row>
    <row r="70" spans="2:40">
      <c r="X70" s="4305"/>
      <c r="Y70" s="4305"/>
      <c r="Z70" s="4305"/>
    </row>
    <row r="71" spans="2:40">
      <c r="AC71" s="651">
        <v>28</v>
      </c>
    </row>
    <row r="72" spans="2:40">
      <c r="U72" s="246">
        <v>192</v>
      </c>
      <c r="AC72" s="651">
        <v>72</v>
      </c>
    </row>
    <row r="73" spans="2:40">
      <c r="U73" s="246">
        <v>96</v>
      </c>
      <c r="AC73" s="651">
        <v>68</v>
      </c>
    </row>
    <row r="75" spans="2:40">
      <c r="U75" s="246">
        <f>96*2</f>
        <v>192</v>
      </c>
    </row>
    <row r="80" spans="2:40" ht="13.5" thickBot="1"/>
    <row r="81" spans="2:3" ht="16.5" thickBot="1">
      <c r="B81" s="359">
        <v>450000</v>
      </c>
      <c r="C81" s="526"/>
    </row>
    <row r="82" spans="2:3" ht="16.5" thickBot="1">
      <c r="B82" s="360">
        <v>720000</v>
      </c>
      <c r="C82" s="526"/>
    </row>
    <row r="83" spans="2:3" ht="16.5" thickBot="1">
      <c r="B83" s="360">
        <v>120000</v>
      </c>
      <c r="C83" s="526"/>
    </row>
    <row r="84" spans="2:3" ht="16.5" thickBot="1">
      <c r="B84" s="360">
        <v>225000</v>
      </c>
      <c r="C84" s="526"/>
    </row>
    <row r="85" spans="2:3" ht="16.5" thickBot="1">
      <c r="B85" s="360">
        <v>70000</v>
      </c>
      <c r="C85" s="526"/>
    </row>
    <row r="86" spans="2:3" ht="16.5" thickBot="1">
      <c r="B86" s="360">
        <v>80000</v>
      </c>
      <c r="C86" s="526"/>
    </row>
    <row r="87" spans="2:3" ht="16.5" thickBot="1">
      <c r="B87" s="360">
        <v>170000</v>
      </c>
      <c r="C87" s="526"/>
    </row>
    <row r="88" spans="2:3">
      <c r="B88" s="361">
        <f>SUM(B81:B87)</f>
        <v>1835000</v>
      </c>
      <c r="C88" s="361"/>
    </row>
  </sheetData>
  <mergeCells count="21">
    <mergeCell ref="AI67:AN67"/>
    <mergeCell ref="AI62:AN62"/>
    <mergeCell ref="AI61:AN61"/>
    <mergeCell ref="Y7:AM7"/>
    <mergeCell ref="L7:S7"/>
    <mergeCell ref="AB2:AN2"/>
    <mergeCell ref="A2:U2"/>
    <mergeCell ref="A3:U3"/>
    <mergeCell ref="AB3:AN3"/>
    <mergeCell ref="A5:AN5"/>
    <mergeCell ref="X70:Z70"/>
    <mergeCell ref="AA61:AB61"/>
    <mergeCell ref="T7:X7"/>
    <mergeCell ref="B67:AB67"/>
    <mergeCell ref="B62:AB62"/>
    <mergeCell ref="C7:C8"/>
    <mergeCell ref="A60:D60"/>
    <mergeCell ref="A7:A8"/>
    <mergeCell ref="B7:B8"/>
    <mergeCell ref="E7:K7"/>
    <mergeCell ref="D7:D8"/>
  </mergeCells>
  <phoneticPr fontId="57" type="noConversion"/>
  <pageMargins left="0.2" right="0.2" top="0.19" bottom="0.22" header="0.17" footer="0.17"/>
  <pageSetup paperSize="9" scale="48" fitToHeight="0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I53"/>
  <sheetViews>
    <sheetView workbookViewId="0">
      <selection activeCell="B13" sqref="B13"/>
    </sheetView>
  </sheetViews>
  <sheetFormatPr defaultColWidth="9.375" defaultRowHeight="15"/>
  <cols>
    <col min="1" max="1" width="9.375" style="547"/>
    <col min="2" max="4" width="17.875" style="547" customWidth="1"/>
    <col min="5" max="5" width="14.875" style="547" customWidth="1"/>
    <col min="6" max="6" width="14.625" style="547" customWidth="1"/>
    <col min="7" max="7" width="13.625" style="547" customWidth="1"/>
    <col min="8" max="8" width="16.375" style="547" customWidth="1"/>
    <col min="9" max="9" width="15.875" style="547" customWidth="1"/>
    <col min="10" max="16384" width="9.375" style="547"/>
  </cols>
  <sheetData>
    <row r="1" spans="1:9">
      <c r="A1" s="547" t="s">
        <v>392</v>
      </c>
      <c r="F1" s="4322" t="s">
        <v>165</v>
      </c>
      <c r="G1" s="4322"/>
      <c r="H1" s="4322"/>
      <c r="I1" s="4322"/>
    </row>
    <row r="2" spans="1:9">
      <c r="A2" s="4322" t="s">
        <v>236</v>
      </c>
      <c r="B2" s="4322"/>
      <c r="C2" s="548"/>
      <c r="D2" s="548"/>
      <c r="F2" s="4322"/>
      <c r="G2" s="4322"/>
      <c r="H2" s="4322"/>
      <c r="I2" s="4322"/>
    </row>
    <row r="3" spans="1:9">
      <c r="A3" s="4322" t="s">
        <v>508</v>
      </c>
      <c r="B3" s="4322"/>
      <c r="C3" s="4322"/>
      <c r="D3" s="4322"/>
      <c r="E3" s="4322"/>
      <c r="F3" s="4322"/>
      <c r="G3" s="4322"/>
      <c r="H3" s="4322"/>
      <c r="I3" s="4322"/>
    </row>
    <row r="5" spans="1:9">
      <c r="A5" s="549" t="s">
        <v>1</v>
      </c>
      <c r="B5" s="549" t="s">
        <v>509</v>
      </c>
      <c r="C5" s="549" t="s">
        <v>510</v>
      </c>
      <c r="D5" s="549" t="s">
        <v>239</v>
      </c>
      <c r="E5" s="549" t="s">
        <v>511</v>
      </c>
      <c r="F5" s="549" t="s">
        <v>512</v>
      </c>
      <c r="G5" s="549" t="s">
        <v>513</v>
      </c>
      <c r="H5" s="549" t="s">
        <v>514</v>
      </c>
      <c r="I5" s="550" t="s">
        <v>345</v>
      </c>
    </row>
    <row r="6" spans="1:9" ht="20.25">
      <c r="A6" s="551">
        <v>1</v>
      </c>
      <c r="B6" s="552" t="s">
        <v>100</v>
      </c>
      <c r="C6" s="553" t="s">
        <v>195</v>
      </c>
      <c r="D6" s="554" t="s">
        <v>419</v>
      </c>
      <c r="E6" s="551">
        <v>1996</v>
      </c>
      <c r="F6" s="551" t="s">
        <v>515</v>
      </c>
      <c r="G6" s="551" t="s">
        <v>516</v>
      </c>
      <c r="H6" s="551" t="s">
        <v>517</v>
      </c>
      <c r="I6" s="551" t="s">
        <v>518</v>
      </c>
    </row>
    <row r="7" spans="1:9" ht="20.25">
      <c r="A7" s="555">
        <v>2</v>
      </c>
      <c r="B7" s="556" t="s">
        <v>101</v>
      </c>
      <c r="C7" s="557" t="s">
        <v>420</v>
      </c>
      <c r="D7" s="554" t="s">
        <v>421</v>
      </c>
      <c r="E7" s="555">
        <v>1999</v>
      </c>
      <c r="F7" s="555" t="s">
        <v>519</v>
      </c>
      <c r="G7" s="555" t="s">
        <v>516</v>
      </c>
      <c r="H7" s="555" t="s">
        <v>517</v>
      </c>
      <c r="I7" s="555" t="s">
        <v>518</v>
      </c>
    </row>
    <row r="8" spans="1:9" ht="20.25">
      <c r="A8" s="555">
        <v>3</v>
      </c>
      <c r="B8" s="556" t="s">
        <v>255</v>
      </c>
      <c r="C8" s="557" t="s">
        <v>427</v>
      </c>
      <c r="D8" s="554" t="s">
        <v>428</v>
      </c>
      <c r="E8" s="555">
        <v>1989</v>
      </c>
      <c r="F8" s="555" t="s">
        <v>515</v>
      </c>
      <c r="G8" s="555" t="s">
        <v>516</v>
      </c>
      <c r="H8" s="555" t="s">
        <v>517</v>
      </c>
      <c r="I8" s="555" t="s">
        <v>518</v>
      </c>
    </row>
    <row r="9" spans="1:9" ht="20.25">
      <c r="A9" s="555">
        <v>4</v>
      </c>
      <c r="B9" s="556" t="s">
        <v>405</v>
      </c>
      <c r="C9" s="557" t="s">
        <v>425</v>
      </c>
      <c r="D9" s="554" t="s">
        <v>426</v>
      </c>
      <c r="E9" s="555">
        <v>1993</v>
      </c>
      <c r="F9" s="555" t="s">
        <v>515</v>
      </c>
      <c r="G9" s="555" t="s">
        <v>516</v>
      </c>
      <c r="H9" s="555" t="s">
        <v>517</v>
      </c>
      <c r="I9" s="555" t="s">
        <v>518</v>
      </c>
    </row>
    <row r="10" spans="1:9" ht="20.25">
      <c r="A10" s="555">
        <v>5</v>
      </c>
      <c r="B10" s="556" t="s">
        <v>278</v>
      </c>
      <c r="C10" s="557" t="s">
        <v>196</v>
      </c>
      <c r="D10" s="554" t="s">
        <v>424</v>
      </c>
      <c r="E10" s="555">
        <v>1986</v>
      </c>
      <c r="F10" s="555" t="s">
        <v>515</v>
      </c>
      <c r="G10" s="555" t="s">
        <v>516</v>
      </c>
      <c r="H10" s="555" t="s">
        <v>517</v>
      </c>
      <c r="I10" s="555" t="s">
        <v>518</v>
      </c>
    </row>
    <row r="11" spans="1:9" ht="20.25">
      <c r="A11" s="555">
        <v>6</v>
      </c>
      <c r="B11" s="556" t="s">
        <v>266</v>
      </c>
      <c r="C11" s="557" t="s">
        <v>429</v>
      </c>
      <c r="D11" s="554" t="s">
        <v>430</v>
      </c>
      <c r="E11" s="555">
        <v>1964</v>
      </c>
      <c r="F11" s="555" t="s">
        <v>519</v>
      </c>
      <c r="G11" s="555" t="s">
        <v>516</v>
      </c>
      <c r="H11" s="555" t="s">
        <v>517</v>
      </c>
      <c r="I11" s="555" t="s">
        <v>518</v>
      </c>
    </row>
    <row r="12" spans="1:9" ht="20.25">
      <c r="A12" s="555">
        <v>7</v>
      </c>
      <c r="B12" s="556" t="s">
        <v>254</v>
      </c>
      <c r="C12" s="557" t="s">
        <v>431</v>
      </c>
      <c r="D12" s="554" t="s">
        <v>432</v>
      </c>
      <c r="E12" s="555">
        <v>1988</v>
      </c>
      <c r="F12" s="555" t="s">
        <v>515</v>
      </c>
      <c r="G12" s="555" t="s">
        <v>520</v>
      </c>
      <c r="H12" s="555" t="s">
        <v>521</v>
      </c>
      <c r="I12" s="555" t="s">
        <v>518</v>
      </c>
    </row>
    <row r="13" spans="1:9" ht="20.25">
      <c r="A13" s="555">
        <v>8</v>
      </c>
      <c r="B13" s="624" t="s">
        <v>580</v>
      </c>
      <c r="C13" s="557"/>
      <c r="D13" s="554"/>
      <c r="E13" s="555">
        <v>1991</v>
      </c>
      <c r="F13" s="555" t="s">
        <v>522</v>
      </c>
      <c r="G13" s="555" t="s">
        <v>516</v>
      </c>
      <c r="H13" s="555" t="s">
        <v>517</v>
      </c>
      <c r="I13" s="555" t="s">
        <v>518</v>
      </c>
    </row>
    <row r="14" spans="1:9" ht="20.25">
      <c r="A14" s="555">
        <v>9</v>
      </c>
      <c r="B14" s="558" t="s">
        <v>271</v>
      </c>
      <c r="C14" s="559" t="s">
        <v>434</v>
      </c>
      <c r="D14" s="554" t="s">
        <v>435</v>
      </c>
      <c r="E14" s="555">
        <v>1994</v>
      </c>
      <c r="F14" s="555" t="s">
        <v>515</v>
      </c>
      <c r="G14" s="555" t="s">
        <v>516</v>
      </c>
      <c r="H14" s="555" t="s">
        <v>517</v>
      </c>
      <c r="I14" s="555" t="s">
        <v>518</v>
      </c>
    </row>
    <row r="15" spans="1:9" ht="20.25">
      <c r="A15" s="555">
        <v>10</v>
      </c>
      <c r="B15" s="560" t="s">
        <v>403</v>
      </c>
      <c r="C15" s="561" t="s">
        <v>436</v>
      </c>
      <c r="D15" s="554" t="s">
        <v>437</v>
      </c>
      <c r="E15" s="555">
        <v>1989</v>
      </c>
      <c r="F15" s="555" t="s">
        <v>523</v>
      </c>
      <c r="G15" s="555" t="s">
        <v>520</v>
      </c>
      <c r="H15" s="555" t="s">
        <v>521</v>
      </c>
      <c r="I15" s="555" t="s">
        <v>518</v>
      </c>
    </row>
    <row r="16" spans="1:9" ht="20.25">
      <c r="A16" s="555">
        <v>11</v>
      </c>
      <c r="B16" s="625" t="s">
        <v>581</v>
      </c>
      <c r="C16" s="559"/>
      <c r="D16" s="554"/>
      <c r="E16" s="555">
        <v>1984</v>
      </c>
      <c r="F16" s="555" t="s">
        <v>524</v>
      </c>
      <c r="G16" s="555" t="s">
        <v>520</v>
      </c>
      <c r="H16" s="555" t="s">
        <v>521</v>
      </c>
      <c r="I16" s="555" t="s">
        <v>518</v>
      </c>
    </row>
    <row r="17" spans="1:9" ht="20.25">
      <c r="A17" s="555">
        <v>12</v>
      </c>
      <c r="B17" s="562" t="s">
        <v>416</v>
      </c>
      <c r="C17" s="563" t="s">
        <v>438</v>
      </c>
      <c r="D17" s="564" t="s">
        <v>439</v>
      </c>
      <c r="E17" s="555">
        <v>1996</v>
      </c>
      <c r="F17" s="555" t="s">
        <v>519</v>
      </c>
      <c r="G17" s="555" t="s">
        <v>516</v>
      </c>
      <c r="H17" s="555" t="s">
        <v>517</v>
      </c>
      <c r="I17" s="555" t="s">
        <v>525</v>
      </c>
    </row>
    <row r="18" spans="1:9" ht="20.25">
      <c r="A18" s="555">
        <v>13</v>
      </c>
      <c r="B18" s="565" t="s">
        <v>526</v>
      </c>
      <c r="C18" s="566" t="s">
        <v>440</v>
      </c>
      <c r="D18" s="564" t="s">
        <v>441</v>
      </c>
      <c r="E18" s="555">
        <v>1988</v>
      </c>
      <c r="F18" s="555" t="s">
        <v>519</v>
      </c>
      <c r="G18" s="555" t="s">
        <v>516</v>
      </c>
      <c r="H18" s="555" t="s">
        <v>517</v>
      </c>
      <c r="I18" s="555" t="s">
        <v>525</v>
      </c>
    </row>
    <row r="19" spans="1:9" ht="20.25">
      <c r="A19" s="555">
        <v>14</v>
      </c>
      <c r="B19" s="565" t="s">
        <v>409</v>
      </c>
      <c r="C19" s="566" t="s">
        <v>442</v>
      </c>
      <c r="D19" s="564" t="s">
        <v>443</v>
      </c>
      <c r="E19" s="555">
        <v>1968</v>
      </c>
      <c r="F19" s="555" t="s">
        <v>519</v>
      </c>
      <c r="G19" s="555" t="s">
        <v>516</v>
      </c>
      <c r="H19" s="555" t="s">
        <v>517</v>
      </c>
      <c r="I19" s="555" t="s">
        <v>525</v>
      </c>
    </row>
    <row r="20" spans="1:9" ht="20.25">
      <c r="A20" s="555">
        <v>15</v>
      </c>
      <c r="B20" s="565" t="s">
        <v>274</v>
      </c>
      <c r="C20" s="566" t="s">
        <v>444</v>
      </c>
      <c r="D20" s="564" t="s">
        <v>445</v>
      </c>
      <c r="E20" s="555">
        <v>1984</v>
      </c>
      <c r="F20" s="555" t="s">
        <v>519</v>
      </c>
      <c r="G20" s="555" t="s">
        <v>516</v>
      </c>
      <c r="H20" s="555" t="s">
        <v>517</v>
      </c>
      <c r="I20" s="555" t="s">
        <v>525</v>
      </c>
    </row>
    <row r="21" spans="1:9" ht="20.25">
      <c r="A21" s="555">
        <v>16</v>
      </c>
      <c r="B21" s="565" t="s">
        <v>410</v>
      </c>
      <c r="C21" s="566" t="s">
        <v>446</v>
      </c>
      <c r="D21" s="564" t="s">
        <v>447</v>
      </c>
      <c r="E21" s="555">
        <v>1972</v>
      </c>
      <c r="F21" s="555" t="s">
        <v>519</v>
      </c>
      <c r="G21" s="555" t="s">
        <v>516</v>
      </c>
      <c r="H21" s="555" t="s">
        <v>517</v>
      </c>
      <c r="I21" s="555" t="s">
        <v>525</v>
      </c>
    </row>
    <row r="22" spans="1:9" ht="20.25">
      <c r="A22" s="555">
        <v>17</v>
      </c>
      <c r="B22" s="565" t="s">
        <v>415</v>
      </c>
      <c r="C22" s="566" t="s">
        <v>448</v>
      </c>
      <c r="D22" s="564" t="s">
        <v>449</v>
      </c>
      <c r="E22" s="555">
        <v>1998</v>
      </c>
      <c r="F22" s="555" t="s">
        <v>519</v>
      </c>
      <c r="G22" s="555" t="s">
        <v>516</v>
      </c>
      <c r="H22" s="555" t="s">
        <v>517</v>
      </c>
      <c r="I22" s="555" t="s">
        <v>525</v>
      </c>
    </row>
    <row r="23" spans="1:9" ht="20.25">
      <c r="A23" s="555">
        <v>18</v>
      </c>
      <c r="B23" s="565" t="s">
        <v>412</v>
      </c>
      <c r="C23" s="566" t="s">
        <v>450</v>
      </c>
      <c r="D23" s="564" t="s">
        <v>451</v>
      </c>
      <c r="E23" s="555">
        <v>1998</v>
      </c>
      <c r="F23" s="555" t="s">
        <v>519</v>
      </c>
      <c r="G23" s="555" t="s">
        <v>516</v>
      </c>
      <c r="H23" s="555" t="s">
        <v>517</v>
      </c>
      <c r="I23" s="555" t="s">
        <v>525</v>
      </c>
    </row>
    <row r="24" spans="1:9" ht="20.25">
      <c r="A24" s="555">
        <v>19</v>
      </c>
      <c r="B24" s="565" t="s">
        <v>408</v>
      </c>
      <c r="C24" s="566" t="s">
        <v>452</v>
      </c>
      <c r="D24" s="564" t="s">
        <v>453</v>
      </c>
      <c r="E24" s="555">
        <v>1983</v>
      </c>
      <c r="F24" s="555" t="s">
        <v>519</v>
      </c>
      <c r="G24" s="555" t="s">
        <v>516</v>
      </c>
      <c r="H24" s="555" t="s">
        <v>517</v>
      </c>
      <c r="I24" s="555" t="s">
        <v>525</v>
      </c>
    </row>
    <row r="25" spans="1:9" ht="20.25">
      <c r="A25" s="555">
        <v>20</v>
      </c>
      <c r="B25" s="565" t="s">
        <v>404</v>
      </c>
      <c r="C25" s="566" t="s">
        <v>454</v>
      </c>
      <c r="D25" s="567" t="s">
        <v>455</v>
      </c>
      <c r="E25" s="555">
        <v>1961</v>
      </c>
      <c r="F25" s="555" t="s">
        <v>523</v>
      </c>
      <c r="G25" s="555" t="s">
        <v>520</v>
      </c>
      <c r="H25" s="555" t="s">
        <v>521</v>
      </c>
      <c r="I25" s="555" t="s">
        <v>518</v>
      </c>
    </row>
    <row r="26" spans="1:9" ht="20.25">
      <c r="A26" s="555">
        <v>21</v>
      </c>
      <c r="B26" s="565" t="s">
        <v>527</v>
      </c>
      <c r="C26" s="566" t="s">
        <v>456</v>
      </c>
      <c r="D26" s="567" t="s">
        <v>457</v>
      </c>
      <c r="E26" s="555">
        <v>1997</v>
      </c>
      <c r="F26" s="555" t="s">
        <v>519</v>
      </c>
      <c r="G26" s="555" t="s">
        <v>516</v>
      </c>
      <c r="H26" s="555" t="s">
        <v>517</v>
      </c>
      <c r="I26" s="555" t="s">
        <v>525</v>
      </c>
    </row>
    <row r="27" spans="1:9" ht="20.25">
      <c r="A27" s="555">
        <v>22</v>
      </c>
      <c r="B27" s="558" t="s">
        <v>269</v>
      </c>
      <c r="C27" s="559" t="s">
        <v>458</v>
      </c>
      <c r="D27" s="568" t="s">
        <v>459</v>
      </c>
      <c r="E27" s="555">
        <v>1983</v>
      </c>
      <c r="F27" s="555" t="s">
        <v>515</v>
      </c>
      <c r="G27" s="555" t="s">
        <v>516</v>
      </c>
      <c r="H27" s="555" t="s">
        <v>517</v>
      </c>
      <c r="I27" s="555" t="s">
        <v>518</v>
      </c>
    </row>
    <row r="28" spans="1:9" ht="20.25">
      <c r="A28" s="555">
        <v>23</v>
      </c>
      <c r="B28" s="558" t="s">
        <v>283</v>
      </c>
      <c r="C28" s="559" t="s">
        <v>460</v>
      </c>
      <c r="D28" s="568" t="s">
        <v>461</v>
      </c>
      <c r="E28" s="555">
        <v>1994</v>
      </c>
      <c r="F28" s="555" t="s">
        <v>515</v>
      </c>
      <c r="G28" s="555" t="s">
        <v>516</v>
      </c>
      <c r="H28" s="555" t="s">
        <v>517</v>
      </c>
      <c r="I28" s="555" t="s">
        <v>518</v>
      </c>
    </row>
    <row r="29" spans="1:9" ht="20.25">
      <c r="A29" s="555">
        <v>24</v>
      </c>
      <c r="B29" s="558" t="s">
        <v>270</v>
      </c>
      <c r="C29" s="559" t="s">
        <v>462</v>
      </c>
      <c r="D29" s="568" t="s">
        <v>463</v>
      </c>
      <c r="E29" s="555">
        <v>1989</v>
      </c>
      <c r="F29" s="555" t="s">
        <v>515</v>
      </c>
      <c r="G29" s="555" t="s">
        <v>516</v>
      </c>
      <c r="H29" s="555" t="s">
        <v>517</v>
      </c>
      <c r="I29" s="555" t="s">
        <v>518</v>
      </c>
    </row>
    <row r="30" spans="1:9" ht="20.25">
      <c r="A30" s="555">
        <v>25</v>
      </c>
      <c r="B30" s="558" t="s">
        <v>407</v>
      </c>
      <c r="C30" s="559" t="s">
        <v>464</v>
      </c>
      <c r="D30" s="568" t="s">
        <v>465</v>
      </c>
      <c r="E30" s="555">
        <v>1993</v>
      </c>
      <c r="F30" s="555" t="s">
        <v>515</v>
      </c>
      <c r="G30" s="555" t="s">
        <v>516</v>
      </c>
      <c r="H30" s="555" t="s">
        <v>517</v>
      </c>
      <c r="I30" s="555" t="s">
        <v>518</v>
      </c>
    </row>
    <row r="31" spans="1:9" ht="20.25">
      <c r="A31" s="555">
        <v>26</v>
      </c>
      <c r="B31" s="625" t="s">
        <v>582</v>
      </c>
      <c r="C31" s="559"/>
      <c r="D31" s="568"/>
      <c r="E31" s="555">
        <v>1999</v>
      </c>
      <c r="F31" s="555" t="s">
        <v>515</v>
      </c>
      <c r="G31" s="555" t="s">
        <v>516</v>
      </c>
      <c r="H31" s="555" t="s">
        <v>517</v>
      </c>
      <c r="I31" s="555" t="s">
        <v>518</v>
      </c>
    </row>
    <row r="32" spans="1:9" ht="20.25">
      <c r="A32" s="555">
        <v>27</v>
      </c>
      <c r="B32" s="626" t="s">
        <v>583</v>
      </c>
      <c r="C32" s="569"/>
      <c r="D32" s="568"/>
      <c r="E32" s="555"/>
      <c r="F32" s="555" t="s">
        <v>528</v>
      </c>
      <c r="G32" s="555" t="s">
        <v>520</v>
      </c>
      <c r="H32" s="555" t="s">
        <v>521</v>
      </c>
      <c r="I32" s="555" t="s">
        <v>518</v>
      </c>
    </row>
    <row r="33" spans="1:9" ht="20.25">
      <c r="A33" s="555">
        <v>28</v>
      </c>
      <c r="B33" s="570" t="s">
        <v>319</v>
      </c>
      <c r="C33" s="571" t="s">
        <v>468</v>
      </c>
      <c r="D33" s="568" t="s">
        <v>469</v>
      </c>
      <c r="E33" s="555">
        <v>1986</v>
      </c>
      <c r="F33" s="555" t="s">
        <v>528</v>
      </c>
      <c r="G33" s="555" t="s">
        <v>520</v>
      </c>
      <c r="H33" s="555" t="s">
        <v>521</v>
      </c>
      <c r="I33" s="555" t="s">
        <v>518</v>
      </c>
    </row>
    <row r="34" spans="1:9" ht="20.25">
      <c r="A34" s="555">
        <v>29</v>
      </c>
      <c r="B34" s="570" t="s">
        <v>320</v>
      </c>
      <c r="C34" s="571" t="s">
        <v>470</v>
      </c>
      <c r="D34" s="568" t="s">
        <v>471</v>
      </c>
      <c r="E34" s="555">
        <v>1983</v>
      </c>
      <c r="F34" s="555" t="s">
        <v>528</v>
      </c>
      <c r="G34" s="555" t="s">
        <v>520</v>
      </c>
      <c r="H34" s="555" t="s">
        <v>521</v>
      </c>
      <c r="I34" s="555" t="s">
        <v>518</v>
      </c>
    </row>
    <row r="35" spans="1:9" ht="20.25">
      <c r="A35" s="555">
        <v>30</v>
      </c>
      <c r="B35" s="570" t="s">
        <v>382</v>
      </c>
      <c r="C35" s="571" t="s">
        <v>420</v>
      </c>
      <c r="D35" s="568" t="s">
        <v>472</v>
      </c>
      <c r="E35" s="555">
        <v>1999</v>
      </c>
      <c r="F35" s="555" t="s">
        <v>515</v>
      </c>
      <c r="G35" s="555" t="s">
        <v>516</v>
      </c>
      <c r="H35" s="555" t="s">
        <v>517</v>
      </c>
      <c r="I35" s="555" t="s">
        <v>518</v>
      </c>
    </row>
    <row r="36" spans="1:9" ht="20.25">
      <c r="A36" s="555">
        <v>31</v>
      </c>
      <c r="B36" s="558" t="s">
        <v>402</v>
      </c>
      <c r="C36" s="559" t="s">
        <v>422</v>
      </c>
      <c r="D36" s="568" t="s">
        <v>423</v>
      </c>
      <c r="E36" s="555">
        <v>1991</v>
      </c>
      <c r="F36" s="555" t="s">
        <v>523</v>
      </c>
      <c r="G36" s="555" t="s">
        <v>520</v>
      </c>
      <c r="H36" s="555" t="s">
        <v>521</v>
      </c>
      <c r="I36" s="555" t="s">
        <v>518</v>
      </c>
    </row>
    <row r="37" spans="1:9" ht="20.25">
      <c r="A37" s="555">
        <v>32</v>
      </c>
      <c r="B37" s="570" t="s">
        <v>406</v>
      </c>
      <c r="C37" s="571" t="s">
        <v>473</v>
      </c>
      <c r="D37" s="568" t="s">
        <v>474</v>
      </c>
      <c r="E37" s="555">
        <v>1961</v>
      </c>
      <c r="F37" s="555" t="s">
        <v>523</v>
      </c>
      <c r="G37" s="555" t="s">
        <v>520</v>
      </c>
      <c r="H37" s="555" t="s">
        <v>521</v>
      </c>
      <c r="I37" s="555" t="s">
        <v>518</v>
      </c>
    </row>
    <row r="38" spans="1:9" ht="20.25">
      <c r="A38" s="555">
        <v>33</v>
      </c>
      <c r="B38" s="570" t="s">
        <v>529</v>
      </c>
      <c r="C38" s="571" t="s">
        <v>475</v>
      </c>
      <c r="D38" s="572" t="s">
        <v>476</v>
      </c>
      <c r="E38" s="555">
        <v>1996</v>
      </c>
      <c r="F38" s="555" t="s">
        <v>519</v>
      </c>
      <c r="G38" s="555" t="s">
        <v>516</v>
      </c>
      <c r="H38" s="555" t="s">
        <v>517</v>
      </c>
      <c r="I38" s="555" t="s">
        <v>525</v>
      </c>
    </row>
    <row r="39" spans="1:9" ht="20.25">
      <c r="A39" s="555">
        <v>34</v>
      </c>
      <c r="B39" s="570" t="s">
        <v>530</v>
      </c>
      <c r="C39" s="571" t="s">
        <v>477</v>
      </c>
      <c r="D39" s="572" t="s">
        <v>478</v>
      </c>
      <c r="E39" s="555">
        <v>1982</v>
      </c>
      <c r="F39" s="555" t="s">
        <v>519</v>
      </c>
      <c r="G39" s="555" t="s">
        <v>516</v>
      </c>
      <c r="H39" s="555" t="s">
        <v>517</v>
      </c>
      <c r="I39" s="555" t="s">
        <v>525</v>
      </c>
    </row>
    <row r="40" spans="1:9" ht="20.25">
      <c r="A40" s="555">
        <v>35</v>
      </c>
      <c r="B40" s="570" t="s">
        <v>531</v>
      </c>
      <c r="C40" s="571" t="s">
        <v>479</v>
      </c>
      <c r="D40" s="572" t="s">
        <v>480</v>
      </c>
      <c r="E40" s="555">
        <v>1976</v>
      </c>
      <c r="F40" s="555" t="s">
        <v>519</v>
      </c>
      <c r="G40" s="555" t="s">
        <v>516</v>
      </c>
      <c r="H40" s="555" t="s">
        <v>517</v>
      </c>
      <c r="I40" s="555" t="s">
        <v>525</v>
      </c>
    </row>
    <row r="41" spans="1:9" ht="20.25">
      <c r="A41" s="555">
        <v>36</v>
      </c>
      <c r="B41" s="570" t="s">
        <v>378</v>
      </c>
      <c r="C41" s="571" t="s">
        <v>482</v>
      </c>
      <c r="D41" s="572" t="s">
        <v>483</v>
      </c>
      <c r="E41" s="555">
        <v>1987</v>
      </c>
      <c r="F41" s="555" t="s">
        <v>523</v>
      </c>
      <c r="G41" s="555" t="s">
        <v>520</v>
      </c>
      <c r="H41" s="555" t="s">
        <v>521</v>
      </c>
      <c r="I41" s="555" t="s">
        <v>532</v>
      </c>
    </row>
    <row r="42" spans="1:9" ht="20.25">
      <c r="A42" s="555">
        <v>37</v>
      </c>
      <c r="B42" s="570" t="s">
        <v>379</v>
      </c>
      <c r="C42" s="571" t="s">
        <v>484</v>
      </c>
      <c r="D42" s="572" t="s">
        <v>485</v>
      </c>
      <c r="E42" s="555">
        <v>1987</v>
      </c>
      <c r="F42" s="555" t="s">
        <v>523</v>
      </c>
      <c r="G42" s="555" t="s">
        <v>520</v>
      </c>
      <c r="H42" s="555" t="s">
        <v>521</v>
      </c>
      <c r="I42" s="555" t="s">
        <v>532</v>
      </c>
    </row>
    <row r="43" spans="1:9" ht="20.25">
      <c r="A43" s="555">
        <v>38</v>
      </c>
      <c r="B43" s="570" t="s">
        <v>380</v>
      </c>
      <c r="C43" s="571" t="s">
        <v>486</v>
      </c>
      <c r="D43" s="572" t="s">
        <v>487</v>
      </c>
      <c r="E43" s="555">
        <v>1994</v>
      </c>
      <c r="F43" s="555" t="s">
        <v>523</v>
      </c>
      <c r="G43" s="555" t="s">
        <v>520</v>
      </c>
      <c r="H43" s="555" t="s">
        <v>521</v>
      </c>
      <c r="I43" s="555" t="s">
        <v>532</v>
      </c>
    </row>
    <row r="44" spans="1:9" ht="20.25">
      <c r="A44" s="555">
        <v>39</v>
      </c>
      <c r="B44" s="570" t="s">
        <v>381</v>
      </c>
      <c r="C44" s="571" t="s">
        <v>488</v>
      </c>
      <c r="D44" s="572" t="s">
        <v>489</v>
      </c>
      <c r="E44" s="555">
        <v>1998</v>
      </c>
      <c r="F44" s="555" t="s">
        <v>523</v>
      </c>
      <c r="G44" s="555" t="s">
        <v>520</v>
      </c>
      <c r="H44" s="555" t="s">
        <v>521</v>
      </c>
      <c r="I44" s="555" t="s">
        <v>532</v>
      </c>
    </row>
    <row r="45" spans="1:9" ht="20.25">
      <c r="A45" s="555">
        <v>40</v>
      </c>
      <c r="B45" s="570" t="s">
        <v>533</v>
      </c>
      <c r="C45" s="571" t="s">
        <v>490</v>
      </c>
      <c r="D45" s="572" t="s">
        <v>491</v>
      </c>
      <c r="E45" s="555">
        <v>1969</v>
      </c>
      <c r="F45" s="555" t="s">
        <v>534</v>
      </c>
      <c r="G45" s="555" t="s">
        <v>520</v>
      </c>
      <c r="H45" s="555" t="s">
        <v>521</v>
      </c>
      <c r="I45" s="555" t="s">
        <v>532</v>
      </c>
    </row>
    <row r="46" spans="1:9" ht="20.25">
      <c r="A46" s="555">
        <v>41</v>
      </c>
      <c r="B46" s="570" t="s">
        <v>417</v>
      </c>
      <c r="C46" s="571" t="s">
        <v>492</v>
      </c>
      <c r="D46" s="572" t="s">
        <v>493</v>
      </c>
      <c r="E46" s="555">
        <v>2001</v>
      </c>
      <c r="F46" s="555" t="s">
        <v>534</v>
      </c>
      <c r="G46" s="555" t="s">
        <v>520</v>
      </c>
      <c r="H46" s="555" t="s">
        <v>521</v>
      </c>
      <c r="I46" s="555" t="s">
        <v>532</v>
      </c>
    </row>
    <row r="47" spans="1:9" ht="20.25">
      <c r="A47" s="555">
        <v>42</v>
      </c>
      <c r="B47" s="570" t="s">
        <v>535</v>
      </c>
      <c r="C47" s="571" t="s">
        <v>494</v>
      </c>
      <c r="D47" s="572" t="s">
        <v>495</v>
      </c>
      <c r="E47" s="555">
        <v>1987</v>
      </c>
      <c r="F47" s="555" t="s">
        <v>522</v>
      </c>
      <c r="G47" s="555" t="s">
        <v>516</v>
      </c>
      <c r="H47" s="555" t="s">
        <v>517</v>
      </c>
      <c r="I47" s="555" t="s">
        <v>532</v>
      </c>
    </row>
    <row r="48" spans="1:9" ht="20.25">
      <c r="A48" s="555">
        <v>43</v>
      </c>
      <c r="B48" s="623" t="s">
        <v>579</v>
      </c>
      <c r="C48" s="571"/>
      <c r="D48" s="572"/>
      <c r="E48" s="555">
        <v>1996</v>
      </c>
      <c r="F48" s="555" t="s">
        <v>522</v>
      </c>
      <c r="G48" s="555" t="s">
        <v>516</v>
      </c>
      <c r="H48" s="555" t="s">
        <v>517</v>
      </c>
      <c r="I48" s="555" t="s">
        <v>532</v>
      </c>
    </row>
    <row r="49" spans="1:9" ht="20.25">
      <c r="A49" s="555">
        <v>44</v>
      </c>
      <c r="B49" s="570" t="s">
        <v>373</v>
      </c>
      <c r="C49" s="571" t="s">
        <v>497</v>
      </c>
      <c r="D49" s="572" t="s">
        <v>498</v>
      </c>
      <c r="E49" s="555">
        <v>1988</v>
      </c>
      <c r="F49" s="555" t="s">
        <v>522</v>
      </c>
      <c r="G49" s="555" t="s">
        <v>516</v>
      </c>
      <c r="H49" s="555" t="s">
        <v>517</v>
      </c>
      <c r="I49" s="555" t="s">
        <v>532</v>
      </c>
    </row>
    <row r="50" spans="1:9" ht="20.25">
      <c r="A50" s="555">
        <v>45</v>
      </c>
      <c r="B50" s="623" t="s">
        <v>578</v>
      </c>
      <c r="C50" s="571"/>
      <c r="D50" s="572"/>
      <c r="E50" s="555">
        <v>1994</v>
      </c>
      <c r="F50" s="555" t="s">
        <v>522</v>
      </c>
      <c r="G50" s="555" t="s">
        <v>516</v>
      </c>
      <c r="H50" s="555" t="s">
        <v>517</v>
      </c>
      <c r="I50" s="555" t="s">
        <v>532</v>
      </c>
    </row>
    <row r="51" spans="1:9" ht="20.25">
      <c r="A51" s="555">
        <v>46</v>
      </c>
      <c r="B51" s="560" t="s">
        <v>401</v>
      </c>
      <c r="C51" s="561" t="s">
        <v>500</v>
      </c>
      <c r="D51" s="572" t="s">
        <v>501</v>
      </c>
      <c r="E51" s="555">
        <v>1979</v>
      </c>
      <c r="F51" s="555" t="s">
        <v>528</v>
      </c>
      <c r="G51" s="555" t="s">
        <v>520</v>
      </c>
      <c r="H51" s="555" t="s">
        <v>521</v>
      </c>
      <c r="I51" s="555" t="s">
        <v>532</v>
      </c>
    </row>
    <row r="52" spans="1:9" ht="20.25">
      <c r="A52" s="555">
        <v>47</v>
      </c>
      <c r="B52" s="560" t="s">
        <v>400</v>
      </c>
      <c r="C52" s="561" t="s">
        <v>502</v>
      </c>
      <c r="D52" s="572" t="s">
        <v>503</v>
      </c>
      <c r="E52" s="555">
        <v>1974</v>
      </c>
      <c r="F52" s="555" t="s">
        <v>528</v>
      </c>
      <c r="G52" s="555" t="s">
        <v>520</v>
      </c>
      <c r="H52" s="555" t="s">
        <v>521</v>
      </c>
      <c r="I52" s="555" t="s">
        <v>532</v>
      </c>
    </row>
    <row r="53" spans="1:9" ht="20.25">
      <c r="A53" s="573">
        <v>48</v>
      </c>
      <c r="B53" s="574" t="s">
        <v>481</v>
      </c>
      <c r="C53" s="575" t="s">
        <v>504</v>
      </c>
      <c r="D53" s="572" t="s">
        <v>505</v>
      </c>
      <c r="E53" s="573">
        <v>2000</v>
      </c>
      <c r="F53" s="573" t="s">
        <v>528</v>
      </c>
      <c r="G53" s="573" t="s">
        <v>520</v>
      </c>
      <c r="H53" s="573" t="s">
        <v>521</v>
      </c>
      <c r="I53" s="573" t="s">
        <v>532</v>
      </c>
    </row>
  </sheetData>
  <mergeCells count="4">
    <mergeCell ref="F1:I1"/>
    <mergeCell ref="A2:B2"/>
    <mergeCell ref="F2:I2"/>
    <mergeCell ref="A3:I3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CY46"/>
  <sheetViews>
    <sheetView zoomScale="90" zoomScaleNormal="90" workbookViewId="0">
      <selection activeCell="E11" sqref="E11"/>
    </sheetView>
  </sheetViews>
  <sheetFormatPr defaultColWidth="9" defaultRowHeight="15.75"/>
  <cols>
    <col min="1" max="1" width="4" style="41" customWidth="1"/>
    <col min="2" max="2" width="31" style="41" customWidth="1"/>
    <col min="3" max="3" width="21.375" style="286" customWidth="1"/>
    <col min="4" max="4" width="22.25" style="286" customWidth="1"/>
    <col min="5" max="5" width="21" style="286" customWidth="1"/>
    <col min="6" max="6" width="30.875" style="287" customWidth="1"/>
    <col min="7" max="7" width="11.25" style="42" bestFit="1" customWidth="1"/>
    <col min="8" max="8" width="24" style="42" customWidth="1"/>
    <col min="9" max="16384" width="9" style="42"/>
  </cols>
  <sheetData>
    <row r="1" spans="1:103" ht="15" customHeight="1">
      <c r="A1" s="165"/>
      <c r="B1" s="165"/>
      <c r="C1" s="165"/>
      <c r="D1" s="165"/>
      <c r="E1" s="165"/>
      <c r="F1" s="165"/>
    </row>
    <row r="2" spans="1:103" s="156" customFormat="1" ht="16.5">
      <c r="A2" s="3751" t="s">
        <v>164</v>
      </c>
      <c r="B2" s="3751"/>
      <c r="C2" s="3751"/>
      <c r="D2" s="39"/>
      <c r="E2" s="39"/>
      <c r="F2" s="39"/>
    </row>
    <row r="3" spans="1:103" s="156" customFormat="1" ht="16.5">
      <c r="A3" s="4130" t="s">
        <v>236</v>
      </c>
      <c r="B3" s="4130"/>
      <c r="C3" s="4130"/>
      <c r="D3" s="245"/>
      <c r="E3" s="245"/>
      <c r="F3" s="41"/>
    </row>
    <row r="4" spans="1:103" s="156" customFormat="1" ht="4.5" customHeight="1">
      <c r="A4" s="280"/>
      <c r="B4" s="280"/>
      <c r="C4" s="281"/>
      <c r="D4" s="281"/>
      <c r="E4" s="281"/>
      <c r="F4" s="282"/>
    </row>
    <row r="5" spans="1:103" s="156" customFormat="1" ht="26.25" customHeight="1">
      <c r="A5" s="4328" t="s">
        <v>575</v>
      </c>
      <c r="B5" s="4328"/>
      <c r="C5" s="4328"/>
      <c r="D5" s="4328"/>
      <c r="E5" s="4328"/>
      <c r="F5" s="4328"/>
    </row>
    <row r="6" spans="1:103" s="117" customFormat="1" ht="18" customHeight="1">
      <c r="A6" s="3758" t="s">
        <v>576</v>
      </c>
      <c r="B6" s="3758"/>
      <c r="C6" s="3758"/>
      <c r="D6" s="3758"/>
      <c r="E6" s="3758"/>
      <c r="F6" s="3758"/>
    </row>
    <row r="7" spans="1:103" s="117" customFormat="1" ht="10.5" customHeight="1">
      <c r="A7" s="165"/>
      <c r="B7" s="165"/>
      <c r="C7" s="165"/>
      <c r="D7" s="165"/>
      <c r="E7" s="165"/>
      <c r="F7" s="165"/>
    </row>
    <row r="8" spans="1:103" ht="15" customHeight="1">
      <c r="A8" s="4323" t="s">
        <v>1</v>
      </c>
      <c r="B8" s="3776" t="s">
        <v>346</v>
      </c>
      <c r="C8" s="4325" t="s">
        <v>342</v>
      </c>
      <c r="D8" s="4325" t="s">
        <v>343</v>
      </c>
      <c r="E8" s="4325" t="s">
        <v>344</v>
      </c>
      <c r="F8" s="4325" t="s">
        <v>345</v>
      </c>
    </row>
    <row r="9" spans="1:103" ht="17.25" customHeight="1">
      <c r="A9" s="4324"/>
      <c r="B9" s="3777"/>
      <c r="C9" s="4326"/>
      <c r="D9" s="4327"/>
      <c r="E9" s="4327"/>
      <c r="F9" s="4327"/>
    </row>
    <row r="10" spans="1:103" s="40" customFormat="1" ht="24" customHeight="1">
      <c r="A10" s="377">
        <v>1</v>
      </c>
      <c r="B10" s="466" t="s">
        <v>570</v>
      </c>
      <c r="C10" s="467">
        <v>20</v>
      </c>
      <c r="D10" s="378">
        <v>25000</v>
      </c>
      <c r="E10" s="379">
        <f>C10*D10</f>
        <v>500000</v>
      </c>
      <c r="F10" s="468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</row>
    <row r="11" spans="1:103" s="40" customFormat="1" ht="24.75" customHeight="1">
      <c r="A11" s="4332" t="s">
        <v>184</v>
      </c>
      <c r="B11" s="4333"/>
      <c r="C11" s="297">
        <f>SUM(C10:C10)</f>
        <v>20</v>
      </c>
      <c r="D11" s="298">
        <v>25000</v>
      </c>
      <c r="E11" s="299">
        <f>SUM(E10:E10)</f>
        <v>500000</v>
      </c>
      <c r="F11" s="297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2"/>
      <c r="CL11" s="42"/>
      <c r="CM11" s="42"/>
      <c r="CN11" s="42"/>
      <c r="CO11" s="42"/>
      <c r="CP11" s="42"/>
      <c r="CQ11" s="42"/>
      <c r="CR11" s="42"/>
      <c r="CS11" s="42"/>
      <c r="CT11" s="42"/>
      <c r="CU11" s="42"/>
      <c r="CV11" s="42"/>
      <c r="CW11" s="42"/>
      <c r="CX11" s="42"/>
      <c r="CY11" s="42"/>
    </row>
    <row r="12" spans="1:103" s="40" customFormat="1" ht="24" customHeight="1">
      <c r="B12" s="4334" t="s">
        <v>572</v>
      </c>
      <c r="C12" s="4334"/>
      <c r="D12" s="4334"/>
      <c r="E12" s="4334"/>
      <c r="F12" s="4334"/>
      <c r="K12" s="300"/>
    </row>
    <row r="13" spans="1:103" s="283" customFormat="1" ht="18" customHeight="1">
      <c r="B13" s="285"/>
      <c r="C13" s="285"/>
      <c r="D13" s="285"/>
      <c r="E13" s="4335" t="s">
        <v>577</v>
      </c>
      <c r="F13" s="4335"/>
      <c r="G13" s="131"/>
      <c r="H13" s="131"/>
      <c r="I13" s="131"/>
      <c r="K13" s="284"/>
    </row>
    <row r="14" spans="1:103" s="117" customFormat="1" ht="19.5" customHeight="1">
      <c r="A14" s="4331" t="s">
        <v>573</v>
      </c>
      <c r="B14" s="4331"/>
      <c r="C14" s="4331"/>
      <c r="D14" s="4331"/>
      <c r="E14" s="4331"/>
      <c r="F14" s="4331"/>
    </row>
    <row r="15" spans="1:103" ht="7.5" customHeight="1"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</row>
    <row r="16" spans="1:103" s="29" customFormat="1" ht="15.75" customHeight="1">
      <c r="A16" s="4336"/>
      <c r="B16" s="4336"/>
      <c r="F16" s="288"/>
    </row>
    <row r="17" spans="1:103" s="29" customFormat="1" ht="15.75" customHeight="1">
      <c r="A17" s="283"/>
      <c r="B17" s="283"/>
      <c r="C17" s="283"/>
      <c r="D17" s="283"/>
      <c r="E17" s="283"/>
      <c r="F17" s="283"/>
    </row>
    <row r="18" spans="1:103" s="29" customFormat="1" ht="15">
      <c r="A18" s="289"/>
      <c r="B18" s="289"/>
      <c r="C18" s="290"/>
      <c r="D18" s="290"/>
      <c r="E18" s="290"/>
      <c r="F18" s="291"/>
    </row>
    <row r="19" spans="1:103" s="29" customFormat="1" ht="15">
      <c r="A19" s="289"/>
      <c r="B19" s="289"/>
      <c r="C19" s="290"/>
      <c r="D19" s="290"/>
      <c r="E19" s="290"/>
      <c r="F19" s="291"/>
    </row>
    <row r="20" spans="1:103" s="29" customFormat="1" ht="15">
      <c r="A20" s="4329"/>
      <c r="B20" s="4329"/>
      <c r="C20" s="283"/>
      <c r="D20" s="283"/>
      <c r="E20" s="283"/>
      <c r="F20" s="283"/>
    </row>
    <row r="21" spans="1:103" s="29" customFormat="1" ht="15">
      <c r="A21" s="4330"/>
      <c r="B21" s="4330"/>
      <c r="C21" s="292"/>
      <c r="D21" s="292"/>
      <c r="E21" s="10"/>
      <c r="F21" s="293"/>
    </row>
    <row r="22" spans="1:103" s="29" customFormat="1" ht="15"/>
    <row r="23" spans="1:103">
      <c r="A23" s="40"/>
      <c r="B23" s="40"/>
      <c r="F23" s="294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</row>
    <row r="24" spans="1:103" s="40" customFormat="1">
      <c r="A24" s="295"/>
      <c r="B24" s="295"/>
      <c r="C24" s="295"/>
      <c r="D24" s="295"/>
      <c r="E24" s="295"/>
      <c r="F24" s="296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</row>
    <row r="25" spans="1:103">
      <c r="F25" s="287" t="s">
        <v>397</v>
      </c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</row>
    <row r="26" spans="1:103"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</row>
    <row r="27" spans="1:103"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</row>
    <row r="28" spans="1:103"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</row>
    <row r="29" spans="1:103"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</row>
    <row r="30" spans="1:103"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</row>
    <row r="31" spans="1:103"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</row>
    <row r="32" spans="1:103"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</row>
    <row r="33" spans="7:103"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</row>
    <row r="34" spans="7:103"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</row>
    <row r="35" spans="7:103"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  <c r="CW35" s="29"/>
      <c r="CX35" s="29"/>
      <c r="CY35" s="29"/>
    </row>
    <row r="36" spans="7:103"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  <c r="CX36" s="29"/>
      <c r="CY36" s="29"/>
    </row>
    <row r="37" spans="7:103"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  <c r="CW37" s="29"/>
      <c r="CX37" s="29"/>
      <c r="CY37" s="29"/>
    </row>
    <row r="38" spans="7:103"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  <c r="CL38" s="29"/>
      <c r="CM38" s="29"/>
      <c r="CN38" s="29"/>
      <c r="CO38" s="29"/>
      <c r="CP38" s="29"/>
      <c r="CQ38" s="29"/>
      <c r="CR38" s="29"/>
      <c r="CS38" s="29"/>
      <c r="CT38" s="29"/>
      <c r="CU38" s="29"/>
      <c r="CV38" s="29"/>
      <c r="CW38" s="29"/>
      <c r="CX38" s="29"/>
      <c r="CY38" s="29"/>
    </row>
    <row r="39" spans="7:103"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  <c r="CL39" s="29"/>
      <c r="CM39" s="29"/>
      <c r="CN39" s="29"/>
      <c r="CO39" s="29"/>
      <c r="CP39" s="29"/>
      <c r="CQ39" s="29"/>
      <c r="CR39" s="29"/>
      <c r="CS39" s="29"/>
      <c r="CT39" s="29"/>
      <c r="CU39" s="29"/>
      <c r="CV39" s="29"/>
      <c r="CW39" s="29"/>
      <c r="CX39" s="29"/>
      <c r="CY39" s="29"/>
    </row>
    <row r="40" spans="7:103"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9"/>
      <c r="CN40" s="29"/>
      <c r="CO40" s="29"/>
      <c r="CP40" s="29"/>
      <c r="CQ40" s="29"/>
      <c r="CR40" s="29"/>
      <c r="CS40" s="29"/>
      <c r="CT40" s="29"/>
      <c r="CU40" s="29"/>
      <c r="CV40" s="29"/>
      <c r="CW40" s="29"/>
      <c r="CX40" s="29"/>
      <c r="CY40" s="29"/>
    </row>
    <row r="41" spans="7:103"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  <c r="CL41" s="29"/>
      <c r="CM41" s="29"/>
      <c r="CN41" s="29"/>
      <c r="CO41" s="29"/>
      <c r="CP41" s="29"/>
      <c r="CQ41" s="29"/>
      <c r="CR41" s="29"/>
      <c r="CS41" s="29"/>
      <c r="CT41" s="29"/>
      <c r="CU41" s="29"/>
      <c r="CV41" s="29"/>
      <c r="CW41" s="29"/>
      <c r="CX41" s="29"/>
      <c r="CY41" s="29"/>
    </row>
    <row r="42" spans="7:103"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  <c r="CL42" s="29"/>
      <c r="CM42" s="29"/>
      <c r="CN42" s="29"/>
      <c r="CO42" s="29"/>
      <c r="CP42" s="29"/>
      <c r="CQ42" s="29"/>
      <c r="CR42" s="29"/>
      <c r="CS42" s="29"/>
      <c r="CT42" s="29"/>
      <c r="CU42" s="29"/>
      <c r="CV42" s="29"/>
      <c r="CW42" s="29"/>
      <c r="CX42" s="29"/>
      <c r="CY42" s="29"/>
    </row>
    <row r="43" spans="7:103"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  <c r="CL43" s="29"/>
      <c r="CM43" s="29"/>
      <c r="CN43" s="29"/>
      <c r="CO43" s="29"/>
      <c r="CP43" s="29"/>
      <c r="CQ43" s="29"/>
      <c r="CR43" s="29"/>
      <c r="CS43" s="29"/>
      <c r="CT43" s="29"/>
      <c r="CU43" s="29"/>
      <c r="CV43" s="29"/>
      <c r="CW43" s="29"/>
      <c r="CX43" s="29"/>
      <c r="CY43" s="29"/>
    </row>
    <row r="44" spans="7:103"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  <c r="CL44" s="29"/>
      <c r="CM44" s="29"/>
      <c r="CN44" s="29"/>
      <c r="CO44" s="29"/>
      <c r="CP44" s="29"/>
      <c r="CQ44" s="29"/>
      <c r="CR44" s="29"/>
      <c r="CS44" s="29"/>
      <c r="CT44" s="29"/>
      <c r="CU44" s="29"/>
      <c r="CV44" s="29"/>
      <c r="CW44" s="29"/>
      <c r="CX44" s="29"/>
      <c r="CY44" s="29"/>
    </row>
    <row r="45" spans="7:103"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  <c r="CL45" s="29"/>
      <c r="CM45" s="29"/>
      <c r="CN45" s="29"/>
      <c r="CO45" s="29"/>
      <c r="CP45" s="29"/>
      <c r="CQ45" s="29"/>
      <c r="CR45" s="29"/>
      <c r="CS45" s="29"/>
      <c r="CT45" s="29"/>
      <c r="CU45" s="29"/>
      <c r="CV45" s="29"/>
      <c r="CW45" s="29"/>
      <c r="CX45" s="29"/>
      <c r="CY45" s="29"/>
    </row>
    <row r="46" spans="7:103"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L46" s="29"/>
      <c r="CM46" s="29"/>
      <c r="CN46" s="29"/>
      <c r="CO46" s="29"/>
      <c r="CP46" s="29"/>
      <c r="CQ46" s="29"/>
      <c r="CR46" s="29"/>
      <c r="CS46" s="29"/>
      <c r="CT46" s="29"/>
      <c r="CU46" s="29"/>
      <c r="CV46" s="29"/>
      <c r="CW46" s="29"/>
      <c r="CX46" s="29"/>
      <c r="CY46" s="29"/>
    </row>
  </sheetData>
  <mergeCells count="17">
    <mergeCell ref="A20:B20"/>
    <mergeCell ref="A21:B21"/>
    <mergeCell ref="A14:F14"/>
    <mergeCell ref="A11:B11"/>
    <mergeCell ref="B12:F12"/>
    <mergeCell ref="E13:F13"/>
    <mergeCell ref="A16:B16"/>
    <mergeCell ref="A8:A9"/>
    <mergeCell ref="B8:B9"/>
    <mergeCell ref="C8:C9"/>
    <mergeCell ref="D8:D9"/>
    <mergeCell ref="A2:C2"/>
    <mergeCell ref="A3:C3"/>
    <mergeCell ref="A5:F5"/>
    <mergeCell ref="A6:F6"/>
    <mergeCell ref="E8:E9"/>
    <mergeCell ref="F8:F9"/>
  </mergeCells>
  <phoneticPr fontId="57" type="noConversion"/>
  <pageMargins left="0.31" right="0.2" top="0.44" bottom="0.49" header="0.3" footer="0.3"/>
  <pageSetup paperSize="9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29"/>
  <sheetViews>
    <sheetView zoomScale="90" zoomScaleNormal="90" workbookViewId="0">
      <selection activeCell="H11" sqref="H11"/>
    </sheetView>
  </sheetViews>
  <sheetFormatPr defaultColWidth="9" defaultRowHeight="15"/>
  <cols>
    <col min="1" max="1" width="5.375" style="289" customWidth="1"/>
    <col min="2" max="2" width="19.125" style="289" customWidth="1"/>
    <col min="3" max="3" width="17.125" style="29" customWidth="1"/>
    <col min="4" max="4" width="13.375" style="29" customWidth="1"/>
    <col min="5" max="5" width="9.375" style="29" customWidth="1"/>
    <col min="6" max="6" width="15" style="29" customWidth="1"/>
    <col min="7" max="7" width="16.375" style="29" customWidth="1"/>
    <col min="8" max="8" width="15.875" style="29" customWidth="1"/>
    <col min="9" max="9" width="18" style="29" customWidth="1"/>
    <col min="10" max="16384" width="9" style="599"/>
  </cols>
  <sheetData>
    <row r="1" spans="1:13" ht="15.75">
      <c r="A1" s="3751" t="s">
        <v>165</v>
      </c>
      <c r="B1" s="3751"/>
      <c r="C1" s="3751"/>
      <c r="D1" s="3751"/>
      <c r="E1" s="3751"/>
      <c r="F1" s="3751"/>
      <c r="G1" s="3751"/>
      <c r="H1" s="3751"/>
      <c r="I1" s="3751"/>
      <c r="J1" s="40"/>
      <c r="K1" s="40"/>
      <c r="L1" s="40"/>
      <c r="M1" s="40"/>
    </row>
    <row r="2" spans="1:13" ht="15.75">
      <c r="A2" s="4302" t="s">
        <v>299</v>
      </c>
      <c r="B2" s="4302"/>
      <c r="C2" s="4302"/>
      <c r="D2" s="4302"/>
      <c r="E2" s="4302"/>
      <c r="F2" s="4302"/>
      <c r="G2" s="4302"/>
      <c r="H2" s="4302"/>
      <c r="I2" s="4302"/>
      <c r="J2" s="42"/>
      <c r="K2" s="42"/>
      <c r="L2" s="42"/>
      <c r="M2" s="42"/>
    </row>
    <row r="3" spans="1:13" ht="3" customHeight="1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</row>
    <row r="4" spans="1:13" ht="15.75">
      <c r="A4" s="4302" t="s">
        <v>540</v>
      </c>
      <c r="B4" s="4302"/>
      <c r="C4" s="4302"/>
      <c r="D4" s="4302"/>
      <c r="E4" s="40"/>
      <c r="F4" s="40"/>
      <c r="G4" s="40"/>
      <c r="H4" s="40"/>
      <c r="I4" s="42"/>
      <c r="J4" s="42"/>
      <c r="K4" s="42"/>
      <c r="L4" s="42"/>
      <c r="M4" s="42"/>
    </row>
    <row r="5" spans="1:13" ht="15.75">
      <c r="A5" s="4130" t="s">
        <v>541</v>
      </c>
      <c r="B5" s="4130"/>
      <c r="C5" s="4130"/>
      <c r="D5" s="4130"/>
      <c r="E5" s="42"/>
      <c r="F5" s="42"/>
      <c r="G5" s="42"/>
      <c r="H5" s="42"/>
      <c r="I5" s="42"/>
      <c r="J5" s="42"/>
      <c r="K5" s="42"/>
      <c r="L5" s="42"/>
      <c r="M5" s="42"/>
    </row>
    <row r="6" spans="1:13" ht="6" customHeight="1">
      <c r="I6" s="600"/>
    </row>
    <row r="7" spans="1:13" ht="18.75">
      <c r="A7" s="3672" t="s">
        <v>590</v>
      </c>
      <c r="B7" s="3672"/>
      <c r="C7" s="3672"/>
      <c r="D7" s="3672"/>
      <c r="E7" s="3672"/>
      <c r="F7" s="3672"/>
      <c r="G7" s="3672"/>
      <c r="H7" s="3672"/>
      <c r="I7" s="3672"/>
    </row>
    <row r="8" spans="1:13" ht="9" customHeight="1"/>
    <row r="9" spans="1:13" ht="24.75" customHeight="1">
      <c r="A9" s="4142" t="s">
        <v>1</v>
      </c>
      <c r="B9" s="4341" t="s">
        <v>509</v>
      </c>
      <c r="C9" s="4142" t="s">
        <v>542</v>
      </c>
      <c r="D9" s="4142" t="s">
        <v>543</v>
      </c>
      <c r="E9" s="4337" t="s">
        <v>544</v>
      </c>
      <c r="F9" s="4341" t="s">
        <v>591</v>
      </c>
      <c r="G9" s="4341" t="s">
        <v>545</v>
      </c>
      <c r="H9" s="4341" t="s">
        <v>546</v>
      </c>
      <c r="I9" s="4142" t="s">
        <v>345</v>
      </c>
    </row>
    <row r="10" spans="1:13" ht="24.75" customHeight="1">
      <c r="A10" s="4142"/>
      <c r="B10" s="4342"/>
      <c r="C10" s="4142"/>
      <c r="D10" s="4142"/>
      <c r="E10" s="4338"/>
      <c r="F10" s="4342"/>
      <c r="G10" s="4342"/>
      <c r="H10" s="4342"/>
      <c r="I10" s="4142"/>
    </row>
    <row r="11" spans="1:13" ht="17.100000000000001" customHeight="1">
      <c r="A11" s="601">
        <v>1</v>
      </c>
      <c r="B11" s="602" t="s">
        <v>547</v>
      </c>
      <c r="C11" s="602" t="s">
        <v>548</v>
      </c>
      <c r="D11" s="602" t="s">
        <v>549</v>
      </c>
      <c r="E11" s="603">
        <v>11</v>
      </c>
      <c r="F11" s="604">
        <v>150000</v>
      </c>
      <c r="G11" s="604">
        <f>F11</f>
        <v>150000</v>
      </c>
      <c r="H11" s="605"/>
      <c r="I11" s="606"/>
    </row>
    <row r="12" spans="1:13" ht="17.100000000000001" customHeight="1">
      <c r="A12" s="601">
        <v>2</v>
      </c>
      <c r="B12" s="607" t="s">
        <v>550</v>
      </c>
      <c r="C12" s="607" t="s">
        <v>551</v>
      </c>
      <c r="D12" s="607" t="s">
        <v>549</v>
      </c>
      <c r="E12" s="608">
        <v>22</v>
      </c>
      <c r="F12" s="609">
        <v>150000</v>
      </c>
      <c r="G12" s="609">
        <f t="shared" ref="G12:G19" si="0">F12</f>
        <v>150000</v>
      </c>
      <c r="H12" s="610"/>
      <c r="I12" s="611"/>
    </row>
    <row r="13" spans="1:13" ht="17.100000000000001" customHeight="1">
      <c r="A13" s="601">
        <v>3</v>
      </c>
      <c r="B13" s="607" t="s">
        <v>552</v>
      </c>
      <c r="C13" s="607" t="s">
        <v>553</v>
      </c>
      <c r="D13" s="607" t="s">
        <v>549</v>
      </c>
      <c r="E13" s="608">
        <v>1</v>
      </c>
      <c r="F13" s="609">
        <v>150000</v>
      </c>
      <c r="G13" s="609">
        <f t="shared" si="0"/>
        <v>150000</v>
      </c>
      <c r="H13" s="610"/>
      <c r="I13" s="611"/>
    </row>
    <row r="14" spans="1:13" ht="17.100000000000001" customHeight="1">
      <c r="A14" s="601">
        <v>4</v>
      </c>
      <c r="B14" s="607" t="s">
        <v>554</v>
      </c>
      <c r="C14" s="607" t="s">
        <v>555</v>
      </c>
      <c r="D14" s="607" t="s">
        <v>549</v>
      </c>
      <c r="E14" s="608"/>
      <c r="F14" s="609">
        <v>150000</v>
      </c>
      <c r="G14" s="609">
        <f t="shared" si="0"/>
        <v>150000</v>
      </c>
      <c r="H14" s="610"/>
      <c r="I14" s="611"/>
    </row>
    <row r="15" spans="1:13" ht="17.100000000000001" customHeight="1">
      <c r="A15" s="601">
        <v>5</v>
      </c>
      <c r="B15" s="607" t="s">
        <v>556</v>
      </c>
      <c r="C15" s="607" t="s">
        <v>557</v>
      </c>
      <c r="D15" s="607" t="s">
        <v>549</v>
      </c>
      <c r="E15" s="608"/>
      <c r="F15" s="609">
        <v>150000</v>
      </c>
      <c r="G15" s="609">
        <f t="shared" si="0"/>
        <v>150000</v>
      </c>
      <c r="H15" s="610"/>
      <c r="I15" s="611"/>
    </row>
    <row r="16" spans="1:13" ht="17.100000000000001" customHeight="1">
      <c r="A16" s="601">
        <v>6</v>
      </c>
      <c r="B16" s="607" t="s">
        <v>558</v>
      </c>
      <c r="C16" s="607" t="s">
        <v>559</v>
      </c>
      <c r="D16" s="607" t="s">
        <v>549</v>
      </c>
      <c r="E16" s="608"/>
      <c r="F16" s="609">
        <v>150000</v>
      </c>
      <c r="G16" s="609">
        <f t="shared" si="0"/>
        <v>150000</v>
      </c>
      <c r="H16" s="610"/>
      <c r="I16" s="611"/>
    </row>
    <row r="17" spans="1:9" ht="17.100000000000001" customHeight="1">
      <c r="A17" s="601">
        <v>7</v>
      </c>
      <c r="B17" s="607" t="s">
        <v>560</v>
      </c>
      <c r="C17" s="607" t="s">
        <v>561</v>
      </c>
      <c r="D17" s="607" t="s">
        <v>549</v>
      </c>
      <c r="E17" s="608"/>
      <c r="F17" s="609">
        <v>150000</v>
      </c>
      <c r="G17" s="609">
        <f t="shared" si="0"/>
        <v>150000</v>
      </c>
      <c r="H17" s="610"/>
      <c r="I17" s="611"/>
    </row>
    <row r="18" spans="1:9" ht="17.100000000000001" customHeight="1">
      <c r="A18" s="601">
        <v>8</v>
      </c>
      <c r="B18" s="607" t="s">
        <v>562</v>
      </c>
      <c r="C18" s="258" t="s">
        <v>563</v>
      </c>
      <c r="D18" s="607" t="s">
        <v>549</v>
      </c>
      <c r="E18" s="612"/>
      <c r="F18" s="609">
        <v>150000</v>
      </c>
      <c r="G18" s="609">
        <f t="shared" si="0"/>
        <v>150000</v>
      </c>
      <c r="H18" s="610"/>
      <c r="I18" s="611"/>
    </row>
    <row r="19" spans="1:9" ht="17.100000000000001" customHeight="1">
      <c r="A19" s="601">
        <v>9</v>
      </c>
      <c r="B19" s="607" t="s">
        <v>564</v>
      </c>
      <c r="C19" s="258" t="s">
        <v>565</v>
      </c>
      <c r="D19" s="607" t="s">
        <v>549</v>
      </c>
      <c r="E19" s="612"/>
      <c r="F19" s="609">
        <v>150000</v>
      </c>
      <c r="G19" s="609">
        <f t="shared" si="0"/>
        <v>150000</v>
      </c>
      <c r="H19" s="610"/>
      <c r="I19" s="611"/>
    </row>
    <row r="20" spans="1:9" ht="17.100000000000001" customHeight="1">
      <c r="A20" s="4340" t="s">
        <v>21</v>
      </c>
      <c r="B20" s="4340"/>
      <c r="C20" s="4340"/>
      <c r="D20" s="613"/>
      <c r="E20" s="614">
        <f>SUM(E11:E19)</f>
        <v>34</v>
      </c>
      <c r="F20" s="615">
        <f>SUM(F11:F19)</f>
        <v>1350000</v>
      </c>
      <c r="G20" s="615">
        <f>SUM(G11:G19)</f>
        <v>1350000</v>
      </c>
      <c r="H20" s="615"/>
      <c r="I20" s="614"/>
    </row>
    <row r="21" spans="1:9" ht="18.75" customHeight="1">
      <c r="C21" s="4339" t="s">
        <v>566</v>
      </c>
      <c r="D21" s="4339"/>
      <c r="E21" s="4339"/>
      <c r="F21" s="4339"/>
      <c r="G21" s="4339"/>
      <c r="H21" s="4339"/>
    </row>
    <row r="22" spans="1:9" ht="16.5">
      <c r="A22" s="157"/>
      <c r="B22" s="157"/>
      <c r="C22" s="157"/>
      <c r="D22" s="157"/>
      <c r="E22" s="283"/>
      <c r="F22" s="283"/>
      <c r="G22" s="616" t="s">
        <v>592</v>
      </c>
      <c r="I22" s="616"/>
    </row>
    <row r="23" spans="1:9" ht="15" customHeight="1">
      <c r="A23" s="4336" t="s">
        <v>46</v>
      </c>
      <c r="B23" s="4336"/>
      <c r="C23" s="4336" t="s">
        <v>567</v>
      </c>
      <c r="D23" s="4336"/>
      <c r="E23" s="4336" t="s">
        <v>568</v>
      </c>
      <c r="F23" s="4336"/>
      <c r="G23" s="4336" t="s">
        <v>167</v>
      </c>
      <c r="H23" s="4336"/>
      <c r="I23" s="10" t="s">
        <v>42</v>
      </c>
    </row>
    <row r="29" spans="1:9">
      <c r="G29" s="4330" t="s">
        <v>336</v>
      </c>
      <c r="H29" s="4330"/>
      <c r="I29" s="598" t="s">
        <v>337</v>
      </c>
    </row>
  </sheetData>
  <mergeCells count="21">
    <mergeCell ref="A1:I1"/>
    <mergeCell ref="A2:I2"/>
    <mergeCell ref="A4:D4"/>
    <mergeCell ref="A5:D5"/>
    <mergeCell ref="A7:I7"/>
    <mergeCell ref="G29:H29"/>
    <mergeCell ref="G9:G10"/>
    <mergeCell ref="H9:H10"/>
    <mergeCell ref="E23:F23"/>
    <mergeCell ref="F9:F10"/>
    <mergeCell ref="I9:I10"/>
    <mergeCell ref="A23:B23"/>
    <mergeCell ref="C23:D23"/>
    <mergeCell ref="C9:C10"/>
    <mergeCell ref="E9:E10"/>
    <mergeCell ref="G23:H23"/>
    <mergeCell ref="C21:H21"/>
    <mergeCell ref="A20:C20"/>
    <mergeCell ref="D9:D10"/>
    <mergeCell ref="B9:B10"/>
    <mergeCell ref="A9:A10"/>
  </mergeCells>
  <phoneticPr fontId="57" type="noConversion"/>
  <pageMargins left="0.44" right="0.19685039370078741" top="0.43307086614173229" bottom="0.47244094488188981" header="0.31496062992125984" footer="0.31496062992125984"/>
  <pageSetup paperSize="9" fitToHeight="0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E169"/>
  <sheetViews>
    <sheetView topLeftCell="A9" zoomScaleNormal="100" workbookViewId="0">
      <selection activeCell="M15" sqref="M15"/>
    </sheetView>
  </sheetViews>
  <sheetFormatPr defaultColWidth="9.375" defaultRowHeight="15"/>
  <cols>
    <col min="1" max="1" width="4.25" style="482" customWidth="1"/>
    <col min="2" max="2" width="5.375" style="482" hidden="1" customWidth="1"/>
    <col min="3" max="3" width="17.125" style="482" customWidth="1"/>
    <col min="4" max="4" width="6.125" style="482" customWidth="1"/>
    <col min="5" max="5" width="6.375" style="482" customWidth="1"/>
    <col min="6" max="6" width="7.125" style="482" customWidth="1"/>
    <col min="7" max="7" width="6.25" style="482" customWidth="1"/>
    <col min="8" max="8" width="7.125" style="482" customWidth="1"/>
    <col min="9" max="9" width="8.375" style="482" customWidth="1"/>
    <col min="10" max="10" width="8.75" style="482" customWidth="1"/>
    <col min="11" max="11" width="8.625" style="482" customWidth="1"/>
    <col min="12" max="12" width="6.625" style="482" customWidth="1"/>
    <col min="13" max="13" width="8.125" style="482" customWidth="1"/>
    <col min="14" max="14" width="8.375" style="482" customWidth="1"/>
    <col min="15" max="15" width="10.125" style="482" bestFit="1" customWidth="1"/>
    <col min="16" max="16384" width="9.375" style="482"/>
  </cols>
  <sheetData>
    <row r="1" spans="1:31" ht="15.75">
      <c r="B1" s="483"/>
      <c r="C1" s="483"/>
      <c r="D1" s="483"/>
      <c r="E1" s="483"/>
      <c r="F1" s="483"/>
      <c r="G1" s="483"/>
      <c r="H1" s="483"/>
      <c r="I1" s="483"/>
      <c r="J1" s="483"/>
      <c r="K1" s="483"/>
      <c r="L1" s="483"/>
      <c r="M1" s="483"/>
      <c r="N1" s="483"/>
    </row>
    <row r="2" spans="1:31" ht="15.75">
      <c r="A2" s="4346" t="s">
        <v>164</v>
      </c>
      <c r="B2" s="4346"/>
      <c r="C2" s="4346"/>
      <c r="D2" s="4346"/>
      <c r="E2" s="4346"/>
      <c r="F2" s="484"/>
      <c r="G2" s="484"/>
      <c r="H2" s="4228" t="s">
        <v>165</v>
      </c>
      <c r="I2" s="4228"/>
      <c r="J2" s="4228"/>
      <c r="K2" s="4228"/>
      <c r="L2" s="4228"/>
      <c r="M2" s="4228"/>
      <c r="N2" s="4228"/>
    </row>
    <row r="3" spans="1:31" ht="15.75">
      <c r="A3" s="4347" t="s">
        <v>324</v>
      </c>
      <c r="B3" s="4347"/>
      <c r="C3" s="4347"/>
      <c r="D3" s="4347"/>
      <c r="E3" s="4347"/>
      <c r="F3" s="484"/>
      <c r="G3" s="484"/>
      <c r="H3" s="4229" t="s">
        <v>299</v>
      </c>
      <c r="I3" s="4229"/>
      <c r="J3" s="4229"/>
      <c r="K3" s="4229"/>
      <c r="L3" s="4229"/>
      <c r="M3" s="4229"/>
      <c r="N3" s="4229"/>
    </row>
    <row r="4" spans="1:31" ht="15.75" customHeight="1">
      <c r="B4" s="483"/>
      <c r="C4" s="483"/>
      <c r="D4" s="483"/>
      <c r="E4" s="483"/>
      <c r="F4" s="483"/>
      <c r="G4" s="483"/>
      <c r="H4" s="483"/>
      <c r="I4" s="483"/>
      <c r="J4" s="484"/>
      <c r="K4" s="484"/>
      <c r="L4" s="484"/>
      <c r="M4" s="484"/>
      <c r="N4" s="484"/>
    </row>
    <row r="5" spans="1:31" ht="20.25" customHeight="1">
      <c r="A5" s="4348" t="s">
        <v>593</v>
      </c>
      <c r="B5" s="4348"/>
      <c r="C5" s="4348"/>
      <c r="D5" s="4348"/>
      <c r="E5" s="4348"/>
      <c r="F5" s="4348"/>
      <c r="G5" s="4348"/>
      <c r="H5" s="4348"/>
      <c r="I5" s="4348"/>
      <c r="J5" s="4348"/>
      <c r="K5" s="4348"/>
      <c r="L5" s="4348"/>
      <c r="M5" s="4348"/>
      <c r="N5" s="4348"/>
    </row>
    <row r="6" spans="1:31" ht="24" customHeight="1">
      <c r="A6" s="485"/>
      <c r="B6" s="485"/>
      <c r="C6" s="485"/>
      <c r="D6" s="485"/>
      <c r="E6" s="485"/>
      <c r="F6" s="485"/>
      <c r="G6" s="485"/>
      <c r="H6" s="485"/>
      <c r="I6" s="484"/>
      <c r="J6" s="484"/>
      <c r="K6" s="484"/>
      <c r="L6" s="484"/>
      <c r="M6" s="484"/>
      <c r="N6" s="484"/>
    </row>
    <row r="7" spans="1:31" ht="60" customHeight="1">
      <c r="A7" s="486" t="s">
        <v>19</v>
      </c>
      <c r="B7" s="486" t="s">
        <v>239</v>
      </c>
      <c r="C7" s="486" t="s">
        <v>20</v>
      </c>
      <c r="D7" s="487" t="s">
        <v>325</v>
      </c>
      <c r="E7" s="488" t="s">
        <v>300</v>
      </c>
      <c r="F7" s="488" t="s">
        <v>301</v>
      </c>
      <c r="G7" s="488" t="s">
        <v>302</v>
      </c>
      <c r="H7" s="488" t="s">
        <v>303</v>
      </c>
      <c r="I7" s="488" t="s">
        <v>304</v>
      </c>
      <c r="J7" s="488" t="s">
        <v>305</v>
      </c>
      <c r="K7" s="488" t="s">
        <v>306</v>
      </c>
      <c r="L7" s="488" t="s">
        <v>307</v>
      </c>
      <c r="M7" s="488" t="s">
        <v>308</v>
      </c>
      <c r="N7" s="486" t="s">
        <v>309</v>
      </c>
    </row>
    <row r="8" spans="1:31" ht="21" customHeight="1">
      <c r="A8" s="4343" t="s">
        <v>393</v>
      </c>
      <c r="B8" s="4344"/>
      <c r="C8" s="4344"/>
      <c r="D8" s="4344"/>
      <c r="E8" s="4344"/>
      <c r="F8" s="4344"/>
      <c r="G8" s="4344"/>
      <c r="H8" s="4344"/>
      <c r="I8" s="4344"/>
      <c r="J8" s="4344"/>
      <c r="K8" s="4344"/>
      <c r="L8" s="4344"/>
      <c r="M8" s="4344"/>
      <c r="N8" s="4345"/>
    </row>
    <row r="9" spans="1:31" s="490" customFormat="1" ht="25.5" customHeight="1">
      <c r="A9" s="511">
        <v>1</v>
      </c>
      <c r="B9" s="512" t="s">
        <v>242</v>
      </c>
      <c r="C9" s="489" t="s">
        <v>100</v>
      </c>
      <c r="D9" s="513" t="s">
        <v>40</v>
      </c>
      <c r="E9" s="513" t="e">
        <f>VLOOKUP(C9,#REF!,33,0)</f>
        <v>#REF!</v>
      </c>
      <c r="F9" s="514"/>
      <c r="G9" s="514"/>
      <c r="H9" s="514" t="e">
        <f>SUM(E9:G9)</f>
        <v>#REF!</v>
      </c>
      <c r="I9" s="515" t="e">
        <f>IF(H9&gt;=26,"40",IF(H9&gt;=23,"35",IF(H9&gt;=20,"30","25")))</f>
        <v>#REF!</v>
      </c>
      <c r="J9" s="516" t="s">
        <v>92</v>
      </c>
      <c r="K9" s="517">
        <f>IF(J9="A",60,IF(J9="B",50,IF(J9="C",45,IF(J9="D",40))))</f>
        <v>50</v>
      </c>
      <c r="L9" s="518" t="e">
        <f>I9+K9</f>
        <v>#REF!</v>
      </c>
      <c r="M9" s="519" t="e">
        <f>IF(L9&lt;70,"D",IF(L9&lt;=80,"C",IF(L9&gt;=95,"A","B")))</f>
        <v>#REF!</v>
      </c>
      <c r="N9" s="517"/>
      <c r="O9" s="632" t="e">
        <f>IF(H9&lt;20,25,IF(H9&lt;=22,30,IF(H9&gt;=26,"40",35)))</f>
        <v>#REF!</v>
      </c>
      <c r="P9" s="633">
        <f>IF(J9="A",60,IF(J9="B",50,IF(J9="C",45,IF(J9="d",40))))</f>
        <v>50</v>
      </c>
      <c r="Q9" s="635" t="e">
        <f>+O9+P9</f>
        <v>#REF!</v>
      </c>
      <c r="R9" s="634" t="e">
        <f>IF(Q9&lt;70,"D",IF(Q9&gt;=95,"A",IF(Q9&lt;=80,"C","B")))</f>
        <v>#REF!</v>
      </c>
      <c r="S9" s="482" t="e">
        <f>EXACT(M9,R9)</f>
        <v>#REF!</v>
      </c>
      <c r="T9" s="482"/>
      <c r="U9" s="482"/>
      <c r="V9" s="482"/>
      <c r="W9" s="482"/>
      <c r="X9" s="482"/>
      <c r="Y9" s="482"/>
      <c r="Z9" s="482"/>
      <c r="AA9" s="482"/>
      <c r="AB9" s="482"/>
      <c r="AC9" s="482"/>
      <c r="AD9" s="482"/>
      <c r="AE9" s="482"/>
    </row>
    <row r="10" spans="1:31" s="490" customFormat="1" ht="25.5" customHeight="1">
      <c r="A10" s="520">
        <v>2</v>
      </c>
      <c r="B10" s="512" t="s">
        <v>241</v>
      </c>
      <c r="C10" s="489" t="s">
        <v>101</v>
      </c>
      <c r="D10" s="513" t="s">
        <v>40</v>
      </c>
      <c r="E10" s="513" t="e">
        <f>VLOOKUP(C10,#REF!,33,0)</f>
        <v>#REF!</v>
      </c>
      <c r="F10" s="514"/>
      <c r="G10" s="514"/>
      <c r="H10" s="514" t="e">
        <f>SUM(E10:G10)</f>
        <v>#REF!</v>
      </c>
      <c r="I10" s="515" t="e">
        <f t="shared" ref="I10:I56" si="0">IF(H10&gt;=26,"40",IF(H10&gt;=23,"35",IF(H10&gt;=20,"30","25")))</f>
        <v>#REF!</v>
      </c>
      <c r="J10" s="516" t="s">
        <v>52</v>
      </c>
      <c r="K10" s="517">
        <f t="shared" ref="K10:K56" si="1">IF(J10="A",60,IF(J10="B",50,IF(J10="C",45,IF(J10="D",40))))</f>
        <v>60</v>
      </c>
      <c r="L10" s="518" t="e">
        <f t="shared" ref="L10:L56" si="2">I10+K10</f>
        <v>#REF!</v>
      </c>
      <c r="M10" s="519" t="e">
        <f t="shared" ref="M10:M56" si="3">IF(L10&lt;70,"D",IF(L10&lt;=80,"C",IF(L10&gt;=95,"A","B")))</f>
        <v>#REF!</v>
      </c>
      <c r="N10" s="517"/>
      <c r="O10" s="632" t="e">
        <f t="shared" ref="O10:O56" si="4">IF(H10&lt;20,25,IF(H10&lt;=22,30,IF(H10&gt;=26,"40",35)))</f>
        <v>#REF!</v>
      </c>
      <c r="P10" s="633">
        <f t="shared" ref="P10:P56" si="5">IF(J10="A",60,IF(J10="B",50,IF(J10="C",45,IF(J10="d",40))))</f>
        <v>60</v>
      </c>
      <c r="Q10" s="635" t="e">
        <f t="shared" ref="Q10:Q56" si="6">+O10+P10</f>
        <v>#REF!</v>
      </c>
      <c r="R10" s="634" t="e">
        <f t="shared" ref="R10:R56" si="7">IF(Q10&lt;70,"D",IF(Q10&gt;=95,"A",IF(Q10&lt;=80,"C","B")))</f>
        <v>#REF!</v>
      </c>
      <c r="S10" s="482" t="e">
        <f t="shared" ref="S10:S56" si="8">EXACT(M10,R10)</f>
        <v>#REF!</v>
      </c>
      <c r="T10" s="482"/>
      <c r="U10" s="482"/>
      <c r="V10" s="482"/>
      <c r="W10" s="482"/>
      <c r="X10" s="482"/>
      <c r="Y10" s="482"/>
      <c r="Z10" s="482"/>
      <c r="AA10" s="482"/>
      <c r="AB10" s="482"/>
      <c r="AC10" s="482"/>
      <c r="AD10" s="482"/>
      <c r="AE10" s="482"/>
    </row>
    <row r="11" spans="1:31" s="490" customFormat="1" ht="25.5" customHeight="1">
      <c r="A11" s="511">
        <v>3</v>
      </c>
      <c r="B11" s="512" t="s">
        <v>245</v>
      </c>
      <c r="C11" s="480" t="s">
        <v>402</v>
      </c>
      <c r="D11" s="513" t="s">
        <v>40</v>
      </c>
      <c r="E11" s="513" t="e">
        <f>VLOOKUP(C11,#REF!,33,0)</f>
        <v>#REF!</v>
      </c>
      <c r="F11" s="514"/>
      <c r="G11" s="514"/>
      <c r="H11" s="514" t="e">
        <f t="shared" ref="H11:H43" si="9">SUM(E11:G11)</f>
        <v>#REF!</v>
      </c>
      <c r="I11" s="515" t="e">
        <f t="shared" si="0"/>
        <v>#REF!</v>
      </c>
      <c r="J11" s="516" t="s">
        <v>52</v>
      </c>
      <c r="K11" s="517">
        <f t="shared" si="1"/>
        <v>60</v>
      </c>
      <c r="L11" s="518" t="e">
        <f t="shared" si="2"/>
        <v>#REF!</v>
      </c>
      <c r="M11" s="519" t="e">
        <f t="shared" si="3"/>
        <v>#REF!</v>
      </c>
      <c r="N11" s="517"/>
      <c r="O11" s="632" t="e">
        <f t="shared" si="4"/>
        <v>#REF!</v>
      </c>
      <c r="P11" s="633">
        <f t="shared" si="5"/>
        <v>60</v>
      </c>
      <c r="Q11" s="635" t="e">
        <f t="shared" si="6"/>
        <v>#REF!</v>
      </c>
      <c r="R11" s="634" t="e">
        <f t="shared" si="7"/>
        <v>#REF!</v>
      </c>
      <c r="S11" s="482" t="e">
        <f t="shared" si="8"/>
        <v>#REF!</v>
      </c>
      <c r="T11" s="482"/>
      <c r="U11" s="482"/>
      <c r="V11" s="482"/>
      <c r="W11" s="482"/>
      <c r="X11" s="482"/>
      <c r="Y11" s="482"/>
      <c r="Z11" s="482"/>
      <c r="AA11" s="482"/>
      <c r="AB11" s="482"/>
      <c r="AC11" s="482"/>
      <c r="AD11" s="482"/>
      <c r="AE11" s="482"/>
    </row>
    <row r="12" spans="1:31" s="490" customFormat="1" ht="25.5" customHeight="1">
      <c r="A12" s="511">
        <v>4</v>
      </c>
      <c r="B12" s="512" t="s">
        <v>285</v>
      </c>
      <c r="C12" s="480" t="s">
        <v>278</v>
      </c>
      <c r="D12" s="513" t="s">
        <v>40</v>
      </c>
      <c r="E12" s="513" t="e">
        <f>VLOOKUP(C12,#REF!,33,0)</f>
        <v>#REF!</v>
      </c>
      <c r="F12" s="514"/>
      <c r="G12" s="514"/>
      <c r="H12" s="514" t="e">
        <f t="shared" si="9"/>
        <v>#REF!</v>
      </c>
      <c r="I12" s="515" t="e">
        <f t="shared" si="0"/>
        <v>#REF!</v>
      </c>
      <c r="J12" s="516" t="s">
        <v>52</v>
      </c>
      <c r="K12" s="517">
        <f t="shared" si="1"/>
        <v>60</v>
      </c>
      <c r="L12" s="518" t="e">
        <f t="shared" si="2"/>
        <v>#REF!</v>
      </c>
      <c r="M12" s="519" t="e">
        <f t="shared" si="3"/>
        <v>#REF!</v>
      </c>
      <c r="N12" s="517"/>
      <c r="O12" s="632" t="e">
        <f t="shared" si="4"/>
        <v>#REF!</v>
      </c>
      <c r="P12" s="633">
        <f t="shared" si="5"/>
        <v>60</v>
      </c>
      <c r="Q12" s="635" t="e">
        <f t="shared" si="6"/>
        <v>#REF!</v>
      </c>
      <c r="R12" s="634" t="e">
        <f t="shared" si="7"/>
        <v>#REF!</v>
      </c>
      <c r="S12" s="482" t="e">
        <f t="shared" si="8"/>
        <v>#REF!</v>
      </c>
      <c r="T12" s="482"/>
      <c r="U12" s="482"/>
      <c r="V12" s="482"/>
      <c r="W12" s="482"/>
      <c r="X12" s="482"/>
      <c r="Y12" s="482"/>
      <c r="Z12" s="482"/>
      <c r="AA12" s="482"/>
      <c r="AB12" s="482"/>
      <c r="AC12" s="482"/>
      <c r="AD12" s="482"/>
      <c r="AE12" s="482"/>
    </row>
    <row r="13" spans="1:31" s="490" customFormat="1" ht="25.5" customHeight="1">
      <c r="A13" s="520">
        <v>5</v>
      </c>
      <c r="B13" s="512" t="s">
        <v>240</v>
      </c>
      <c r="C13" s="480" t="s">
        <v>382</v>
      </c>
      <c r="D13" s="513" t="s">
        <v>40</v>
      </c>
      <c r="E13" s="513" t="e">
        <f>VLOOKUP(C13,#REF!,33,0)</f>
        <v>#REF!</v>
      </c>
      <c r="F13" s="514"/>
      <c r="G13" s="514"/>
      <c r="H13" s="514" t="e">
        <f t="shared" si="9"/>
        <v>#REF!</v>
      </c>
      <c r="I13" s="515" t="e">
        <f t="shared" si="0"/>
        <v>#REF!</v>
      </c>
      <c r="J13" s="516" t="s">
        <v>92</v>
      </c>
      <c r="K13" s="517">
        <f t="shared" si="1"/>
        <v>50</v>
      </c>
      <c r="L13" s="518" t="e">
        <f t="shared" si="2"/>
        <v>#REF!</v>
      </c>
      <c r="M13" s="519" t="e">
        <f t="shared" si="3"/>
        <v>#REF!</v>
      </c>
      <c r="N13" s="517"/>
      <c r="O13" s="632" t="e">
        <f t="shared" si="4"/>
        <v>#REF!</v>
      </c>
      <c r="P13" s="633">
        <f t="shared" si="5"/>
        <v>50</v>
      </c>
      <c r="Q13" s="635" t="e">
        <f t="shared" si="6"/>
        <v>#REF!</v>
      </c>
      <c r="R13" s="634" t="e">
        <f t="shared" si="7"/>
        <v>#REF!</v>
      </c>
      <c r="S13" s="482" t="e">
        <f t="shared" si="8"/>
        <v>#REF!</v>
      </c>
      <c r="T13" s="482"/>
      <c r="U13" s="482"/>
      <c r="V13" s="482"/>
      <c r="W13" s="482"/>
      <c r="X13" s="482"/>
      <c r="Y13" s="482"/>
      <c r="Z13" s="482"/>
      <c r="AA13" s="482"/>
      <c r="AB13" s="482"/>
      <c r="AC13" s="482"/>
      <c r="AD13" s="482"/>
      <c r="AE13" s="482"/>
    </row>
    <row r="14" spans="1:31" s="490" customFormat="1" ht="25.5" customHeight="1">
      <c r="A14" s="511">
        <v>6</v>
      </c>
      <c r="B14" s="521" t="s">
        <v>348</v>
      </c>
      <c r="C14" s="480" t="s">
        <v>266</v>
      </c>
      <c r="D14" s="513" t="s">
        <v>40</v>
      </c>
      <c r="E14" s="513" t="e">
        <f>VLOOKUP(C14,#REF!,33,0)</f>
        <v>#REF!</v>
      </c>
      <c r="F14" s="514"/>
      <c r="G14" s="514"/>
      <c r="H14" s="514" t="e">
        <f t="shared" si="9"/>
        <v>#REF!</v>
      </c>
      <c r="I14" s="515" t="e">
        <f t="shared" si="0"/>
        <v>#REF!</v>
      </c>
      <c r="J14" s="516" t="s">
        <v>52</v>
      </c>
      <c r="K14" s="517">
        <f t="shared" si="1"/>
        <v>60</v>
      </c>
      <c r="L14" s="518" t="e">
        <f t="shared" si="2"/>
        <v>#REF!</v>
      </c>
      <c r="M14" s="519" t="e">
        <f t="shared" si="3"/>
        <v>#REF!</v>
      </c>
      <c r="N14" s="517"/>
      <c r="O14" s="632" t="e">
        <f t="shared" si="4"/>
        <v>#REF!</v>
      </c>
      <c r="P14" s="633">
        <f t="shared" si="5"/>
        <v>60</v>
      </c>
      <c r="Q14" s="635" t="e">
        <f t="shared" si="6"/>
        <v>#REF!</v>
      </c>
      <c r="R14" s="634" t="e">
        <f t="shared" si="7"/>
        <v>#REF!</v>
      </c>
      <c r="S14" s="482" t="e">
        <f t="shared" si="8"/>
        <v>#REF!</v>
      </c>
      <c r="T14" s="482"/>
      <c r="U14" s="482"/>
      <c r="V14" s="482"/>
      <c r="W14" s="482"/>
      <c r="X14" s="482"/>
      <c r="Y14" s="482"/>
      <c r="Z14" s="482"/>
      <c r="AA14" s="482"/>
      <c r="AB14" s="482"/>
      <c r="AC14" s="482"/>
      <c r="AD14" s="482"/>
      <c r="AE14" s="482"/>
    </row>
    <row r="15" spans="1:31" s="650" customFormat="1" ht="25.5" customHeight="1">
      <c r="A15" s="636">
        <v>7</v>
      </c>
      <c r="B15" s="637" t="s">
        <v>329</v>
      </c>
      <c r="C15" s="638" t="s">
        <v>580</v>
      </c>
      <c r="D15" s="639" t="s">
        <v>40</v>
      </c>
      <c r="E15" s="639" t="e">
        <f>VLOOKUP(C15,#REF!,33,0)</f>
        <v>#REF!</v>
      </c>
      <c r="F15" s="640"/>
      <c r="G15" s="640"/>
      <c r="H15" s="640" t="e">
        <f t="shared" si="9"/>
        <v>#REF!</v>
      </c>
      <c r="I15" s="641" t="e">
        <f t="shared" si="0"/>
        <v>#REF!</v>
      </c>
      <c r="J15" s="642" t="s">
        <v>92</v>
      </c>
      <c r="K15" s="643">
        <f t="shared" si="1"/>
        <v>50</v>
      </c>
      <c r="L15" s="644" t="e">
        <f t="shared" si="2"/>
        <v>#REF!</v>
      </c>
      <c r="M15" s="519" t="e">
        <f t="shared" si="3"/>
        <v>#REF!</v>
      </c>
      <c r="N15" s="643"/>
      <c r="O15" s="645" t="e">
        <f t="shared" si="4"/>
        <v>#REF!</v>
      </c>
      <c r="P15" s="646">
        <f t="shared" si="5"/>
        <v>50</v>
      </c>
      <c r="Q15" s="647" t="e">
        <f t="shared" si="6"/>
        <v>#REF!</v>
      </c>
      <c r="R15" s="648" t="e">
        <f t="shared" si="7"/>
        <v>#REF!</v>
      </c>
      <c r="S15" s="649" t="e">
        <f t="shared" si="8"/>
        <v>#REF!</v>
      </c>
      <c r="T15" s="649"/>
      <c r="U15" s="649"/>
      <c r="V15" s="649"/>
      <c r="W15" s="649"/>
      <c r="X15" s="649"/>
      <c r="Y15" s="649"/>
      <c r="Z15" s="649"/>
      <c r="AA15" s="649"/>
      <c r="AB15" s="649"/>
      <c r="AC15" s="649"/>
      <c r="AD15" s="649"/>
      <c r="AE15" s="649"/>
    </row>
    <row r="16" spans="1:31" s="490" customFormat="1" ht="25.5" customHeight="1">
      <c r="A16" s="520">
        <v>8</v>
      </c>
      <c r="B16" s="512" t="s">
        <v>243</v>
      </c>
      <c r="C16" s="480" t="s">
        <v>403</v>
      </c>
      <c r="D16" s="513" t="s">
        <v>40</v>
      </c>
      <c r="E16" s="513" t="e">
        <f>VLOOKUP(C16,#REF!,33,0)</f>
        <v>#REF!</v>
      </c>
      <c r="F16" s="514"/>
      <c r="G16" s="514"/>
      <c r="H16" s="514" t="e">
        <f t="shared" si="9"/>
        <v>#REF!</v>
      </c>
      <c r="I16" s="515" t="e">
        <f t="shared" si="0"/>
        <v>#REF!</v>
      </c>
      <c r="J16" s="516" t="s">
        <v>52</v>
      </c>
      <c r="K16" s="517">
        <f t="shared" si="1"/>
        <v>60</v>
      </c>
      <c r="L16" s="518" t="e">
        <f t="shared" si="2"/>
        <v>#REF!</v>
      </c>
      <c r="M16" s="519" t="s">
        <v>52</v>
      </c>
      <c r="N16" s="517"/>
      <c r="O16" s="632" t="e">
        <f t="shared" si="4"/>
        <v>#REF!</v>
      </c>
      <c r="P16" s="633">
        <f t="shared" si="5"/>
        <v>60</v>
      </c>
      <c r="Q16" s="635" t="e">
        <f t="shared" si="6"/>
        <v>#REF!</v>
      </c>
      <c r="R16" s="634" t="e">
        <f t="shared" si="7"/>
        <v>#REF!</v>
      </c>
      <c r="S16" s="482" t="e">
        <f t="shared" si="8"/>
        <v>#REF!</v>
      </c>
      <c r="T16" s="482"/>
      <c r="U16" s="482"/>
      <c r="V16" s="482"/>
      <c r="W16" s="482"/>
      <c r="X16" s="482"/>
      <c r="Y16" s="482"/>
      <c r="Z16" s="482"/>
      <c r="AA16" s="482"/>
      <c r="AB16" s="482"/>
      <c r="AC16" s="482"/>
      <c r="AD16" s="482"/>
      <c r="AE16" s="482"/>
    </row>
    <row r="17" spans="1:31" s="490" customFormat="1" ht="25.5" customHeight="1">
      <c r="A17" s="511">
        <v>9</v>
      </c>
      <c r="B17" s="512" t="s">
        <v>252</v>
      </c>
      <c r="C17" s="480" t="s">
        <v>404</v>
      </c>
      <c r="D17" s="513" t="s">
        <v>40</v>
      </c>
      <c r="E17" s="513" t="e">
        <f>VLOOKUP(C17,#REF!,33,0)</f>
        <v>#REF!</v>
      </c>
      <c r="F17" s="514"/>
      <c r="G17" s="514"/>
      <c r="H17" s="514" t="e">
        <f t="shared" si="9"/>
        <v>#REF!</v>
      </c>
      <c r="I17" s="515" t="e">
        <f t="shared" si="0"/>
        <v>#REF!</v>
      </c>
      <c r="J17" s="516" t="s">
        <v>53</v>
      </c>
      <c r="K17" s="517">
        <f t="shared" si="1"/>
        <v>45</v>
      </c>
      <c r="L17" s="518" t="e">
        <f t="shared" si="2"/>
        <v>#REF!</v>
      </c>
      <c r="M17" s="519" t="e">
        <f t="shared" si="3"/>
        <v>#REF!</v>
      </c>
      <c r="N17" s="517"/>
      <c r="O17" s="632" t="e">
        <f t="shared" si="4"/>
        <v>#REF!</v>
      </c>
      <c r="P17" s="633">
        <f t="shared" si="5"/>
        <v>45</v>
      </c>
      <c r="Q17" s="635" t="e">
        <f t="shared" si="6"/>
        <v>#REF!</v>
      </c>
      <c r="R17" s="634" t="e">
        <f t="shared" si="7"/>
        <v>#REF!</v>
      </c>
      <c r="S17" s="482" t="e">
        <f t="shared" si="8"/>
        <v>#REF!</v>
      </c>
      <c r="T17" s="482"/>
      <c r="U17" s="482"/>
      <c r="V17" s="482"/>
      <c r="W17" s="482"/>
      <c r="X17" s="482"/>
      <c r="Y17" s="482"/>
      <c r="Z17" s="482"/>
      <c r="AA17" s="482"/>
      <c r="AB17" s="482"/>
      <c r="AC17" s="482"/>
      <c r="AD17" s="482"/>
      <c r="AE17" s="482"/>
    </row>
    <row r="18" spans="1:31" s="490" customFormat="1" ht="25.5" customHeight="1">
      <c r="A18" s="511">
        <v>10</v>
      </c>
      <c r="B18" s="512" t="s">
        <v>246</v>
      </c>
      <c r="C18" s="480" t="s">
        <v>254</v>
      </c>
      <c r="D18" s="513" t="s">
        <v>40</v>
      </c>
      <c r="E18" s="513" t="e">
        <f>VLOOKUP(C18,#REF!,33,0)</f>
        <v>#REF!</v>
      </c>
      <c r="F18" s="514"/>
      <c r="G18" s="514"/>
      <c r="H18" s="514" t="e">
        <f t="shared" si="9"/>
        <v>#REF!</v>
      </c>
      <c r="I18" s="515" t="e">
        <f t="shared" si="0"/>
        <v>#REF!</v>
      </c>
      <c r="J18" s="516" t="s">
        <v>52</v>
      </c>
      <c r="K18" s="517">
        <f t="shared" si="1"/>
        <v>60</v>
      </c>
      <c r="L18" s="518" t="e">
        <f t="shared" si="2"/>
        <v>#REF!</v>
      </c>
      <c r="M18" s="519" t="e">
        <f t="shared" si="3"/>
        <v>#REF!</v>
      </c>
      <c r="N18" s="517"/>
      <c r="O18" s="632" t="e">
        <f t="shared" si="4"/>
        <v>#REF!</v>
      </c>
      <c r="P18" s="633">
        <f t="shared" si="5"/>
        <v>60</v>
      </c>
      <c r="Q18" s="635" t="e">
        <f t="shared" si="6"/>
        <v>#REF!</v>
      </c>
      <c r="R18" s="634" t="e">
        <f t="shared" si="7"/>
        <v>#REF!</v>
      </c>
      <c r="S18" s="482" t="e">
        <f t="shared" si="8"/>
        <v>#REF!</v>
      </c>
      <c r="T18" s="482"/>
      <c r="U18" s="482"/>
      <c r="V18" s="482"/>
      <c r="W18" s="482"/>
      <c r="X18" s="482"/>
      <c r="Y18" s="482"/>
      <c r="Z18" s="482"/>
      <c r="AA18" s="482"/>
      <c r="AB18" s="482"/>
      <c r="AC18" s="482"/>
      <c r="AD18" s="482"/>
      <c r="AE18" s="482"/>
    </row>
    <row r="19" spans="1:31" s="490" customFormat="1" ht="25.5" customHeight="1">
      <c r="A19" s="520">
        <v>11</v>
      </c>
      <c r="B19" s="512" t="s">
        <v>286</v>
      </c>
      <c r="C19" s="480" t="s">
        <v>405</v>
      </c>
      <c r="D19" s="513" t="s">
        <v>40</v>
      </c>
      <c r="E19" s="513" t="e">
        <f>VLOOKUP(C19,#REF!,33,0)</f>
        <v>#REF!</v>
      </c>
      <c r="F19" s="514"/>
      <c r="G19" s="514"/>
      <c r="H19" s="514" t="e">
        <f t="shared" si="9"/>
        <v>#REF!</v>
      </c>
      <c r="I19" s="515" t="e">
        <f t="shared" si="0"/>
        <v>#REF!</v>
      </c>
      <c r="J19" s="516" t="s">
        <v>92</v>
      </c>
      <c r="K19" s="517">
        <f t="shared" si="1"/>
        <v>50</v>
      </c>
      <c r="L19" s="518" t="e">
        <f t="shared" si="2"/>
        <v>#REF!</v>
      </c>
      <c r="M19" s="519" t="e">
        <f t="shared" si="3"/>
        <v>#REF!</v>
      </c>
      <c r="N19" s="517"/>
      <c r="O19" s="632" t="e">
        <f t="shared" si="4"/>
        <v>#REF!</v>
      </c>
      <c r="P19" s="633">
        <f t="shared" si="5"/>
        <v>50</v>
      </c>
      <c r="Q19" s="635" t="e">
        <f t="shared" si="6"/>
        <v>#REF!</v>
      </c>
      <c r="R19" s="634" t="e">
        <f t="shared" si="7"/>
        <v>#REF!</v>
      </c>
      <c r="S19" s="482" t="e">
        <f t="shared" si="8"/>
        <v>#REF!</v>
      </c>
      <c r="T19" s="482"/>
      <c r="U19" s="482"/>
      <c r="V19" s="482"/>
      <c r="W19" s="482"/>
      <c r="X19" s="482"/>
      <c r="Y19" s="482"/>
      <c r="Z19" s="482"/>
      <c r="AA19" s="482"/>
      <c r="AB19" s="482"/>
      <c r="AC19" s="482"/>
      <c r="AD19" s="482"/>
      <c r="AE19" s="482"/>
    </row>
    <row r="20" spans="1:31" s="490" customFormat="1" ht="25.5" customHeight="1">
      <c r="A20" s="511">
        <v>12</v>
      </c>
      <c r="B20" s="512" t="s">
        <v>244</v>
      </c>
      <c r="C20" s="480" t="s">
        <v>271</v>
      </c>
      <c r="D20" s="513" t="s">
        <v>40</v>
      </c>
      <c r="E20" s="513" t="e">
        <f>VLOOKUP(C20,#REF!,33,0)</f>
        <v>#REF!</v>
      </c>
      <c r="F20" s="514"/>
      <c r="G20" s="514"/>
      <c r="H20" s="514" t="e">
        <f t="shared" si="9"/>
        <v>#REF!</v>
      </c>
      <c r="I20" s="515" t="e">
        <f t="shared" si="0"/>
        <v>#REF!</v>
      </c>
      <c r="J20" s="516" t="s">
        <v>52</v>
      </c>
      <c r="K20" s="517">
        <f t="shared" si="1"/>
        <v>60</v>
      </c>
      <c r="L20" s="518" t="e">
        <f t="shared" si="2"/>
        <v>#REF!</v>
      </c>
      <c r="M20" s="519" t="e">
        <f t="shared" si="3"/>
        <v>#REF!</v>
      </c>
      <c r="N20" s="517"/>
      <c r="O20" s="632" t="e">
        <f t="shared" si="4"/>
        <v>#REF!</v>
      </c>
      <c r="P20" s="633">
        <f t="shared" si="5"/>
        <v>60</v>
      </c>
      <c r="Q20" s="635" t="e">
        <f t="shared" si="6"/>
        <v>#REF!</v>
      </c>
      <c r="R20" s="634" t="e">
        <f t="shared" si="7"/>
        <v>#REF!</v>
      </c>
      <c r="S20" s="482" t="e">
        <f t="shared" si="8"/>
        <v>#REF!</v>
      </c>
      <c r="T20" s="482"/>
      <c r="U20" s="482"/>
      <c r="V20" s="482"/>
      <c r="W20" s="482"/>
      <c r="X20" s="482"/>
      <c r="Y20" s="482"/>
      <c r="Z20" s="482"/>
      <c r="AA20" s="482"/>
      <c r="AB20" s="482"/>
      <c r="AC20" s="482"/>
      <c r="AD20" s="482"/>
      <c r="AE20" s="482"/>
    </row>
    <row r="21" spans="1:31" s="490" customFormat="1" ht="25.5" customHeight="1">
      <c r="A21" s="511">
        <v>13</v>
      </c>
      <c r="B21" s="512" t="s">
        <v>352</v>
      </c>
      <c r="C21" s="480" t="s">
        <v>255</v>
      </c>
      <c r="D21" s="513" t="s">
        <v>40</v>
      </c>
      <c r="E21" s="513" t="e">
        <f>VLOOKUP(C21,#REF!,33,0)</f>
        <v>#REF!</v>
      </c>
      <c r="F21" s="514"/>
      <c r="G21" s="514"/>
      <c r="H21" s="514" t="e">
        <f t="shared" si="9"/>
        <v>#REF!</v>
      </c>
      <c r="I21" s="515" t="e">
        <f t="shared" si="0"/>
        <v>#REF!</v>
      </c>
      <c r="J21" s="516" t="s">
        <v>52</v>
      </c>
      <c r="K21" s="517">
        <f t="shared" si="1"/>
        <v>60</v>
      </c>
      <c r="L21" s="518" t="e">
        <f t="shared" si="2"/>
        <v>#REF!</v>
      </c>
      <c r="M21" s="519" t="e">
        <f t="shared" si="3"/>
        <v>#REF!</v>
      </c>
      <c r="N21" s="517"/>
      <c r="O21" s="632" t="e">
        <f t="shared" si="4"/>
        <v>#REF!</v>
      </c>
      <c r="P21" s="633">
        <f t="shared" si="5"/>
        <v>60</v>
      </c>
      <c r="Q21" s="635" t="e">
        <f t="shared" si="6"/>
        <v>#REF!</v>
      </c>
      <c r="R21" s="634" t="e">
        <f t="shared" si="7"/>
        <v>#REF!</v>
      </c>
      <c r="S21" s="482" t="e">
        <f t="shared" si="8"/>
        <v>#REF!</v>
      </c>
      <c r="T21" s="482"/>
      <c r="U21" s="482"/>
      <c r="V21" s="482"/>
      <c r="W21" s="482"/>
      <c r="X21" s="482"/>
      <c r="Y21" s="482"/>
      <c r="Z21" s="482"/>
      <c r="AA21" s="482"/>
      <c r="AB21" s="482"/>
      <c r="AC21" s="482"/>
      <c r="AD21" s="482"/>
      <c r="AE21" s="482"/>
    </row>
    <row r="22" spans="1:31" s="490" customFormat="1" ht="25.5" customHeight="1">
      <c r="A22" s="520">
        <v>14</v>
      </c>
      <c r="B22" s="512" t="s">
        <v>327</v>
      </c>
      <c r="C22" s="565" t="s">
        <v>581</v>
      </c>
      <c r="D22" s="513" t="s">
        <v>40</v>
      </c>
      <c r="E22" s="513" t="e">
        <f>VLOOKUP(C22,#REF!,33,0)</f>
        <v>#REF!</v>
      </c>
      <c r="F22" s="514"/>
      <c r="G22" s="514"/>
      <c r="H22" s="514" t="e">
        <f t="shared" si="9"/>
        <v>#REF!</v>
      </c>
      <c r="I22" s="515" t="e">
        <f t="shared" si="0"/>
        <v>#REF!</v>
      </c>
      <c r="J22" s="516" t="s">
        <v>52</v>
      </c>
      <c r="K22" s="517">
        <f t="shared" si="1"/>
        <v>60</v>
      </c>
      <c r="L22" s="518" t="e">
        <f t="shared" si="2"/>
        <v>#REF!</v>
      </c>
      <c r="M22" s="519" t="e">
        <f t="shared" si="3"/>
        <v>#REF!</v>
      </c>
      <c r="N22" s="517"/>
      <c r="O22" s="632" t="e">
        <f t="shared" si="4"/>
        <v>#REF!</v>
      </c>
      <c r="P22" s="633">
        <f t="shared" si="5"/>
        <v>60</v>
      </c>
      <c r="Q22" s="635" t="e">
        <f t="shared" si="6"/>
        <v>#REF!</v>
      </c>
      <c r="R22" s="634" t="e">
        <f t="shared" si="7"/>
        <v>#REF!</v>
      </c>
      <c r="S22" s="482" t="e">
        <f t="shared" si="8"/>
        <v>#REF!</v>
      </c>
      <c r="T22" s="482"/>
      <c r="U22" s="482"/>
      <c r="V22" s="482"/>
      <c r="W22" s="482"/>
      <c r="X22" s="482"/>
      <c r="Y22" s="482"/>
      <c r="Z22" s="482"/>
      <c r="AA22" s="482"/>
      <c r="AB22" s="482"/>
      <c r="AC22" s="482"/>
      <c r="AD22" s="482"/>
      <c r="AE22" s="482"/>
    </row>
    <row r="23" spans="1:31" s="490" customFormat="1" ht="25.5" customHeight="1">
      <c r="A23" s="511">
        <v>15</v>
      </c>
      <c r="B23" s="512" t="s">
        <v>328</v>
      </c>
      <c r="C23" s="480" t="s">
        <v>406</v>
      </c>
      <c r="D23" s="513" t="s">
        <v>40</v>
      </c>
      <c r="E23" s="513" t="e">
        <f>VLOOKUP(C23,#REF!,33,0)</f>
        <v>#REF!</v>
      </c>
      <c r="F23" s="514"/>
      <c r="G23" s="514"/>
      <c r="H23" s="514" t="e">
        <f t="shared" si="9"/>
        <v>#REF!</v>
      </c>
      <c r="I23" s="515" t="e">
        <f t="shared" si="0"/>
        <v>#REF!</v>
      </c>
      <c r="J23" s="516" t="s">
        <v>92</v>
      </c>
      <c r="K23" s="517">
        <f t="shared" si="1"/>
        <v>50</v>
      </c>
      <c r="L23" s="518" t="e">
        <f t="shared" si="2"/>
        <v>#REF!</v>
      </c>
      <c r="M23" s="519" t="e">
        <f t="shared" si="3"/>
        <v>#REF!</v>
      </c>
      <c r="N23" s="517"/>
      <c r="O23" s="632" t="e">
        <f t="shared" si="4"/>
        <v>#REF!</v>
      </c>
      <c r="P23" s="633">
        <f t="shared" si="5"/>
        <v>50</v>
      </c>
      <c r="Q23" s="635" t="e">
        <f t="shared" si="6"/>
        <v>#REF!</v>
      </c>
      <c r="R23" s="634" t="e">
        <f t="shared" si="7"/>
        <v>#REF!</v>
      </c>
      <c r="S23" s="482" t="e">
        <f t="shared" si="8"/>
        <v>#REF!</v>
      </c>
      <c r="T23" s="482"/>
      <c r="U23" s="482"/>
      <c r="V23" s="482"/>
      <c r="W23" s="482"/>
      <c r="X23" s="482"/>
      <c r="Y23" s="482"/>
      <c r="Z23" s="482"/>
      <c r="AA23" s="482"/>
      <c r="AB23" s="482"/>
      <c r="AC23" s="482"/>
      <c r="AD23" s="482"/>
      <c r="AE23" s="482"/>
    </row>
    <row r="24" spans="1:31" s="490" customFormat="1" ht="25.5" customHeight="1">
      <c r="A24" s="511">
        <v>16</v>
      </c>
      <c r="B24" s="521" t="s">
        <v>326</v>
      </c>
      <c r="C24" s="480" t="s">
        <v>270</v>
      </c>
      <c r="D24" s="513" t="s">
        <v>40</v>
      </c>
      <c r="E24" s="513" t="e">
        <f>VLOOKUP(C24,#REF!,33,0)</f>
        <v>#REF!</v>
      </c>
      <c r="F24" s="514"/>
      <c r="G24" s="514"/>
      <c r="H24" s="514" t="e">
        <f t="shared" ref="H24:H30" si="10">SUM(E24:G24)</f>
        <v>#REF!</v>
      </c>
      <c r="I24" s="515" t="e">
        <f t="shared" si="0"/>
        <v>#REF!</v>
      </c>
      <c r="J24" s="516" t="s">
        <v>52</v>
      </c>
      <c r="K24" s="517">
        <f t="shared" si="1"/>
        <v>60</v>
      </c>
      <c r="L24" s="518" t="e">
        <f t="shared" si="2"/>
        <v>#REF!</v>
      </c>
      <c r="M24" s="519" t="e">
        <f t="shared" si="3"/>
        <v>#REF!</v>
      </c>
      <c r="N24" s="517"/>
      <c r="O24" s="632" t="e">
        <f t="shared" si="4"/>
        <v>#REF!</v>
      </c>
      <c r="P24" s="633">
        <f t="shared" si="5"/>
        <v>60</v>
      </c>
      <c r="Q24" s="635" t="e">
        <f t="shared" si="6"/>
        <v>#REF!</v>
      </c>
      <c r="R24" s="634" t="e">
        <f t="shared" si="7"/>
        <v>#REF!</v>
      </c>
      <c r="S24" s="482" t="e">
        <f t="shared" si="8"/>
        <v>#REF!</v>
      </c>
      <c r="T24" s="482"/>
      <c r="U24" s="482"/>
      <c r="V24" s="482"/>
      <c r="W24" s="482"/>
      <c r="X24" s="482"/>
      <c r="Y24" s="482"/>
      <c r="Z24" s="482"/>
      <c r="AA24" s="482"/>
      <c r="AB24" s="482"/>
      <c r="AC24" s="482"/>
      <c r="AD24" s="482"/>
      <c r="AE24" s="482"/>
    </row>
    <row r="25" spans="1:31" s="490" customFormat="1" ht="25.5" customHeight="1">
      <c r="A25" s="520">
        <v>17</v>
      </c>
      <c r="B25" s="512" t="s">
        <v>296</v>
      </c>
      <c r="C25" s="565" t="s">
        <v>582</v>
      </c>
      <c r="D25" s="513" t="s">
        <v>40</v>
      </c>
      <c r="E25" s="513" t="e">
        <f>VLOOKUP(C25,#REF!,33,0)</f>
        <v>#REF!</v>
      </c>
      <c r="F25" s="514"/>
      <c r="G25" s="514"/>
      <c r="H25" s="514" t="e">
        <f t="shared" si="10"/>
        <v>#REF!</v>
      </c>
      <c r="I25" s="515" t="e">
        <f t="shared" si="0"/>
        <v>#REF!</v>
      </c>
      <c r="J25" s="516" t="s">
        <v>52</v>
      </c>
      <c r="K25" s="517">
        <f t="shared" si="1"/>
        <v>60</v>
      </c>
      <c r="L25" s="518" t="e">
        <f t="shared" si="2"/>
        <v>#REF!</v>
      </c>
      <c r="M25" s="519" t="e">
        <f t="shared" si="3"/>
        <v>#REF!</v>
      </c>
      <c r="N25" s="517"/>
      <c r="O25" s="632" t="e">
        <f t="shared" si="4"/>
        <v>#REF!</v>
      </c>
      <c r="P25" s="633">
        <f t="shared" si="5"/>
        <v>60</v>
      </c>
      <c r="Q25" s="635" t="e">
        <f t="shared" si="6"/>
        <v>#REF!</v>
      </c>
      <c r="R25" s="634" t="e">
        <f t="shared" si="7"/>
        <v>#REF!</v>
      </c>
      <c r="S25" s="482" t="e">
        <f t="shared" si="8"/>
        <v>#REF!</v>
      </c>
      <c r="T25" s="482"/>
      <c r="U25" s="482"/>
      <c r="V25" s="482"/>
      <c r="W25" s="482"/>
      <c r="X25" s="482"/>
      <c r="Y25" s="482"/>
      <c r="Z25" s="482"/>
      <c r="AA25" s="482"/>
      <c r="AB25" s="482"/>
      <c r="AC25" s="482"/>
      <c r="AD25" s="482"/>
      <c r="AE25" s="482"/>
    </row>
    <row r="26" spans="1:31" s="490" customFormat="1" ht="25.5" customHeight="1">
      <c r="A26" s="511">
        <v>18</v>
      </c>
      <c r="B26" s="512" t="s">
        <v>284</v>
      </c>
      <c r="C26" s="480" t="s">
        <v>283</v>
      </c>
      <c r="D26" s="513" t="s">
        <v>40</v>
      </c>
      <c r="E26" s="513" t="e">
        <f>VLOOKUP(C26,#REF!,33,0)</f>
        <v>#REF!</v>
      </c>
      <c r="F26" s="514"/>
      <c r="G26" s="514"/>
      <c r="H26" s="514" t="e">
        <f t="shared" si="10"/>
        <v>#REF!</v>
      </c>
      <c r="I26" s="515" t="e">
        <f t="shared" si="0"/>
        <v>#REF!</v>
      </c>
      <c r="J26" s="516" t="s">
        <v>52</v>
      </c>
      <c r="K26" s="517">
        <f t="shared" si="1"/>
        <v>60</v>
      </c>
      <c r="L26" s="518" t="e">
        <f t="shared" si="2"/>
        <v>#REF!</v>
      </c>
      <c r="M26" s="519" t="e">
        <f t="shared" si="3"/>
        <v>#REF!</v>
      </c>
      <c r="N26" s="517"/>
      <c r="O26" s="632" t="e">
        <f t="shared" si="4"/>
        <v>#REF!</v>
      </c>
      <c r="P26" s="633">
        <f t="shared" si="5"/>
        <v>60</v>
      </c>
      <c r="Q26" s="635" t="e">
        <f t="shared" si="6"/>
        <v>#REF!</v>
      </c>
      <c r="R26" s="634" t="e">
        <f t="shared" si="7"/>
        <v>#REF!</v>
      </c>
      <c r="S26" s="482" t="e">
        <f t="shared" si="8"/>
        <v>#REF!</v>
      </c>
      <c r="T26" s="482"/>
      <c r="U26" s="482"/>
      <c r="V26" s="482"/>
      <c r="W26" s="482"/>
      <c r="X26" s="482"/>
      <c r="Y26" s="482"/>
      <c r="Z26" s="482"/>
      <c r="AA26" s="482"/>
      <c r="AB26" s="482"/>
      <c r="AC26" s="482"/>
      <c r="AD26" s="482"/>
      <c r="AE26" s="482"/>
    </row>
    <row r="27" spans="1:31" s="490" customFormat="1" ht="25.5" customHeight="1">
      <c r="A27" s="511">
        <v>19</v>
      </c>
      <c r="B27" s="512" t="s">
        <v>294</v>
      </c>
      <c r="C27" s="480" t="s">
        <v>407</v>
      </c>
      <c r="D27" s="513" t="s">
        <v>40</v>
      </c>
      <c r="E27" s="513" t="e">
        <f>VLOOKUP(C27,#REF!,33,0)</f>
        <v>#REF!</v>
      </c>
      <c r="F27" s="514"/>
      <c r="G27" s="514"/>
      <c r="H27" s="514" t="e">
        <f t="shared" si="10"/>
        <v>#REF!</v>
      </c>
      <c r="I27" s="515" t="e">
        <f t="shared" si="0"/>
        <v>#REF!</v>
      </c>
      <c r="J27" s="516" t="s">
        <v>52</v>
      </c>
      <c r="K27" s="517">
        <f t="shared" si="1"/>
        <v>60</v>
      </c>
      <c r="L27" s="518" t="e">
        <f t="shared" si="2"/>
        <v>#REF!</v>
      </c>
      <c r="M27" s="519" t="s">
        <v>52</v>
      </c>
      <c r="N27" s="517"/>
      <c r="O27" s="632" t="e">
        <f t="shared" si="4"/>
        <v>#REF!</v>
      </c>
      <c r="P27" s="633">
        <f t="shared" si="5"/>
        <v>60</v>
      </c>
      <c r="Q27" s="635" t="e">
        <f t="shared" si="6"/>
        <v>#REF!</v>
      </c>
      <c r="R27" s="634" t="e">
        <f t="shared" si="7"/>
        <v>#REF!</v>
      </c>
      <c r="S27" s="482" t="e">
        <f t="shared" si="8"/>
        <v>#REF!</v>
      </c>
      <c r="T27" s="482"/>
      <c r="U27" s="482"/>
      <c r="V27" s="482"/>
      <c r="W27" s="482"/>
      <c r="X27" s="482"/>
      <c r="Y27" s="482"/>
      <c r="Z27" s="482"/>
      <c r="AA27" s="482"/>
      <c r="AB27" s="482"/>
      <c r="AC27" s="482"/>
      <c r="AD27" s="482"/>
      <c r="AE27" s="482"/>
    </row>
    <row r="28" spans="1:31" s="490" customFormat="1" ht="25.5" customHeight="1">
      <c r="A28" s="520">
        <v>20</v>
      </c>
      <c r="B28" s="512" t="s">
        <v>298</v>
      </c>
      <c r="C28" s="480" t="s">
        <v>269</v>
      </c>
      <c r="D28" s="513" t="s">
        <v>40</v>
      </c>
      <c r="E28" s="513" t="e">
        <f>VLOOKUP(C28,#REF!,33,0)</f>
        <v>#REF!</v>
      </c>
      <c r="F28" s="514"/>
      <c r="G28" s="514"/>
      <c r="H28" s="514" t="e">
        <f t="shared" si="10"/>
        <v>#REF!</v>
      </c>
      <c r="I28" s="515" t="e">
        <f t="shared" si="0"/>
        <v>#REF!</v>
      </c>
      <c r="J28" s="516" t="s">
        <v>52</v>
      </c>
      <c r="K28" s="517">
        <f t="shared" si="1"/>
        <v>60</v>
      </c>
      <c r="L28" s="518" t="e">
        <f t="shared" si="2"/>
        <v>#REF!</v>
      </c>
      <c r="M28" s="519" t="e">
        <f t="shared" si="3"/>
        <v>#REF!</v>
      </c>
      <c r="N28" s="517"/>
      <c r="O28" s="632" t="e">
        <f t="shared" si="4"/>
        <v>#REF!</v>
      </c>
      <c r="P28" s="633">
        <f t="shared" si="5"/>
        <v>60</v>
      </c>
      <c r="Q28" s="635" t="e">
        <f t="shared" si="6"/>
        <v>#REF!</v>
      </c>
      <c r="R28" s="634" t="e">
        <f t="shared" si="7"/>
        <v>#REF!</v>
      </c>
      <c r="S28" s="482" t="e">
        <f t="shared" si="8"/>
        <v>#REF!</v>
      </c>
      <c r="T28" s="482"/>
      <c r="U28" s="482"/>
      <c r="V28" s="482"/>
      <c r="W28" s="482"/>
      <c r="X28" s="482"/>
      <c r="Y28" s="482"/>
      <c r="Z28" s="482"/>
      <c r="AA28" s="482"/>
      <c r="AB28" s="482"/>
      <c r="AC28" s="482"/>
      <c r="AD28" s="482"/>
      <c r="AE28" s="482"/>
    </row>
    <row r="29" spans="1:31" s="490" customFormat="1" ht="25.5" customHeight="1">
      <c r="A29" s="511">
        <v>21</v>
      </c>
      <c r="B29" s="512" t="s">
        <v>295</v>
      </c>
      <c r="C29" s="480" t="s">
        <v>319</v>
      </c>
      <c r="D29" s="513" t="s">
        <v>40</v>
      </c>
      <c r="E29" s="513" t="e">
        <f>VLOOKUP(C29,#REF!,33,0)</f>
        <v>#REF!</v>
      </c>
      <c r="F29" s="514"/>
      <c r="G29" s="514"/>
      <c r="H29" s="514" t="e">
        <f t="shared" si="10"/>
        <v>#REF!</v>
      </c>
      <c r="I29" s="515" t="e">
        <f t="shared" si="0"/>
        <v>#REF!</v>
      </c>
      <c r="J29" s="516" t="s">
        <v>52</v>
      </c>
      <c r="K29" s="517">
        <f t="shared" si="1"/>
        <v>60</v>
      </c>
      <c r="L29" s="518" t="e">
        <f t="shared" si="2"/>
        <v>#REF!</v>
      </c>
      <c r="M29" s="519" t="e">
        <f t="shared" si="3"/>
        <v>#REF!</v>
      </c>
      <c r="N29" s="517"/>
      <c r="O29" s="632" t="e">
        <f t="shared" si="4"/>
        <v>#REF!</v>
      </c>
      <c r="P29" s="633">
        <f t="shared" si="5"/>
        <v>60</v>
      </c>
      <c r="Q29" s="635" t="e">
        <f t="shared" si="6"/>
        <v>#REF!</v>
      </c>
      <c r="R29" s="634" t="e">
        <f t="shared" si="7"/>
        <v>#REF!</v>
      </c>
      <c r="S29" s="482" t="e">
        <f t="shared" si="8"/>
        <v>#REF!</v>
      </c>
      <c r="T29" s="482"/>
      <c r="U29" s="482"/>
      <c r="V29" s="482"/>
      <c r="W29" s="482"/>
      <c r="X29" s="482"/>
      <c r="Y29" s="482"/>
      <c r="Z29" s="482"/>
      <c r="AA29" s="482"/>
      <c r="AB29" s="482"/>
      <c r="AC29" s="482"/>
      <c r="AD29" s="482"/>
      <c r="AE29" s="482"/>
    </row>
    <row r="30" spans="1:31" s="490" customFormat="1" ht="25.5" customHeight="1">
      <c r="A30" s="511">
        <v>22</v>
      </c>
      <c r="B30" s="512" t="s">
        <v>297</v>
      </c>
      <c r="C30" s="480" t="s">
        <v>320</v>
      </c>
      <c r="D30" s="513" t="s">
        <v>40</v>
      </c>
      <c r="E30" s="513" t="e">
        <f>VLOOKUP(C30,#REF!,33,0)</f>
        <v>#REF!</v>
      </c>
      <c r="F30" s="514"/>
      <c r="G30" s="514"/>
      <c r="H30" s="514" t="e">
        <f t="shared" si="10"/>
        <v>#REF!</v>
      </c>
      <c r="I30" s="515" t="e">
        <f t="shared" si="0"/>
        <v>#REF!</v>
      </c>
      <c r="J30" s="516" t="s">
        <v>92</v>
      </c>
      <c r="K30" s="517">
        <f t="shared" si="1"/>
        <v>50</v>
      </c>
      <c r="L30" s="518" t="e">
        <f t="shared" si="2"/>
        <v>#REF!</v>
      </c>
      <c r="M30" s="519" t="e">
        <f t="shared" si="3"/>
        <v>#REF!</v>
      </c>
      <c r="N30" s="517"/>
      <c r="O30" s="632" t="e">
        <f t="shared" si="4"/>
        <v>#REF!</v>
      </c>
      <c r="P30" s="633">
        <f t="shared" si="5"/>
        <v>50</v>
      </c>
      <c r="Q30" s="635" t="e">
        <f t="shared" si="6"/>
        <v>#REF!</v>
      </c>
      <c r="R30" s="634" t="e">
        <f t="shared" si="7"/>
        <v>#REF!</v>
      </c>
      <c r="S30" s="482" t="e">
        <f t="shared" si="8"/>
        <v>#REF!</v>
      </c>
      <c r="T30" s="482"/>
      <c r="U30" s="482"/>
      <c r="V30" s="482"/>
      <c r="W30" s="482"/>
      <c r="X30" s="482"/>
      <c r="Y30" s="482"/>
      <c r="Z30" s="482"/>
      <c r="AA30" s="482"/>
      <c r="AB30" s="482"/>
      <c r="AC30" s="482"/>
      <c r="AD30" s="482"/>
      <c r="AE30" s="482"/>
    </row>
    <row r="31" spans="1:31" s="490" customFormat="1" ht="25.5" customHeight="1">
      <c r="A31" s="520">
        <v>23</v>
      </c>
      <c r="B31" s="512" t="s">
        <v>351</v>
      </c>
      <c r="C31" s="630" t="s">
        <v>583</v>
      </c>
      <c r="D31" s="513" t="s">
        <v>40</v>
      </c>
      <c r="E31" s="513" t="e">
        <f>VLOOKUP(C31,#REF!,33,0)</f>
        <v>#REF!</v>
      </c>
      <c r="F31" s="514"/>
      <c r="G31" s="514"/>
      <c r="H31" s="514" t="e">
        <f t="shared" si="9"/>
        <v>#REF!</v>
      </c>
      <c r="I31" s="515" t="e">
        <f t="shared" si="0"/>
        <v>#REF!</v>
      </c>
      <c r="J31" s="516" t="s">
        <v>92</v>
      </c>
      <c r="K31" s="517">
        <f t="shared" si="1"/>
        <v>50</v>
      </c>
      <c r="L31" s="518" t="e">
        <f t="shared" si="2"/>
        <v>#REF!</v>
      </c>
      <c r="M31" s="519" t="e">
        <f t="shared" si="3"/>
        <v>#REF!</v>
      </c>
      <c r="N31" s="517"/>
      <c r="O31" s="632" t="e">
        <f t="shared" si="4"/>
        <v>#REF!</v>
      </c>
      <c r="P31" s="633">
        <f t="shared" si="5"/>
        <v>50</v>
      </c>
      <c r="Q31" s="635" t="e">
        <f t="shared" si="6"/>
        <v>#REF!</v>
      </c>
      <c r="R31" s="634" t="e">
        <f t="shared" si="7"/>
        <v>#REF!</v>
      </c>
      <c r="S31" s="482" t="e">
        <f t="shared" si="8"/>
        <v>#REF!</v>
      </c>
      <c r="T31" s="482"/>
      <c r="U31" s="482"/>
      <c r="V31" s="482"/>
      <c r="W31" s="482"/>
      <c r="X31" s="482"/>
      <c r="Y31" s="482"/>
      <c r="Z31" s="482"/>
      <c r="AA31" s="482"/>
      <c r="AB31" s="482"/>
      <c r="AC31" s="482"/>
      <c r="AD31" s="482"/>
      <c r="AE31" s="482"/>
    </row>
    <row r="32" spans="1:31" s="490" customFormat="1" ht="25.5" customHeight="1">
      <c r="A32" s="511">
        <v>24</v>
      </c>
      <c r="B32" s="512" t="s">
        <v>287</v>
      </c>
      <c r="C32" s="480" t="s">
        <v>408</v>
      </c>
      <c r="D32" s="513" t="s">
        <v>40</v>
      </c>
      <c r="E32" s="513" t="e">
        <f>VLOOKUP(C32,#REF!,33,0)</f>
        <v>#REF!</v>
      </c>
      <c r="F32" s="514"/>
      <c r="G32" s="514"/>
      <c r="H32" s="514" t="e">
        <f t="shared" si="9"/>
        <v>#REF!</v>
      </c>
      <c r="I32" s="515" t="e">
        <f t="shared" si="0"/>
        <v>#REF!</v>
      </c>
      <c r="J32" s="516" t="s">
        <v>92</v>
      </c>
      <c r="K32" s="517">
        <f t="shared" si="1"/>
        <v>50</v>
      </c>
      <c r="L32" s="518" t="e">
        <f t="shared" si="2"/>
        <v>#REF!</v>
      </c>
      <c r="M32" s="519" t="e">
        <f t="shared" si="3"/>
        <v>#REF!</v>
      </c>
      <c r="N32" s="517"/>
      <c r="O32" s="632" t="e">
        <f t="shared" si="4"/>
        <v>#REF!</v>
      </c>
      <c r="P32" s="633">
        <f t="shared" si="5"/>
        <v>50</v>
      </c>
      <c r="Q32" s="635" t="e">
        <f t="shared" si="6"/>
        <v>#REF!</v>
      </c>
      <c r="R32" s="634" t="e">
        <f t="shared" si="7"/>
        <v>#REF!</v>
      </c>
      <c r="S32" s="482" t="e">
        <f t="shared" si="8"/>
        <v>#REF!</v>
      </c>
      <c r="T32" s="482"/>
      <c r="U32" s="482"/>
      <c r="V32" s="482"/>
      <c r="W32" s="482"/>
      <c r="X32" s="482"/>
      <c r="Y32" s="482"/>
      <c r="Z32" s="482"/>
      <c r="AA32" s="482"/>
      <c r="AB32" s="482"/>
      <c r="AC32" s="482"/>
      <c r="AD32" s="482"/>
      <c r="AE32" s="482"/>
    </row>
    <row r="33" spans="1:31" s="490" customFormat="1" ht="25.5" customHeight="1">
      <c r="A33" s="511">
        <v>25</v>
      </c>
      <c r="B33" s="512" t="s">
        <v>288</v>
      </c>
      <c r="C33" s="480" t="s">
        <v>409</v>
      </c>
      <c r="D33" s="513" t="s">
        <v>40</v>
      </c>
      <c r="E33" s="513" t="e">
        <f>VLOOKUP(C33,#REF!,33,0)</f>
        <v>#REF!</v>
      </c>
      <c r="F33" s="514"/>
      <c r="G33" s="514"/>
      <c r="H33" s="514" t="e">
        <f t="shared" si="9"/>
        <v>#REF!</v>
      </c>
      <c r="I33" s="515" t="e">
        <f t="shared" si="0"/>
        <v>#REF!</v>
      </c>
      <c r="J33" s="516" t="s">
        <v>92</v>
      </c>
      <c r="K33" s="517">
        <f t="shared" si="1"/>
        <v>50</v>
      </c>
      <c r="L33" s="518" t="e">
        <f t="shared" si="2"/>
        <v>#REF!</v>
      </c>
      <c r="M33" s="519" t="e">
        <f t="shared" si="3"/>
        <v>#REF!</v>
      </c>
      <c r="N33" s="517"/>
      <c r="O33" s="632" t="e">
        <f t="shared" si="4"/>
        <v>#REF!</v>
      </c>
      <c r="P33" s="633">
        <f t="shared" si="5"/>
        <v>50</v>
      </c>
      <c r="Q33" s="635" t="e">
        <f t="shared" si="6"/>
        <v>#REF!</v>
      </c>
      <c r="R33" s="634" t="e">
        <f t="shared" si="7"/>
        <v>#REF!</v>
      </c>
      <c r="S33" s="482" t="e">
        <f t="shared" si="8"/>
        <v>#REF!</v>
      </c>
      <c r="T33" s="482"/>
      <c r="U33" s="482"/>
      <c r="V33" s="482"/>
      <c r="W33" s="482"/>
      <c r="X33" s="482"/>
      <c r="Y33" s="482"/>
      <c r="Z33" s="482"/>
      <c r="AA33" s="482"/>
      <c r="AB33" s="482"/>
      <c r="AC33" s="482"/>
      <c r="AD33" s="482"/>
      <c r="AE33" s="482"/>
    </row>
    <row r="34" spans="1:31" s="490" customFormat="1" ht="25.5" customHeight="1">
      <c r="A34" s="520">
        <v>26</v>
      </c>
      <c r="B34" s="512" t="s">
        <v>289</v>
      </c>
      <c r="C34" s="480" t="s">
        <v>274</v>
      </c>
      <c r="D34" s="513" t="s">
        <v>40</v>
      </c>
      <c r="E34" s="513" t="e">
        <f>VLOOKUP(C34,#REF!,33,0)</f>
        <v>#REF!</v>
      </c>
      <c r="F34" s="514"/>
      <c r="G34" s="514"/>
      <c r="H34" s="514" t="e">
        <f t="shared" si="9"/>
        <v>#REF!</v>
      </c>
      <c r="I34" s="515" t="e">
        <f t="shared" si="0"/>
        <v>#REF!</v>
      </c>
      <c r="J34" s="516" t="s">
        <v>52</v>
      </c>
      <c r="K34" s="517">
        <f t="shared" si="1"/>
        <v>60</v>
      </c>
      <c r="L34" s="518" t="e">
        <f t="shared" si="2"/>
        <v>#REF!</v>
      </c>
      <c r="M34" s="519" t="e">
        <f t="shared" si="3"/>
        <v>#REF!</v>
      </c>
      <c r="N34" s="517"/>
      <c r="O34" s="632" t="e">
        <f t="shared" si="4"/>
        <v>#REF!</v>
      </c>
      <c r="P34" s="633">
        <f t="shared" si="5"/>
        <v>60</v>
      </c>
      <c r="Q34" s="635" t="e">
        <f t="shared" si="6"/>
        <v>#REF!</v>
      </c>
      <c r="R34" s="634" t="e">
        <f t="shared" si="7"/>
        <v>#REF!</v>
      </c>
      <c r="S34" s="482" t="e">
        <f t="shared" si="8"/>
        <v>#REF!</v>
      </c>
      <c r="T34" s="482"/>
      <c r="U34" s="482"/>
      <c r="V34" s="482"/>
      <c r="W34" s="482"/>
      <c r="X34" s="482"/>
      <c r="Y34" s="482"/>
      <c r="Z34" s="482"/>
      <c r="AA34" s="482"/>
      <c r="AB34" s="482"/>
      <c r="AC34" s="482"/>
      <c r="AD34" s="482"/>
      <c r="AE34" s="482"/>
    </row>
    <row r="35" spans="1:31" s="490" customFormat="1" ht="25.5" customHeight="1">
      <c r="A35" s="511">
        <v>27</v>
      </c>
      <c r="B35" s="512" t="s">
        <v>290</v>
      </c>
      <c r="C35" s="480" t="s">
        <v>410</v>
      </c>
      <c r="D35" s="513" t="s">
        <v>40</v>
      </c>
      <c r="E35" s="513" t="e">
        <f>VLOOKUP(C35,#REF!,33,0)</f>
        <v>#REF!</v>
      </c>
      <c r="F35" s="514"/>
      <c r="G35" s="514"/>
      <c r="H35" s="514" t="e">
        <f t="shared" si="9"/>
        <v>#REF!</v>
      </c>
      <c r="I35" s="515" t="e">
        <f t="shared" si="0"/>
        <v>#REF!</v>
      </c>
      <c r="J35" s="516" t="s">
        <v>92</v>
      </c>
      <c r="K35" s="517">
        <f t="shared" si="1"/>
        <v>50</v>
      </c>
      <c r="L35" s="518" t="e">
        <f t="shared" si="2"/>
        <v>#REF!</v>
      </c>
      <c r="M35" s="519" t="e">
        <f t="shared" si="3"/>
        <v>#REF!</v>
      </c>
      <c r="N35" s="517"/>
      <c r="O35" s="632" t="e">
        <f t="shared" si="4"/>
        <v>#REF!</v>
      </c>
      <c r="P35" s="633">
        <f t="shared" si="5"/>
        <v>50</v>
      </c>
      <c r="Q35" s="635" t="e">
        <f t="shared" si="6"/>
        <v>#REF!</v>
      </c>
      <c r="R35" s="634" t="e">
        <f t="shared" si="7"/>
        <v>#REF!</v>
      </c>
      <c r="S35" s="482" t="e">
        <f t="shared" si="8"/>
        <v>#REF!</v>
      </c>
      <c r="T35" s="482"/>
      <c r="U35" s="482"/>
      <c r="V35" s="482"/>
      <c r="W35" s="482"/>
      <c r="X35" s="482"/>
      <c r="Y35" s="482"/>
      <c r="Z35" s="482"/>
      <c r="AA35" s="482"/>
      <c r="AB35" s="482"/>
      <c r="AC35" s="482"/>
      <c r="AD35" s="482"/>
      <c r="AE35" s="482"/>
    </row>
    <row r="36" spans="1:31" s="490" customFormat="1" ht="25.5" customHeight="1">
      <c r="A36" s="511">
        <v>28</v>
      </c>
      <c r="B36" s="512" t="s">
        <v>331</v>
      </c>
      <c r="C36" s="480" t="s">
        <v>529</v>
      </c>
      <c r="D36" s="513" t="s">
        <v>40</v>
      </c>
      <c r="E36" s="513" t="e">
        <f>VLOOKUP(C36,#REF!,33,0)</f>
        <v>#REF!</v>
      </c>
      <c r="F36" s="514"/>
      <c r="G36" s="514"/>
      <c r="H36" s="514" t="e">
        <f t="shared" si="9"/>
        <v>#REF!</v>
      </c>
      <c r="I36" s="515" t="e">
        <f t="shared" si="0"/>
        <v>#REF!</v>
      </c>
      <c r="J36" s="516" t="s">
        <v>52</v>
      </c>
      <c r="K36" s="517">
        <f t="shared" si="1"/>
        <v>60</v>
      </c>
      <c r="L36" s="518" t="e">
        <f t="shared" si="2"/>
        <v>#REF!</v>
      </c>
      <c r="M36" s="519" t="s">
        <v>52</v>
      </c>
      <c r="N36" s="517"/>
      <c r="O36" s="632" t="e">
        <f t="shared" si="4"/>
        <v>#REF!</v>
      </c>
      <c r="P36" s="633">
        <f t="shared" si="5"/>
        <v>60</v>
      </c>
      <c r="Q36" s="635" t="e">
        <f t="shared" si="6"/>
        <v>#REF!</v>
      </c>
      <c r="R36" s="634" t="e">
        <f t="shared" si="7"/>
        <v>#REF!</v>
      </c>
      <c r="S36" s="482" t="e">
        <f t="shared" si="8"/>
        <v>#REF!</v>
      </c>
      <c r="T36" s="482"/>
      <c r="U36" s="482"/>
      <c r="V36" s="482"/>
      <c r="W36" s="482"/>
      <c r="X36" s="482"/>
      <c r="Y36" s="482"/>
      <c r="Z36" s="482"/>
      <c r="AA36" s="482"/>
      <c r="AB36" s="482"/>
      <c r="AC36" s="482"/>
      <c r="AD36" s="482"/>
      <c r="AE36" s="482"/>
    </row>
    <row r="37" spans="1:31" s="490" customFormat="1" ht="25.5" customHeight="1">
      <c r="A37" s="520">
        <v>29</v>
      </c>
      <c r="B37" s="512" t="s">
        <v>291</v>
      </c>
      <c r="C37" s="480" t="s">
        <v>526</v>
      </c>
      <c r="D37" s="513" t="s">
        <v>40</v>
      </c>
      <c r="E37" s="513" t="e">
        <f>VLOOKUP(C37,#REF!,33,0)</f>
        <v>#REF!</v>
      </c>
      <c r="F37" s="514"/>
      <c r="G37" s="514"/>
      <c r="H37" s="514" t="e">
        <f t="shared" si="9"/>
        <v>#REF!</v>
      </c>
      <c r="I37" s="515" t="e">
        <f t="shared" si="0"/>
        <v>#REF!</v>
      </c>
      <c r="J37" s="516" t="s">
        <v>52</v>
      </c>
      <c r="K37" s="517">
        <f t="shared" si="1"/>
        <v>60</v>
      </c>
      <c r="L37" s="518" t="e">
        <f t="shared" si="2"/>
        <v>#REF!</v>
      </c>
      <c r="M37" s="519" t="e">
        <f t="shared" si="3"/>
        <v>#REF!</v>
      </c>
      <c r="N37" s="517"/>
      <c r="O37" s="632" t="e">
        <f t="shared" si="4"/>
        <v>#REF!</v>
      </c>
      <c r="P37" s="633">
        <f t="shared" si="5"/>
        <v>60</v>
      </c>
      <c r="Q37" s="635" t="e">
        <f t="shared" si="6"/>
        <v>#REF!</v>
      </c>
      <c r="R37" s="634" t="e">
        <f t="shared" si="7"/>
        <v>#REF!</v>
      </c>
      <c r="S37" s="482" t="e">
        <f t="shared" si="8"/>
        <v>#REF!</v>
      </c>
      <c r="T37" s="482"/>
      <c r="U37" s="482"/>
      <c r="V37" s="482"/>
      <c r="W37" s="482"/>
      <c r="X37" s="482"/>
      <c r="Y37" s="482"/>
      <c r="Z37" s="482"/>
      <c r="AA37" s="482"/>
      <c r="AB37" s="482"/>
      <c r="AC37" s="482"/>
      <c r="AD37" s="482"/>
      <c r="AE37" s="482"/>
    </row>
    <row r="38" spans="1:31" s="490" customFormat="1" ht="25.5" customHeight="1">
      <c r="A38" s="511">
        <v>30</v>
      </c>
      <c r="B38" s="512" t="s">
        <v>292</v>
      </c>
      <c r="C38" s="480" t="s">
        <v>411</v>
      </c>
      <c r="D38" s="513" t="s">
        <v>40</v>
      </c>
      <c r="E38" s="513" t="e">
        <f>VLOOKUP(C38,#REF!,33,0)</f>
        <v>#REF!</v>
      </c>
      <c r="F38" s="514"/>
      <c r="G38" s="514"/>
      <c r="H38" s="514" t="e">
        <f t="shared" si="9"/>
        <v>#REF!</v>
      </c>
      <c r="I38" s="515" t="e">
        <f t="shared" si="0"/>
        <v>#REF!</v>
      </c>
      <c r="J38" s="516" t="s">
        <v>52</v>
      </c>
      <c r="K38" s="517">
        <f t="shared" si="1"/>
        <v>60</v>
      </c>
      <c r="L38" s="518" t="e">
        <f t="shared" si="2"/>
        <v>#REF!</v>
      </c>
      <c r="M38" s="519" t="e">
        <f t="shared" si="3"/>
        <v>#REF!</v>
      </c>
      <c r="N38" s="517"/>
      <c r="O38" s="632" t="e">
        <f t="shared" si="4"/>
        <v>#REF!</v>
      </c>
      <c r="P38" s="633">
        <f t="shared" si="5"/>
        <v>60</v>
      </c>
      <c r="Q38" s="635" t="e">
        <f t="shared" si="6"/>
        <v>#REF!</v>
      </c>
      <c r="R38" s="634" t="e">
        <f t="shared" si="7"/>
        <v>#REF!</v>
      </c>
      <c r="S38" s="482" t="e">
        <f t="shared" si="8"/>
        <v>#REF!</v>
      </c>
      <c r="T38" s="482"/>
      <c r="U38" s="482"/>
      <c r="V38" s="482"/>
      <c r="W38" s="482"/>
      <c r="X38" s="482"/>
      <c r="Y38" s="482"/>
      <c r="Z38" s="482"/>
      <c r="AA38" s="482"/>
      <c r="AB38" s="482"/>
      <c r="AC38" s="482"/>
      <c r="AD38" s="482"/>
      <c r="AE38" s="482"/>
    </row>
    <row r="39" spans="1:31" s="490" customFormat="1" ht="25.5" customHeight="1">
      <c r="A39" s="511">
        <v>31</v>
      </c>
      <c r="B39" s="512" t="s">
        <v>293</v>
      </c>
      <c r="C39" s="480" t="s">
        <v>412</v>
      </c>
      <c r="D39" s="513" t="s">
        <v>40</v>
      </c>
      <c r="E39" s="513" t="e">
        <f>VLOOKUP(C39,#REF!,33,0)</f>
        <v>#REF!</v>
      </c>
      <c r="F39" s="514"/>
      <c r="G39" s="514"/>
      <c r="H39" s="514" t="e">
        <f t="shared" si="9"/>
        <v>#REF!</v>
      </c>
      <c r="I39" s="515" t="e">
        <f t="shared" si="0"/>
        <v>#REF!</v>
      </c>
      <c r="J39" s="516" t="s">
        <v>92</v>
      </c>
      <c r="K39" s="517">
        <f t="shared" si="1"/>
        <v>50</v>
      </c>
      <c r="L39" s="518" t="e">
        <f t="shared" si="2"/>
        <v>#REF!</v>
      </c>
      <c r="M39" s="519" t="e">
        <f t="shared" si="3"/>
        <v>#REF!</v>
      </c>
      <c r="N39" s="517"/>
      <c r="O39" s="632" t="e">
        <f t="shared" si="4"/>
        <v>#REF!</v>
      </c>
      <c r="P39" s="633">
        <f t="shared" si="5"/>
        <v>50</v>
      </c>
      <c r="Q39" s="635" t="e">
        <f t="shared" si="6"/>
        <v>#REF!</v>
      </c>
      <c r="R39" s="634" t="e">
        <f t="shared" si="7"/>
        <v>#REF!</v>
      </c>
      <c r="S39" s="482" t="e">
        <f t="shared" si="8"/>
        <v>#REF!</v>
      </c>
      <c r="T39" s="482"/>
      <c r="U39" s="482"/>
      <c r="V39" s="482"/>
      <c r="W39" s="482"/>
      <c r="X39" s="482"/>
      <c r="Y39" s="482"/>
      <c r="Z39" s="482"/>
      <c r="AA39" s="482"/>
      <c r="AB39" s="482"/>
      <c r="AC39" s="482"/>
      <c r="AD39" s="482"/>
      <c r="AE39" s="482"/>
    </row>
    <row r="40" spans="1:31" s="490" customFormat="1" ht="25.5" customHeight="1">
      <c r="A40" s="520">
        <v>32</v>
      </c>
      <c r="B40" s="522" t="s">
        <v>354</v>
      </c>
      <c r="C40" s="480" t="s">
        <v>413</v>
      </c>
      <c r="D40" s="513" t="s">
        <v>40</v>
      </c>
      <c r="E40" s="513" t="e">
        <f>VLOOKUP(C40,#REF!,33,0)</f>
        <v>#REF!</v>
      </c>
      <c r="F40" s="522"/>
      <c r="G40" s="514"/>
      <c r="H40" s="514" t="e">
        <f t="shared" si="9"/>
        <v>#REF!</v>
      </c>
      <c r="I40" s="515" t="e">
        <f t="shared" si="0"/>
        <v>#REF!</v>
      </c>
      <c r="J40" s="516" t="s">
        <v>52</v>
      </c>
      <c r="K40" s="517">
        <f t="shared" si="1"/>
        <v>60</v>
      </c>
      <c r="L40" s="518" t="e">
        <f t="shared" si="2"/>
        <v>#REF!</v>
      </c>
      <c r="M40" s="519" t="e">
        <f t="shared" si="3"/>
        <v>#REF!</v>
      </c>
      <c r="N40" s="517"/>
      <c r="O40" s="632" t="e">
        <f t="shared" si="4"/>
        <v>#REF!</v>
      </c>
      <c r="P40" s="633">
        <f t="shared" si="5"/>
        <v>60</v>
      </c>
      <c r="Q40" s="635" t="e">
        <f t="shared" si="6"/>
        <v>#REF!</v>
      </c>
      <c r="R40" s="634" t="e">
        <f t="shared" si="7"/>
        <v>#REF!</v>
      </c>
      <c r="S40" s="482" t="e">
        <f t="shared" si="8"/>
        <v>#REF!</v>
      </c>
      <c r="T40" s="482"/>
      <c r="U40" s="482"/>
      <c r="V40" s="482"/>
      <c r="W40" s="482"/>
      <c r="X40" s="482"/>
      <c r="Y40" s="482"/>
      <c r="Z40" s="482"/>
      <c r="AA40" s="482"/>
      <c r="AB40" s="482"/>
      <c r="AC40" s="482"/>
      <c r="AD40" s="482"/>
      <c r="AE40" s="482"/>
    </row>
    <row r="41" spans="1:31" s="490" customFormat="1" ht="25.5" customHeight="1">
      <c r="A41" s="511">
        <v>33</v>
      </c>
      <c r="B41" s="522" t="s">
        <v>349</v>
      </c>
      <c r="C41" s="480" t="s">
        <v>414</v>
      </c>
      <c r="D41" s="513" t="s">
        <v>40</v>
      </c>
      <c r="E41" s="513" t="e">
        <f>VLOOKUP(C41,#REF!,33,0)</f>
        <v>#REF!</v>
      </c>
      <c r="F41" s="522"/>
      <c r="G41" s="514"/>
      <c r="H41" s="514" t="e">
        <f t="shared" si="9"/>
        <v>#REF!</v>
      </c>
      <c r="I41" s="515" t="e">
        <f t="shared" si="0"/>
        <v>#REF!</v>
      </c>
      <c r="J41" s="516" t="s">
        <v>52</v>
      </c>
      <c r="K41" s="517">
        <f t="shared" si="1"/>
        <v>60</v>
      </c>
      <c r="L41" s="518" t="e">
        <f t="shared" si="2"/>
        <v>#REF!</v>
      </c>
      <c r="M41" s="519" t="e">
        <f t="shared" si="3"/>
        <v>#REF!</v>
      </c>
      <c r="N41" s="517"/>
      <c r="O41" s="632" t="e">
        <f t="shared" si="4"/>
        <v>#REF!</v>
      </c>
      <c r="P41" s="633">
        <f t="shared" si="5"/>
        <v>60</v>
      </c>
      <c r="Q41" s="635" t="e">
        <f t="shared" si="6"/>
        <v>#REF!</v>
      </c>
      <c r="R41" s="634" t="e">
        <f t="shared" si="7"/>
        <v>#REF!</v>
      </c>
      <c r="S41" s="482" t="e">
        <f t="shared" si="8"/>
        <v>#REF!</v>
      </c>
      <c r="T41" s="482"/>
      <c r="U41" s="482"/>
      <c r="V41" s="482"/>
      <c r="W41" s="482"/>
      <c r="X41" s="482"/>
      <c r="Y41" s="482"/>
      <c r="Z41" s="482"/>
      <c r="AA41" s="482"/>
      <c r="AB41" s="482"/>
      <c r="AC41" s="482"/>
      <c r="AD41" s="482"/>
      <c r="AE41" s="482"/>
    </row>
    <row r="42" spans="1:31" s="490" customFormat="1" ht="25.5" customHeight="1">
      <c r="A42" s="511">
        <v>34</v>
      </c>
      <c r="B42" s="522" t="s">
        <v>350</v>
      </c>
      <c r="C42" s="480" t="s">
        <v>415</v>
      </c>
      <c r="D42" s="513" t="s">
        <v>40</v>
      </c>
      <c r="E42" s="513" t="e">
        <f>VLOOKUP(C42,#REF!,33,0)</f>
        <v>#REF!</v>
      </c>
      <c r="F42" s="522"/>
      <c r="G42" s="514"/>
      <c r="H42" s="514" t="e">
        <f t="shared" si="9"/>
        <v>#REF!</v>
      </c>
      <c r="I42" s="515" t="e">
        <f t="shared" si="0"/>
        <v>#REF!</v>
      </c>
      <c r="J42" s="516" t="s">
        <v>52</v>
      </c>
      <c r="K42" s="517">
        <f t="shared" si="1"/>
        <v>60</v>
      </c>
      <c r="L42" s="518" t="e">
        <f t="shared" si="2"/>
        <v>#REF!</v>
      </c>
      <c r="M42" s="519" t="e">
        <f t="shared" si="3"/>
        <v>#REF!</v>
      </c>
      <c r="N42" s="517"/>
      <c r="O42" s="632" t="e">
        <f t="shared" si="4"/>
        <v>#REF!</v>
      </c>
      <c r="P42" s="633">
        <f t="shared" si="5"/>
        <v>60</v>
      </c>
      <c r="Q42" s="635" t="e">
        <f t="shared" si="6"/>
        <v>#REF!</v>
      </c>
      <c r="R42" s="634" t="e">
        <f t="shared" si="7"/>
        <v>#REF!</v>
      </c>
      <c r="S42" s="482" t="e">
        <f t="shared" si="8"/>
        <v>#REF!</v>
      </c>
      <c r="T42" s="482"/>
      <c r="U42" s="482"/>
      <c r="V42" s="482"/>
      <c r="W42" s="482"/>
      <c r="X42" s="482"/>
      <c r="Y42" s="482"/>
      <c r="Z42" s="482"/>
      <c r="AA42" s="482"/>
      <c r="AB42" s="482"/>
      <c r="AC42" s="482"/>
      <c r="AD42" s="482"/>
      <c r="AE42" s="482"/>
    </row>
    <row r="43" spans="1:31" s="490" customFormat="1" ht="25.5" customHeight="1">
      <c r="A43" s="520">
        <v>35</v>
      </c>
      <c r="B43" s="522"/>
      <c r="C43" s="480" t="s">
        <v>416</v>
      </c>
      <c r="D43" s="513" t="s">
        <v>40</v>
      </c>
      <c r="E43" s="513" t="e">
        <f>VLOOKUP(C43,#REF!,33,0)</f>
        <v>#REF!</v>
      </c>
      <c r="F43" s="522"/>
      <c r="G43" s="514"/>
      <c r="H43" s="514" t="e">
        <f t="shared" si="9"/>
        <v>#REF!</v>
      </c>
      <c r="I43" s="515" t="e">
        <f t="shared" si="0"/>
        <v>#REF!</v>
      </c>
      <c r="J43" s="516" t="s">
        <v>52</v>
      </c>
      <c r="K43" s="517">
        <f t="shared" si="1"/>
        <v>60</v>
      </c>
      <c r="L43" s="518" t="e">
        <f t="shared" si="2"/>
        <v>#REF!</v>
      </c>
      <c r="M43" s="519" t="s">
        <v>52</v>
      </c>
      <c r="N43" s="517"/>
      <c r="O43" s="632" t="e">
        <f t="shared" si="4"/>
        <v>#REF!</v>
      </c>
      <c r="P43" s="633">
        <f t="shared" si="5"/>
        <v>60</v>
      </c>
      <c r="Q43" s="635" t="e">
        <f t="shared" si="6"/>
        <v>#REF!</v>
      </c>
      <c r="R43" s="634" t="e">
        <f t="shared" si="7"/>
        <v>#REF!</v>
      </c>
      <c r="S43" s="482" t="e">
        <f t="shared" si="8"/>
        <v>#REF!</v>
      </c>
      <c r="T43" s="482"/>
      <c r="U43" s="482"/>
      <c r="V43" s="482"/>
      <c r="W43" s="482"/>
      <c r="X43" s="482"/>
      <c r="Y43" s="482"/>
      <c r="Z43" s="482"/>
      <c r="AA43" s="482"/>
      <c r="AB43" s="482"/>
      <c r="AC43" s="482"/>
      <c r="AD43" s="482"/>
      <c r="AE43" s="482"/>
    </row>
    <row r="44" spans="1:31" s="490" customFormat="1" ht="25.5" customHeight="1">
      <c r="A44" s="511">
        <v>36</v>
      </c>
      <c r="B44" s="512"/>
      <c r="C44" s="481" t="s">
        <v>378</v>
      </c>
      <c r="D44" s="513" t="s">
        <v>40</v>
      </c>
      <c r="E44" s="513" t="e">
        <f>VLOOKUP(C44,#REF!,33,0)</f>
        <v>#REF!</v>
      </c>
      <c r="F44" s="514"/>
      <c r="G44" s="514"/>
      <c r="H44" s="514" t="e">
        <f t="shared" ref="H44:H55" si="11">SUM(E44:G44)</f>
        <v>#REF!</v>
      </c>
      <c r="I44" s="515" t="e">
        <f t="shared" si="0"/>
        <v>#REF!</v>
      </c>
      <c r="J44" s="523" t="s">
        <v>52</v>
      </c>
      <c r="K44" s="517">
        <f t="shared" si="1"/>
        <v>60</v>
      </c>
      <c r="L44" s="518" t="e">
        <f t="shared" si="2"/>
        <v>#REF!</v>
      </c>
      <c r="M44" s="519" t="e">
        <f t="shared" si="3"/>
        <v>#REF!</v>
      </c>
      <c r="N44" s="517"/>
      <c r="O44" s="632" t="e">
        <f t="shared" si="4"/>
        <v>#REF!</v>
      </c>
      <c r="P44" s="633">
        <f t="shared" si="5"/>
        <v>60</v>
      </c>
      <c r="Q44" s="635" t="e">
        <f t="shared" si="6"/>
        <v>#REF!</v>
      </c>
      <c r="R44" s="634" t="e">
        <f t="shared" si="7"/>
        <v>#REF!</v>
      </c>
      <c r="S44" s="482" t="e">
        <f t="shared" si="8"/>
        <v>#REF!</v>
      </c>
      <c r="T44" s="482"/>
      <c r="U44" s="482"/>
      <c r="V44" s="482"/>
      <c r="W44" s="482"/>
      <c r="X44" s="482"/>
      <c r="Y44" s="482"/>
      <c r="Z44" s="482"/>
      <c r="AA44" s="482"/>
      <c r="AB44" s="482"/>
      <c r="AC44" s="482"/>
      <c r="AD44" s="482"/>
      <c r="AE44" s="482"/>
    </row>
    <row r="45" spans="1:31" s="490" customFormat="1" ht="25.5" customHeight="1">
      <c r="A45" s="511">
        <v>37</v>
      </c>
      <c r="B45" s="512"/>
      <c r="C45" s="481" t="s">
        <v>379</v>
      </c>
      <c r="D45" s="513" t="s">
        <v>40</v>
      </c>
      <c r="E45" s="513" t="e">
        <f>VLOOKUP(C45,#REF!,33,0)</f>
        <v>#REF!</v>
      </c>
      <c r="F45" s="514"/>
      <c r="G45" s="514"/>
      <c r="H45" s="514" t="e">
        <f t="shared" si="11"/>
        <v>#REF!</v>
      </c>
      <c r="I45" s="515" t="e">
        <f t="shared" si="0"/>
        <v>#REF!</v>
      </c>
      <c r="J45" s="523" t="s">
        <v>92</v>
      </c>
      <c r="K45" s="517">
        <f t="shared" si="1"/>
        <v>50</v>
      </c>
      <c r="L45" s="518" t="e">
        <f t="shared" si="2"/>
        <v>#REF!</v>
      </c>
      <c r="M45" s="519" t="e">
        <f t="shared" si="3"/>
        <v>#REF!</v>
      </c>
      <c r="N45" s="517"/>
      <c r="O45" s="632" t="e">
        <f t="shared" si="4"/>
        <v>#REF!</v>
      </c>
      <c r="P45" s="633">
        <f t="shared" si="5"/>
        <v>50</v>
      </c>
      <c r="Q45" s="635" t="e">
        <f t="shared" si="6"/>
        <v>#REF!</v>
      </c>
      <c r="R45" s="634" t="e">
        <f t="shared" si="7"/>
        <v>#REF!</v>
      </c>
      <c r="S45" s="482" t="e">
        <f t="shared" si="8"/>
        <v>#REF!</v>
      </c>
      <c r="T45" s="482"/>
      <c r="U45" s="482"/>
      <c r="V45" s="482"/>
      <c r="W45" s="482"/>
      <c r="X45" s="482"/>
      <c r="Y45" s="482"/>
      <c r="Z45" s="482"/>
      <c r="AA45" s="482"/>
      <c r="AB45" s="482"/>
      <c r="AC45" s="482"/>
      <c r="AD45" s="482"/>
      <c r="AE45" s="482"/>
    </row>
    <row r="46" spans="1:31" s="490" customFormat="1" ht="25.5" customHeight="1">
      <c r="A46" s="520">
        <v>38</v>
      </c>
      <c r="B46" s="512"/>
      <c r="C46" s="481" t="s">
        <v>380</v>
      </c>
      <c r="D46" s="513" t="s">
        <v>40</v>
      </c>
      <c r="E46" s="513" t="e">
        <f>VLOOKUP(C46,#REF!,33,0)</f>
        <v>#REF!</v>
      </c>
      <c r="F46" s="514"/>
      <c r="G46" s="514"/>
      <c r="H46" s="514" t="e">
        <f t="shared" si="11"/>
        <v>#REF!</v>
      </c>
      <c r="I46" s="515" t="e">
        <f t="shared" si="0"/>
        <v>#REF!</v>
      </c>
      <c r="J46" s="523" t="s">
        <v>52</v>
      </c>
      <c r="K46" s="517">
        <f t="shared" si="1"/>
        <v>60</v>
      </c>
      <c r="L46" s="518" t="e">
        <f t="shared" si="2"/>
        <v>#REF!</v>
      </c>
      <c r="M46" s="519" t="e">
        <f t="shared" si="3"/>
        <v>#REF!</v>
      </c>
      <c r="N46" s="517"/>
      <c r="O46" s="632" t="e">
        <f t="shared" si="4"/>
        <v>#REF!</v>
      </c>
      <c r="P46" s="633">
        <f t="shared" si="5"/>
        <v>60</v>
      </c>
      <c r="Q46" s="635" t="e">
        <f t="shared" si="6"/>
        <v>#REF!</v>
      </c>
      <c r="R46" s="634" t="e">
        <f t="shared" si="7"/>
        <v>#REF!</v>
      </c>
      <c r="S46" s="482" t="e">
        <f t="shared" si="8"/>
        <v>#REF!</v>
      </c>
      <c r="T46" s="482"/>
      <c r="U46" s="482"/>
      <c r="V46" s="482"/>
      <c r="W46" s="482"/>
      <c r="X46" s="482"/>
      <c r="Y46" s="482"/>
      <c r="Z46" s="482"/>
      <c r="AA46" s="482"/>
      <c r="AB46" s="482"/>
      <c r="AC46" s="482"/>
      <c r="AD46" s="482"/>
      <c r="AE46" s="482"/>
    </row>
    <row r="47" spans="1:31" s="490" customFormat="1" ht="25.5" customHeight="1">
      <c r="A47" s="511">
        <v>39</v>
      </c>
      <c r="B47" s="512"/>
      <c r="C47" s="481" t="s">
        <v>381</v>
      </c>
      <c r="D47" s="513" t="s">
        <v>40</v>
      </c>
      <c r="E47" s="513" t="e">
        <f>VLOOKUP(C47,#REF!,33,0)</f>
        <v>#REF!</v>
      </c>
      <c r="F47" s="514"/>
      <c r="G47" s="514"/>
      <c r="H47" s="514" t="e">
        <f t="shared" si="11"/>
        <v>#REF!</v>
      </c>
      <c r="I47" s="515" t="e">
        <f t="shared" si="0"/>
        <v>#REF!</v>
      </c>
      <c r="J47" s="523" t="s">
        <v>92</v>
      </c>
      <c r="K47" s="517">
        <f t="shared" si="1"/>
        <v>50</v>
      </c>
      <c r="L47" s="518" t="e">
        <f t="shared" si="2"/>
        <v>#REF!</v>
      </c>
      <c r="M47" s="519" t="e">
        <f t="shared" si="3"/>
        <v>#REF!</v>
      </c>
      <c r="N47" s="517"/>
      <c r="O47" s="632" t="e">
        <f t="shared" si="4"/>
        <v>#REF!</v>
      </c>
      <c r="P47" s="633">
        <f t="shared" si="5"/>
        <v>50</v>
      </c>
      <c r="Q47" s="635" t="e">
        <f t="shared" si="6"/>
        <v>#REF!</v>
      </c>
      <c r="R47" s="634" t="e">
        <f t="shared" si="7"/>
        <v>#REF!</v>
      </c>
      <c r="S47" s="482" t="e">
        <f t="shared" si="8"/>
        <v>#REF!</v>
      </c>
      <c r="T47" s="482"/>
      <c r="U47" s="482"/>
      <c r="V47" s="482"/>
      <c r="W47" s="482"/>
      <c r="X47" s="482"/>
      <c r="Y47" s="482"/>
      <c r="Z47" s="482"/>
      <c r="AA47" s="482"/>
      <c r="AB47" s="482"/>
      <c r="AC47" s="482"/>
      <c r="AD47" s="482"/>
      <c r="AE47" s="482"/>
    </row>
    <row r="48" spans="1:31" s="490" customFormat="1" ht="25.5" customHeight="1">
      <c r="A48" s="511">
        <v>40</v>
      </c>
      <c r="B48" s="512"/>
      <c r="C48" s="481" t="s">
        <v>533</v>
      </c>
      <c r="D48" s="513" t="s">
        <v>40</v>
      </c>
      <c r="E48" s="513" t="e">
        <f>VLOOKUP(C48,#REF!,33,0)</f>
        <v>#REF!</v>
      </c>
      <c r="F48" s="514"/>
      <c r="G48" s="514"/>
      <c r="H48" s="514" t="e">
        <f t="shared" si="11"/>
        <v>#REF!</v>
      </c>
      <c r="I48" s="515" t="e">
        <f t="shared" si="0"/>
        <v>#REF!</v>
      </c>
      <c r="J48" s="523" t="s">
        <v>92</v>
      </c>
      <c r="K48" s="517">
        <f t="shared" si="1"/>
        <v>50</v>
      </c>
      <c r="L48" s="518" t="e">
        <f t="shared" si="2"/>
        <v>#REF!</v>
      </c>
      <c r="M48" s="519" t="e">
        <f t="shared" si="3"/>
        <v>#REF!</v>
      </c>
      <c r="N48" s="517"/>
      <c r="O48" s="632" t="e">
        <f t="shared" si="4"/>
        <v>#REF!</v>
      </c>
      <c r="P48" s="633">
        <f t="shared" si="5"/>
        <v>50</v>
      </c>
      <c r="Q48" s="635" t="e">
        <f t="shared" si="6"/>
        <v>#REF!</v>
      </c>
      <c r="R48" s="634" t="e">
        <f t="shared" si="7"/>
        <v>#REF!</v>
      </c>
      <c r="S48" s="482" t="e">
        <f t="shared" si="8"/>
        <v>#REF!</v>
      </c>
      <c r="T48" s="482"/>
      <c r="U48" s="482"/>
      <c r="V48" s="482"/>
      <c r="W48" s="482"/>
      <c r="X48" s="482"/>
      <c r="Y48" s="482"/>
      <c r="Z48" s="482"/>
      <c r="AA48" s="482"/>
      <c r="AB48" s="482"/>
      <c r="AC48" s="482"/>
      <c r="AD48" s="482"/>
      <c r="AE48" s="482"/>
    </row>
    <row r="49" spans="1:31" s="490" customFormat="1" ht="25.5" customHeight="1">
      <c r="A49" s="520">
        <v>41</v>
      </c>
      <c r="B49" s="512"/>
      <c r="C49" s="481" t="s">
        <v>417</v>
      </c>
      <c r="D49" s="513" t="s">
        <v>40</v>
      </c>
      <c r="E49" s="513" t="e">
        <f>VLOOKUP(C49,#REF!,33,0)</f>
        <v>#REF!</v>
      </c>
      <c r="F49" s="514"/>
      <c r="G49" s="514"/>
      <c r="H49" s="514" t="e">
        <f t="shared" si="11"/>
        <v>#REF!</v>
      </c>
      <c r="I49" s="515" t="e">
        <f t="shared" si="0"/>
        <v>#REF!</v>
      </c>
      <c r="J49" s="523" t="s">
        <v>52</v>
      </c>
      <c r="K49" s="517">
        <f t="shared" si="1"/>
        <v>60</v>
      </c>
      <c r="L49" s="518" t="e">
        <f t="shared" si="2"/>
        <v>#REF!</v>
      </c>
      <c r="M49" s="519" t="e">
        <f t="shared" si="3"/>
        <v>#REF!</v>
      </c>
      <c r="N49" s="517"/>
      <c r="O49" s="632" t="e">
        <f t="shared" si="4"/>
        <v>#REF!</v>
      </c>
      <c r="P49" s="633">
        <f t="shared" si="5"/>
        <v>60</v>
      </c>
      <c r="Q49" s="635" t="e">
        <f t="shared" si="6"/>
        <v>#REF!</v>
      </c>
      <c r="R49" s="634" t="e">
        <f t="shared" si="7"/>
        <v>#REF!</v>
      </c>
      <c r="S49" s="482" t="e">
        <f t="shared" si="8"/>
        <v>#REF!</v>
      </c>
      <c r="T49" s="482"/>
      <c r="U49" s="482"/>
      <c r="V49" s="482"/>
      <c r="W49" s="482"/>
      <c r="X49" s="482"/>
      <c r="Y49" s="482"/>
      <c r="Z49" s="482"/>
      <c r="AA49" s="482"/>
      <c r="AB49" s="482"/>
      <c r="AC49" s="482"/>
      <c r="AD49" s="482"/>
      <c r="AE49" s="482"/>
    </row>
    <row r="50" spans="1:31" s="490" customFormat="1" ht="25.5" customHeight="1">
      <c r="A50" s="511">
        <v>42</v>
      </c>
      <c r="B50" s="512"/>
      <c r="C50" s="481" t="s">
        <v>535</v>
      </c>
      <c r="D50" s="513" t="s">
        <v>40</v>
      </c>
      <c r="E50" s="513" t="e">
        <f>VLOOKUP(C50,#REF!,33,0)</f>
        <v>#REF!</v>
      </c>
      <c r="F50" s="514"/>
      <c r="G50" s="514"/>
      <c r="H50" s="514" t="e">
        <f t="shared" si="11"/>
        <v>#REF!</v>
      </c>
      <c r="I50" s="515" t="e">
        <f t="shared" si="0"/>
        <v>#REF!</v>
      </c>
      <c r="J50" s="523" t="s">
        <v>92</v>
      </c>
      <c r="K50" s="517">
        <f t="shared" si="1"/>
        <v>50</v>
      </c>
      <c r="L50" s="518" t="e">
        <f t="shared" si="2"/>
        <v>#REF!</v>
      </c>
      <c r="M50" s="519" t="e">
        <f t="shared" si="3"/>
        <v>#REF!</v>
      </c>
      <c r="N50" s="517"/>
      <c r="O50" s="632" t="e">
        <f t="shared" si="4"/>
        <v>#REF!</v>
      </c>
      <c r="P50" s="633">
        <f t="shared" si="5"/>
        <v>50</v>
      </c>
      <c r="Q50" s="635" t="e">
        <f t="shared" si="6"/>
        <v>#REF!</v>
      </c>
      <c r="R50" s="634" t="e">
        <f t="shared" si="7"/>
        <v>#REF!</v>
      </c>
      <c r="S50" s="482" t="e">
        <f t="shared" si="8"/>
        <v>#REF!</v>
      </c>
      <c r="T50" s="482"/>
      <c r="U50" s="482"/>
      <c r="V50" s="482"/>
      <c r="W50" s="482"/>
      <c r="X50" s="482"/>
      <c r="Y50" s="482"/>
      <c r="Z50" s="482"/>
      <c r="AA50" s="482"/>
      <c r="AB50" s="482"/>
      <c r="AC50" s="482"/>
      <c r="AD50" s="482"/>
      <c r="AE50" s="482"/>
    </row>
    <row r="51" spans="1:31" s="490" customFormat="1" ht="25.5" customHeight="1">
      <c r="A51" s="511">
        <v>43</v>
      </c>
      <c r="B51" s="512"/>
      <c r="C51" s="562" t="s">
        <v>579</v>
      </c>
      <c r="D51" s="513" t="s">
        <v>40</v>
      </c>
      <c r="E51" s="513" t="e">
        <f>VLOOKUP(C51,#REF!,33,0)</f>
        <v>#REF!</v>
      </c>
      <c r="F51" s="514"/>
      <c r="G51" s="514"/>
      <c r="H51" s="514" t="e">
        <f t="shared" si="11"/>
        <v>#REF!</v>
      </c>
      <c r="I51" s="515" t="e">
        <f t="shared" si="0"/>
        <v>#REF!</v>
      </c>
      <c r="J51" s="523" t="s">
        <v>92</v>
      </c>
      <c r="K51" s="517">
        <f t="shared" si="1"/>
        <v>50</v>
      </c>
      <c r="L51" s="518" t="e">
        <f t="shared" si="2"/>
        <v>#REF!</v>
      </c>
      <c r="M51" s="519" t="e">
        <f t="shared" si="3"/>
        <v>#REF!</v>
      </c>
      <c r="N51" s="517"/>
      <c r="O51" s="632" t="e">
        <f t="shared" si="4"/>
        <v>#REF!</v>
      </c>
      <c r="P51" s="633">
        <f t="shared" si="5"/>
        <v>50</v>
      </c>
      <c r="Q51" s="635" t="e">
        <f t="shared" si="6"/>
        <v>#REF!</v>
      </c>
      <c r="R51" s="634" t="e">
        <f t="shared" si="7"/>
        <v>#REF!</v>
      </c>
      <c r="S51" s="482" t="e">
        <f t="shared" si="8"/>
        <v>#REF!</v>
      </c>
      <c r="T51" s="482"/>
      <c r="U51" s="482"/>
      <c r="V51" s="482"/>
      <c r="W51" s="482"/>
      <c r="X51" s="482"/>
      <c r="Y51" s="482"/>
      <c r="Z51" s="482"/>
      <c r="AA51" s="482"/>
      <c r="AB51" s="482"/>
      <c r="AC51" s="482"/>
      <c r="AD51" s="482"/>
      <c r="AE51" s="482"/>
    </row>
    <row r="52" spans="1:31" s="490" customFormat="1" ht="25.5" customHeight="1">
      <c r="A52" s="520">
        <v>44</v>
      </c>
      <c r="B52" s="522"/>
      <c r="C52" s="524" t="s">
        <v>373</v>
      </c>
      <c r="D52" s="513" t="s">
        <v>40</v>
      </c>
      <c r="E52" s="513" t="e">
        <f>VLOOKUP(C52,#REF!,33,0)</f>
        <v>#REF!</v>
      </c>
      <c r="F52" s="522"/>
      <c r="G52" s="514"/>
      <c r="H52" s="514" t="e">
        <f t="shared" si="11"/>
        <v>#REF!</v>
      </c>
      <c r="I52" s="515" t="e">
        <f t="shared" si="0"/>
        <v>#REF!</v>
      </c>
      <c r="J52" s="523" t="s">
        <v>92</v>
      </c>
      <c r="K52" s="517">
        <f t="shared" si="1"/>
        <v>50</v>
      </c>
      <c r="L52" s="518" t="e">
        <f t="shared" si="2"/>
        <v>#REF!</v>
      </c>
      <c r="M52" s="519" t="e">
        <f t="shared" si="3"/>
        <v>#REF!</v>
      </c>
      <c r="N52" s="517"/>
      <c r="O52" s="632" t="e">
        <f t="shared" si="4"/>
        <v>#REF!</v>
      </c>
      <c r="P52" s="633">
        <f t="shared" si="5"/>
        <v>50</v>
      </c>
      <c r="Q52" s="635" t="e">
        <f t="shared" si="6"/>
        <v>#REF!</v>
      </c>
      <c r="R52" s="634" t="e">
        <f t="shared" si="7"/>
        <v>#REF!</v>
      </c>
      <c r="S52" s="482" t="e">
        <f t="shared" si="8"/>
        <v>#REF!</v>
      </c>
      <c r="T52" s="482"/>
      <c r="U52" s="482"/>
      <c r="V52" s="482"/>
      <c r="W52" s="482"/>
      <c r="X52" s="482"/>
      <c r="Y52" s="482"/>
      <c r="Z52" s="482"/>
      <c r="AA52" s="482"/>
      <c r="AB52" s="482"/>
      <c r="AC52" s="482"/>
      <c r="AD52" s="482"/>
      <c r="AE52" s="482"/>
    </row>
    <row r="53" spans="1:31" s="490" customFormat="1" ht="25.5" customHeight="1">
      <c r="A53" s="511">
        <v>45</v>
      </c>
      <c r="B53" s="522"/>
      <c r="C53" s="562" t="s">
        <v>578</v>
      </c>
      <c r="D53" s="513" t="s">
        <v>40</v>
      </c>
      <c r="E53" s="513" t="e">
        <f>VLOOKUP(C53,#REF!,33,0)</f>
        <v>#REF!</v>
      </c>
      <c r="F53" s="522"/>
      <c r="G53" s="514"/>
      <c r="H53" s="514" t="e">
        <f t="shared" si="11"/>
        <v>#REF!</v>
      </c>
      <c r="I53" s="515" t="e">
        <f t="shared" si="0"/>
        <v>#REF!</v>
      </c>
      <c r="J53" s="523" t="s">
        <v>92</v>
      </c>
      <c r="K53" s="517">
        <f t="shared" si="1"/>
        <v>50</v>
      </c>
      <c r="L53" s="518" t="e">
        <f t="shared" si="2"/>
        <v>#REF!</v>
      </c>
      <c r="M53" s="519" t="e">
        <f t="shared" si="3"/>
        <v>#REF!</v>
      </c>
      <c r="N53" s="517"/>
      <c r="O53" s="632" t="e">
        <f t="shared" si="4"/>
        <v>#REF!</v>
      </c>
      <c r="P53" s="633">
        <f t="shared" si="5"/>
        <v>50</v>
      </c>
      <c r="Q53" s="635" t="e">
        <f t="shared" si="6"/>
        <v>#REF!</v>
      </c>
      <c r="R53" s="634" t="e">
        <f t="shared" si="7"/>
        <v>#REF!</v>
      </c>
      <c r="S53" s="482" t="e">
        <f t="shared" si="8"/>
        <v>#REF!</v>
      </c>
      <c r="T53" s="482"/>
      <c r="U53" s="482"/>
      <c r="V53" s="482"/>
      <c r="W53" s="482"/>
      <c r="X53" s="482"/>
      <c r="Y53" s="482"/>
      <c r="Z53" s="482"/>
      <c r="AA53" s="482"/>
      <c r="AB53" s="482"/>
      <c r="AC53" s="482"/>
      <c r="AD53" s="482"/>
      <c r="AE53" s="482"/>
    </row>
    <row r="54" spans="1:31" ht="25.5" customHeight="1">
      <c r="A54" s="511">
        <v>46</v>
      </c>
      <c r="B54" s="522"/>
      <c r="C54" s="481" t="s">
        <v>401</v>
      </c>
      <c r="D54" s="513" t="s">
        <v>40</v>
      </c>
      <c r="E54" s="513" t="e">
        <f>VLOOKUP(C54,#REF!,33,0)</f>
        <v>#REF!</v>
      </c>
      <c r="F54" s="522"/>
      <c r="G54" s="514"/>
      <c r="H54" s="514" t="e">
        <f t="shared" si="11"/>
        <v>#REF!</v>
      </c>
      <c r="I54" s="515" t="e">
        <f t="shared" si="0"/>
        <v>#REF!</v>
      </c>
      <c r="J54" s="523" t="s">
        <v>52</v>
      </c>
      <c r="K54" s="517">
        <f t="shared" si="1"/>
        <v>60</v>
      </c>
      <c r="L54" s="518" t="e">
        <f t="shared" si="2"/>
        <v>#REF!</v>
      </c>
      <c r="M54" s="519" t="e">
        <f t="shared" si="3"/>
        <v>#REF!</v>
      </c>
      <c r="N54" s="517"/>
      <c r="O54" s="632" t="e">
        <f t="shared" si="4"/>
        <v>#REF!</v>
      </c>
      <c r="P54" s="633">
        <f t="shared" si="5"/>
        <v>60</v>
      </c>
      <c r="Q54" s="635" t="e">
        <f t="shared" si="6"/>
        <v>#REF!</v>
      </c>
      <c r="R54" s="634" t="e">
        <f t="shared" si="7"/>
        <v>#REF!</v>
      </c>
      <c r="S54" s="482" t="e">
        <f t="shared" si="8"/>
        <v>#REF!</v>
      </c>
    </row>
    <row r="55" spans="1:31" ht="25.5" customHeight="1">
      <c r="A55" s="520">
        <v>47</v>
      </c>
      <c r="B55" s="522"/>
      <c r="C55" s="481" t="s">
        <v>400</v>
      </c>
      <c r="D55" s="513" t="s">
        <v>40</v>
      </c>
      <c r="E55" s="513" t="e">
        <f>VLOOKUP(C55,#REF!,33,0)</f>
        <v>#REF!</v>
      </c>
      <c r="F55" s="522"/>
      <c r="G55" s="514"/>
      <c r="H55" s="514" t="e">
        <f t="shared" si="11"/>
        <v>#REF!</v>
      </c>
      <c r="I55" s="515" t="e">
        <f t="shared" si="0"/>
        <v>#REF!</v>
      </c>
      <c r="J55" s="523" t="s">
        <v>52</v>
      </c>
      <c r="K55" s="517">
        <f t="shared" si="1"/>
        <v>60</v>
      </c>
      <c r="L55" s="518" t="e">
        <f t="shared" si="2"/>
        <v>#REF!</v>
      </c>
      <c r="M55" s="519" t="e">
        <f t="shared" si="3"/>
        <v>#REF!</v>
      </c>
      <c r="N55" s="517"/>
      <c r="O55" s="632" t="e">
        <f t="shared" si="4"/>
        <v>#REF!</v>
      </c>
      <c r="P55" s="633">
        <f t="shared" si="5"/>
        <v>60</v>
      </c>
      <c r="Q55" s="635" t="e">
        <f t="shared" si="6"/>
        <v>#REF!</v>
      </c>
      <c r="R55" s="634" t="e">
        <f t="shared" si="7"/>
        <v>#REF!</v>
      </c>
      <c r="S55" s="482" t="e">
        <f t="shared" si="8"/>
        <v>#REF!</v>
      </c>
    </row>
    <row r="56" spans="1:31" ht="25.5" customHeight="1">
      <c r="A56" s="511">
        <v>48</v>
      </c>
      <c r="B56" s="576"/>
      <c r="C56" s="574" t="s">
        <v>481</v>
      </c>
      <c r="D56" s="513" t="s">
        <v>40</v>
      </c>
      <c r="E56" s="513" t="e">
        <f>VLOOKUP(C56,#REF!,33,0)</f>
        <v>#REF!</v>
      </c>
      <c r="F56" s="522"/>
      <c r="G56" s="514"/>
      <c r="H56" s="514" t="e">
        <f>SUM(E56:G56)</f>
        <v>#REF!</v>
      </c>
      <c r="I56" s="515" t="e">
        <f t="shared" si="0"/>
        <v>#REF!</v>
      </c>
      <c r="J56" s="523" t="s">
        <v>92</v>
      </c>
      <c r="K56" s="517">
        <f t="shared" si="1"/>
        <v>50</v>
      </c>
      <c r="L56" s="518" t="e">
        <f t="shared" si="2"/>
        <v>#REF!</v>
      </c>
      <c r="M56" s="519" t="e">
        <f t="shared" si="3"/>
        <v>#REF!</v>
      </c>
      <c r="N56" s="577"/>
      <c r="O56" s="632" t="e">
        <f t="shared" si="4"/>
        <v>#REF!</v>
      </c>
      <c r="P56" s="633">
        <f t="shared" si="5"/>
        <v>50</v>
      </c>
      <c r="Q56" s="635" t="e">
        <f t="shared" si="6"/>
        <v>#REF!</v>
      </c>
      <c r="R56" s="634" t="e">
        <f t="shared" si="7"/>
        <v>#REF!</v>
      </c>
      <c r="S56" s="482" t="e">
        <f t="shared" si="8"/>
        <v>#REF!</v>
      </c>
    </row>
    <row r="57" spans="1:31" ht="21" customHeight="1">
      <c r="A57" s="491"/>
      <c r="B57" s="491"/>
      <c r="C57" s="4352" t="s">
        <v>310</v>
      </c>
      <c r="D57" s="4352"/>
      <c r="E57" s="492" t="s">
        <v>311</v>
      </c>
      <c r="F57" s="492"/>
      <c r="G57" s="492"/>
      <c r="H57" s="492"/>
      <c r="I57" s="4352" t="s">
        <v>50</v>
      </c>
      <c r="J57" s="4352"/>
      <c r="K57" s="493" t="s">
        <v>311</v>
      </c>
      <c r="L57" s="4353" t="s">
        <v>312</v>
      </c>
      <c r="M57" s="4353"/>
      <c r="N57" s="493"/>
    </row>
    <row r="58" spans="1:31" ht="21" customHeight="1">
      <c r="A58" s="494"/>
      <c r="B58" s="494"/>
      <c r="C58" s="4354" t="s">
        <v>313</v>
      </c>
      <c r="D58" s="4354"/>
      <c r="E58" s="495">
        <v>50</v>
      </c>
      <c r="F58" s="495"/>
      <c r="G58" s="495"/>
      <c r="H58" s="495"/>
      <c r="I58" s="4354" t="s">
        <v>313</v>
      </c>
      <c r="J58" s="4354"/>
      <c r="K58" s="460">
        <v>50</v>
      </c>
      <c r="L58" s="496" t="s">
        <v>314</v>
      </c>
      <c r="M58" s="497"/>
      <c r="N58" s="459"/>
    </row>
    <row r="59" spans="1:31" ht="21" customHeight="1">
      <c r="A59" s="494"/>
      <c r="B59" s="494"/>
      <c r="C59" s="4354" t="s">
        <v>315</v>
      </c>
      <c r="D59" s="4354"/>
      <c r="E59" s="495">
        <v>45</v>
      </c>
      <c r="F59" s="495"/>
      <c r="G59" s="495"/>
      <c r="H59" s="495"/>
      <c r="I59" s="4354" t="s">
        <v>315</v>
      </c>
      <c r="J59" s="4354"/>
      <c r="K59" s="460">
        <v>45</v>
      </c>
      <c r="L59" s="496" t="s">
        <v>316</v>
      </c>
      <c r="M59" s="498"/>
      <c r="N59" s="459"/>
    </row>
    <row r="60" spans="1:31" ht="21" customHeight="1">
      <c r="A60" s="494"/>
      <c r="B60" s="494"/>
      <c r="C60" s="4354" t="s">
        <v>317</v>
      </c>
      <c r="D60" s="4354"/>
      <c r="E60" s="495">
        <v>40</v>
      </c>
      <c r="F60" s="495"/>
      <c r="G60" s="495"/>
      <c r="H60" s="495"/>
      <c r="I60" s="4354" t="s">
        <v>317</v>
      </c>
      <c r="J60" s="4354"/>
      <c r="K60" s="460">
        <v>40</v>
      </c>
      <c r="L60" s="496" t="s">
        <v>323</v>
      </c>
      <c r="M60" s="496"/>
      <c r="N60" s="459"/>
    </row>
    <row r="61" spans="1:31" ht="21" customHeight="1">
      <c r="A61" s="494"/>
      <c r="B61" s="494"/>
      <c r="C61" s="4357" t="s">
        <v>313</v>
      </c>
      <c r="D61" s="4357"/>
      <c r="E61" s="4358">
        <f>J61/44*100</f>
        <v>9.0909090909090917</v>
      </c>
      <c r="F61" s="4358"/>
      <c r="G61" s="4358"/>
      <c r="H61" s="4358"/>
      <c r="I61" s="4358"/>
      <c r="J61" s="499">
        <f>COUNTIF($M$9:$M$55,"A")</f>
        <v>4</v>
      </c>
      <c r="K61" s="500" t="s">
        <v>237</v>
      </c>
      <c r="L61" s="4359" t="s">
        <v>539</v>
      </c>
      <c r="M61" s="4359"/>
      <c r="N61" s="4359"/>
    </row>
    <row r="62" spans="1:31" ht="21" customHeight="1">
      <c r="A62" s="494"/>
      <c r="B62" s="494"/>
      <c r="C62" s="4354" t="s">
        <v>315</v>
      </c>
      <c r="D62" s="4354"/>
      <c r="E62" s="4362">
        <f>J62/44*100</f>
        <v>0</v>
      </c>
      <c r="F62" s="4362"/>
      <c r="G62" s="4362"/>
      <c r="H62" s="4362"/>
      <c r="I62" s="4362"/>
      <c r="J62" s="501">
        <f>COUNTIF($M$9:$M$55,"B")</f>
        <v>0</v>
      </c>
      <c r="K62" s="502" t="s">
        <v>237</v>
      </c>
      <c r="L62" s="4360"/>
      <c r="M62" s="4360"/>
      <c r="N62" s="4360"/>
    </row>
    <row r="63" spans="1:31" ht="21" customHeight="1">
      <c r="A63" s="494"/>
      <c r="B63" s="494"/>
      <c r="C63" s="4363" t="s">
        <v>317</v>
      </c>
      <c r="D63" s="4363"/>
      <c r="E63" s="4364">
        <f>J63/44*100</f>
        <v>0</v>
      </c>
      <c r="F63" s="4364"/>
      <c r="G63" s="4364"/>
      <c r="H63" s="4364"/>
      <c r="I63" s="4364"/>
      <c r="J63" s="503">
        <f>COUNTIF($M$9:$M$55,"C")</f>
        <v>0</v>
      </c>
      <c r="K63" s="504" t="s">
        <v>237</v>
      </c>
      <c r="L63" s="4361"/>
      <c r="M63" s="4361"/>
      <c r="N63" s="4361"/>
    </row>
    <row r="64" spans="1:31" ht="9" customHeight="1">
      <c r="A64" s="494"/>
      <c r="B64" s="494"/>
      <c r="C64" s="505"/>
      <c r="D64" s="505"/>
      <c r="E64" s="494"/>
      <c r="F64" s="494"/>
      <c r="G64" s="494"/>
      <c r="H64" s="494"/>
      <c r="I64" s="494"/>
      <c r="J64" s="494"/>
      <c r="K64" s="494"/>
      <c r="L64" s="494"/>
      <c r="M64" s="494"/>
      <c r="N64" s="494"/>
    </row>
    <row r="65" spans="1:14" ht="13.5" customHeight="1">
      <c r="A65" s="494"/>
      <c r="B65" s="494"/>
      <c r="C65" s="494"/>
      <c r="D65" s="506"/>
      <c r="E65" s="506"/>
      <c r="F65" s="506"/>
      <c r="G65" s="506"/>
      <c r="H65" s="506"/>
      <c r="I65" s="506"/>
      <c r="J65" s="4350" t="s">
        <v>594</v>
      </c>
      <c r="K65" s="4350"/>
      <c r="L65" s="4350"/>
      <c r="M65" s="4350"/>
      <c r="N65" s="4350"/>
    </row>
    <row r="66" spans="1:14" ht="8.25" customHeight="1">
      <c r="A66" s="494"/>
      <c r="B66" s="494"/>
      <c r="C66" s="506"/>
      <c r="D66" s="507"/>
      <c r="E66" s="507"/>
      <c r="F66" s="507"/>
      <c r="G66" s="507"/>
      <c r="H66" s="507"/>
      <c r="I66" s="508"/>
      <c r="J66" s="508"/>
      <c r="K66" s="494"/>
      <c r="L66" s="494"/>
      <c r="M66" s="494"/>
      <c r="N66" s="494"/>
    </row>
    <row r="67" spans="1:14" ht="13.5" customHeight="1">
      <c r="A67" s="4351" t="s">
        <v>330</v>
      </c>
      <c r="B67" s="4351"/>
      <c r="C67" s="4351"/>
      <c r="D67" s="4351"/>
      <c r="E67" s="509"/>
      <c r="F67" s="4351" t="s">
        <v>167</v>
      </c>
      <c r="G67" s="4351"/>
      <c r="H67" s="4351"/>
      <c r="I67" s="4351"/>
      <c r="J67" s="4351"/>
      <c r="L67" s="4355" t="s">
        <v>370</v>
      </c>
      <c r="M67" s="4356"/>
      <c r="N67" s="510"/>
    </row>
    <row r="68" spans="1:14" ht="13.5" customHeight="1"/>
    <row r="69" spans="1:14" ht="13.5" customHeight="1"/>
    <row r="70" spans="1:14" ht="13.5" customHeight="1"/>
    <row r="71" spans="1:14" ht="13.5" customHeight="1"/>
    <row r="72" spans="1:14" ht="13.5" customHeight="1"/>
    <row r="73" spans="1:14" ht="13.5" customHeight="1"/>
    <row r="74" spans="1:14" ht="13.5" customHeight="1"/>
    <row r="75" spans="1:14" ht="13.5" customHeight="1"/>
    <row r="76" spans="1:14" ht="13.5" customHeight="1">
      <c r="I76" s="4349"/>
      <c r="J76" s="4349"/>
      <c r="K76" s="4349"/>
      <c r="L76" s="4349"/>
      <c r="M76" s="4349"/>
      <c r="N76" s="4349"/>
    </row>
    <row r="77" spans="1:14" ht="13.5" customHeight="1"/>
    <row r="78" spans="1:14" ht="13.5" customHeight="1"/>
    <row r="79" spans="1:14" ht="13.5" customHeight="1"/>
    <row r="80" spans="1:14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9" ht="8.25" customHeight="1"/>
  </sheetData>
  <mergeCells count="28">
    <mergeCell ref="E61:I61"/>
    <mergeCell ref="L61:N63"/>
    <mergeCell ref="C62:D62"/>
    <mergeCell ref="E62:I62"/>
    <mergeCell ref="C63:D63"/>
    <mergeCell ref="E63:I63"/>
    <mergeCell ref="I76:K76"/>
    <mergeCell ref="L76:N76"/>
    <mergeCell ref="J65:N65"/>
    <mergeCell ref="F67:J67"/>
    <mergeCell ref="C57:D57"/>
    <mergeCell ref="I57:J57"/>
    <mergeCell ref="L57:M57"/>
    <mergeCell ref="C60:D60"/>
    <mergeCell ref="I60:J60"/>
    <mergeCell ref="C58:D58"/>
    <mergeCell ref="L67:M67"/>
    <mergeCell ref="I58:J58"/>
    <mergeCell ref="C59:D59"/>
    <mergeCell ref="I59:J59"/>
    <mergeCell ref="A67:D67"/>
    <mergeCell ref="C61:D61"/>
    <mergeCell ref="A8:N8"/>
    <mergeCell ref="A2:E2"/>
    <mergeCell ref="A3:E3"/>
    <mergeCell ref="H2:N2"/>
    <mergeCell ref="H3:N3"/>
    <mergeCell ref="A5:N5"/>
  </mergeCells>
  <phoneticPr fontId="57" type="noConversion"/>
  <pageMargins left="0.35" right="0.2" top="0.25" bottom="0.25" header="0.3" footer="0.3"/>
  <pageSetup scale="90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topLeftCell="A31" workbookViewId="0">
      <selection activeCell="O13" sqref="O13"/>
    </sheetView>
  </sheetViews>
  <sheetFormatPr defaultColWidth="9.375" defaultRowHeight="12.75"/>
  <cols>
    <col min="1" max="1" width="4.375" style="117" customWidth="1"/>
    <col min="2" max="2" width="6.75" style="117" customWidth="1"/>
    <col min="3" max="3" width="7.875" style="117" customWidth="1"/>
    <col min="4" max="4" width="7.25" style="117" bestFit="1" customWidth="1"/>
    <col min="5" max="6" width="7.875" style="117" customWidth="1"/>
    <col min="7" max="7" width="4.875" style="117" bestFit="1" customWidth="1"/>
    <col min="8" max="8" width="7.875" style="117" customWidth="1"/>
    <col min="9" max="9" width="9.375" style="117" customWidth="1"/>
    <col min="10" max="10" width="7.875" style="117" customWidth="1"/>
    <col min="11" max="11" width="8.375" style="57" customWidth="1"/>
    <col min="12" max="12" width="9" style="57" customWidth="1"/>
    <col min="13" max="13" width="8.75" style="117" customWidth="1"/>
    <col min="14" max="14" width="9.375" style="117" bestFit="1" customWidth="1"/>
    <col min="15" max="16384" width="9.375" style="117"/>
  </cols>
  <sheetData>
    <row r="1" spans="1:14" s="131" customFormat="1">
      <c r="A1" s="4319" t="s">
        <v>164</v>
      </c>
      <c r="B1" s="4319"/>
      <c r="C1" s="4319"/>
      <c r="D1" s="4319"/>
      <c r="E1" s="4319"/>
      <c r="G1" s="4319" t="s">
        <v>165</v>
      </c>
      <c r="H1" s="4319"/>
      <c r="I1" s="4319"/>
      <c r="J1" s="4319"/>
      <c r="K1" s="4319"/>
      <c r="L1" s="4319"/>
      <c r="M1" s="4319"/>
    </row>
    <row r="2" spans="1:14" s="131" customFormat="1">
      <c r="A2" s="4319" t="s">
        <v>114</v>
      </c>
      <c r="B2" s="4319"/>
      <c r="C2" s="4319"/>
      <c r="D2" s="4319"/>
      <c r="E2" s="4319"/>
      <c r="G2" s="4319" t="s">
        <v>55</v>
      </c>
      <c r="H2" s="4319"/>
      <c r="I2" s="4319"/>
      <c r="J2" s="4319"/>
      <c r="K2" s="4319"/>
      <c r="L2" s="4319"/>
      <c r="M2" s="4319"/>
    </row>
    <row r="3" spans="1:14" s="131" customFormat="1">
      <c r="K3" s="57"/>
      <c r="L3" s="57"/>
      <c r="M3" s="117"/>
    </row>
    <row r="4" spans="1:14" s="131" customFormat="1" ht="15.75">
      <c r="A4" s="3751" t="s">
        <v>223</v>
      </c>
      <c r="B4" s="3751"/>
      <c r="C4" s="3751"/>
      <c r="D4" s="3751"/>
      <c r="E4" s="3751"/>
      <c r="F4" s="3751"/>
      <c r="G4" s="3751"/>
      <c r="H4" s="3751"/>
      <c r="I4" s="3751"/>
      <c r="J4" s="3751"/>
      <c r="K4" s="3751"/>
      <c r="L4" s="3751"/>
      <c r="M4" s="3751"/>
    </row>
    <row r="5" spans="1:14" s="131" customFormat="1">
      <c r="A5" s="4319" t="s">
        <v>226</v>
      </c>
      <c r="B5" s="4319"/>
      <c r="C5" s="4319"/>
      <c r="D5" s="4319"/>
      <c r="E5" s="4319"/>
      <c r="F5" s="4319"/>
      <c r="G5" s="4319"/>
      <c r="H5" s="4319"/>
      <c r="I5" s="4319"/>
      <c r="J5" s="4319"/>
      <c r="K5" s="4319"/>
      <c r="L5" s="4319"/>
      <c r="M5" s="4319"/>
    </row>
    <row r="6" spans="1:14" s="131" customFormat="1" ht="9" customHeight="1">
      <c r="A6" s="166"/>
      <c r="B6" s="166"/>
      <c r="C6" s="166"/>
      <c r="D6" s="166"/>
      <c r="E6" s="166"/>
      <c r="K6" s="221"/>
      <c r="L6" s="221"/>
    </row>
    <row r="7" spans="1:14" s="131" customFormat="1" ht="23.25" customHeight="1">
      <c r="A7" s="4274" t="s">
        <v>1</v>
      </c>
      <c r="B7" s="4274" t="s">
        <v>210</v>
      </c>
      <c r="C7" s="4370" t="s">
        <v>211</v>
      </c>
      <c r="D7" s="4371"/>
      <c r="E7" s="4371"/>
      <c r="F7" s="4274" t="s">
        <v>212</v>
      </c>
      <c r="G7" s="4274"/>
      <c r="H7" s="4274"/>
      <c r="I7" s="4274" t="s">
        <v>213</v>
      </c>
      <c r="J7" s="4274"/>
      <c r="K7" s="4274"/>
      <c r="L7" s="4372" t="s">
        <v>214</v>
      </c>
      <c r="M7" s="4274" t="s">
        <v>215</v>
      </c>
    </row>
    <row r="8" spans="1:14" s="131" customFormat="1" ht="71.25" customHeight="1">
      <c r="A8" s="4365"/>
      <c r="B8" s="4365"/>
      <c r="C8" s="167" t="s">
        <v>216</v>
      </c>
      <c r="D8" s="167" t="s">
        <v>217</v>
      </c>
      <c r="E8" s="167" t="s">
        <v>218</v>
      </c>
      <c r="F8" s="167" t="s">
        <v>216</v>
      </c>
      <c r="G8" s="167" t="s">
        <v>217</v>
      </c>
      <c r="H8" s="167" t="s">
        <v>219</v>
      </c>
      <c r="I8" s="167" t="s">
        <v>216</v>
      </c>
      <c r="J8" s="167" t="s">
        <v>217</v>
      </c>
      <c r="K8" s="222" t="s">
        <v>219</v>
      </c>
      <c r="L8" s="4373"/>
      <c r="M8" s="4365"/>
    </row>
    <row r="9" spans="1:14" s="118" customFormat="1" ht="19.5" customHeight="1">
      <c r="A9" s="168">
        <v>1</v>
      </c>
      <c r="B9" s="169">
        <v>42614</v>
      </c>
      <c r="C9" s="168"/>
      <c r="D9" s="170"/>
      <c r="E9" s="170"/>
      <c r="F9" s="171"/>
      <c r="G9" s="168"/>
      <c r="H9" s="171"/>
      <c r="I9" s="172" t="e">
        <f>#REF!</f>
        <v>#REF!</v>
      </c>
      <c r="J9" s="168">
        <v>40</v>
      </c>
      <c r="K9" s="171" t="e">
        <f>I9*J9%</f>
        <v>#REF!</v>
      </c>
      <c r="L9" s="223" t="e">
        <f t="shared" ref="L9:L38" si="0">E9+H9+K9</f>
        <v>#REF!</v>
      </c>
      <c r="M9" s="168"/>
      <c r="N9" s="173"/>
    </row>
    <row r="10" spans="1:14" s="118" customFormat="1" ht="19.5" customHeight="1">
      <c r="A10" s="174">
        <v>2</v>
      </c>
      <c r="B10" s="175">
        <v>42615</v>
      </c>
      <c r="C10" s="174"/>
      <c r="D10" s="176"/>
      <c r="E10" s="176"/>
      <c r="F10" s="177"/>
      <c r="G10" s="174"/>
      <c r="H10" s="177"/>
      <c r="I10" s="178" t="e">
        <f>#REF!</f>
        <v>#REF!</v>
      </c>
      <c r="J10" s="174">
        <v>40</v>
      </c>
      <c r="K10" s="177" t="e">
        <f>I10*J10%</f>
        <v>#REF!</v>
      </c>
      <c r="L10" s="224" t="e">
        <f t="shared" si="0"/>
        <v>#REF!</v>
      </c>
      <c r="M10" s="174"/>
      <c r="N10" s="173"/>
    </row>
    <row r="11" spans="1:14" s="118" customFormat="1" ht="19.5" customHeight="1">
      <c r="A11" s="174">
        <v>3</v>
      </c>
      <c r="B11" s="175">
        <v>42616</v>
      </c>
      <c r="C11" s="174"/>
      <c r="D11" s="176"/>
      <c r="E11" s="176"/>
      <c r="F11" s="177"/>
      <c r="G11" s="174"/>
      <c r="H11" s="177"/>
      <c r="I11" s="178"/>
      <c r="J11" s="174"/>
      <c r="K11" s="177">
        <f t="shared" ref="K11:K36" si="1">I11*J11%</f>
        <v>0</v>
      </c>
      <c r="L11" s="224">
        <f t="shared" si="0"/>
        <v>0</v>
      </c>
      <c r="M11" s="226" t="s">
        <v>228</v>
      </c>
      <c r="N11" s="173"/>
    </row>
    <row r="12" spans="1:14" s="118" customFormat="1" ht="19.5" customHeight="1">
      <c r="A12" s="174">
        <v>4</v>
      </c>
      <c r="B12" s="175">
        <v>42617</v>
      </c>
      <c r="C12" s="174"/>
      <c r="D12" s="176"/>
      <c r="E12" s="176"/>
      <c r="F12" s="177"/>
      <c r="G12" s="174"/>
      <c r="H12" s="177"/>
      <c r="I12" s="178"/>
      <c r="J12" s="174"/>
      <c r="K12" s="177">
        <f t="shared" si="1"/>
        <v>0</v>
      </c>
      <c r="L12" s="224">
        <f t="shared" si="0"/>
        <v>0</v>
      </c>
      <c r="M12" s="226" t="s">
        <v>228</v>
      </c>
      <c r="N12" s="173"/>
    </row>
    <row r="13" spans="1:14" s="118" customFormat="1" ht="19.5" customHeight="1">
      <c r="A13" s="174">
        <v>5</v>
      </c>
      <c r="B13" s="175">
        <v>42618</v>
      </c>
      <c r="C13" s="174"/>
      <c r="D13" s="176"/>
      <c r="E13" s="176"/>
      <c r="F13" s="177"/>
      <c r="G13" s="174"/>
      <c r="H13" s="177"/>
      <c r="I13" s="178"/>
      <c r="J13" s="174"/>
      <c r="K13" s="177">
        <f t="shared" si="1"/>
        <v>0</v>
      </c>
      <c r="L13" s="224">
        <f t="shared" si="0"/>
        <v>0</v>
      </c>
      <c r="M13" s="226" t="s">
        <v>228</v>
      </c>
      <c r="N13" s="173"/>
    </row>
    <row r="14" spans="1:14" s="118" customFormat="1" ht="19.5" customHeight="1">
      <c r="A14" s="174">
        <v>6</v>
      </c>
      <c r="B14" s="175">
        <v>42619</v>
      </c>
      <c r="C14" s="174"/>
      <c r="D14" s="176"/>
      <c r="E14" s="176"/>
      <c r="F14" s="177"/>
      <c r="G14" s="174"/>
      <c r="H14" s="177"/>
      <c r="I14" s="178"/>
      <c r="J14" s="174"/>
      <c r="K14" s="177">
        <f t="shared" si="1"/>
        <v>0</v>
      </c>
      <c r="L14" s="224">
        <f t="shared" si="0"/>
        <v>0</v>
      </c>
      <c r="M14" s="226" t="s">
        <v>228</v>
      </c>
      <c r="N14" s="173"/>
    </row>
    <row r="15" spans="1:14" s="118" customFormat="1" ht="19.5" customHeight="1">
      <c r="A15" s="174">
        <v>7</v>
      </c>
      <c r="B15" s="175">
        <v>42620</v>
      </c>
      <c r="C15" s="174"/>
      <c r="D15" s="176"/>
      <c r="E15" s="176"/>
      <c r="F15" s="177"/>
      <c r="G15" s="174"/>
      <c r="H15" s="177"/>
      <c r="I15" s="178"/>
      <c r="J15" s="174"/>
      <c r="K15" s="177">
        <f t="shared" si="1"/>
        <v>0</v>
      </c>
      <c r="L15" s="224">
        <f t="shared" si="0"/>
        <v>0</v>
      </c>
      <c r="M15" s="226" t="s">
        <v>228</v>
      </c>
      <c r="N15" s="173"/>
    </row>
    <row r="16" spans="1:14" s="118" customFormat="1" ht="19.5" customHeight="1">
      <c r="A16" s="174">
        <v>8</v>
      </c>
      <c r="B16" s="175">
        <v>42621</v>
      </c>
      <c r="C16" s="174"/>
      <c r="D16" s="176"/>
      <c r="E16" s="176"/>
      <c r="F16" s="177"/>
      <c r="G16" s="174"/>
      <c r="H16" s="177"/>
      <c r="I16" s="178" t="e">
        <f>#REF!</f>
        <v>#REF!</v>
      </c>
      <c r="J16" s="174">
        <v>40</v>
      </c>
      <c r="K16" s="177" t="e">
        <f t="shared" si="1"/>
        <v>#REF!</v>
      </c>
      <c r="L16" s="224" t="e">
        <f t="shared" si="0"/>
        <v>#REF!</v>
      </c>
      <c r="M16" s="226"/>
      <c r="N16" s="173"/>
    </row>
    <row r="17" spans="1:14" s="118" customFormat="1" ht="19.5" customHeight="1">
      <c r="A17" s="174">
        <v>9</v>
      </c>
      <c r="B17" s="175">
        <v>42622</v>
      </c>
      <c r="C17" s="174"/>
      <c r="D17" s="176"/>
      <c r="E17" s="176"/>
      <c r="F17" s="177"/>
      <c r="G17" s="174"/>
      <c r="H17" s="177"/>
      <c r="I17" s="178" t="e">
        <f>#REF!</f>
        <v>#REF!</v>
      </c>
      <c r="J17" s="174">
        <v>40</v>
      </c>
      <c r="K17" s="177" t="e">
        <f t="shared" si="1"/>
        <v>#REF!</v>
      </c>
      <c r="L17" s="224" t="e">
        <f t="shared" si="0"/>
        <v>#REF!</v>
      </c>
      <c r="M17" s="226"/>
      <c r="N17" s="173"/>
    </row>
    <row r="18" spans="1:14" s="118" customFormat="1" ht="19.5" customHeight="1">
      <c r="A18" s="174">
        <v>10</v>
      </c>
      <c r="B18" s="175">
        <v>42623</v>
      </c>
      <c r="C18" s="174"/>
      <c r="D18" s="176"/>
      <c r="E18" s="176"/>
      <c r="F18" s="177"/>
      <c r="G18" s="174"/>
      <c r="H18" s="177"/>
      <c r="I18" s="178" t="e">
        <f>#REF!</f>
        <v>#REF!</v>
      </c>
      <c r="J18" s="174">
        <v>40</v>
      </c>
      <c r="K18" s="177" t="e">
        <f t="shared" si="1"/>
        <v>#REF!</v>
      </c>
      <c r="L18" s="224" t="e">
        <f t="shared" si="0"/>
        <v>#REF!</v>
      </c>
      <c r="M18" s="226"/>
      <c r="N18" s="173"/>
    </row>
    <row r="19" spans="1:14" s="118" customFormat="1" ht="19.5" customHeight="1">
      <c r="A19" s="174">
        <v>11</v>
      </c>
      <c r="B19" s="175">
        <v>42624</v>
      </c>
      <c r="C19" s="174"/>
      <c r="D19" s="176"/>
      <c r="E19" s="176"/>
      <c r="F19" s="177"/>
      <c r="G19" s="174"/>
      <c r="H19" s="177"/>
      <c r="I19" s="178" t="e">
        <f>#REF!</f>
        <v>#REF!</v>
      </c>
      <c r="J19" s="174"/>
      <c r="K19" s="177" t="e">
        <f t="shared" si="1"/>
        <v>#REF!</v>
      </c>
      <c r="L19" s="224" t="e">
        <f t="shared" si="0"/>
        <v>#REF!</v>
      </c>
      <c r="M19" s="226" t="s">
        <v>229</v>
      </c>
      <c r="N19" s="173"/>
    </row>
    <row r="20" spans="1:14" s="118" customFormat="1" ht="19.5" customHeight="1">
      <c r="A20" s="174">
        <v>12</v>
      </c>
      <c r="B20" s="175">
        <v>42625</v>
      </c>
      <c r="C20" s="174"/>
      <c r="D20" s="176"/>
      <c r="E20" s="176"/>
      <c r="F20" s="177"/>
      <c r="G20" s="174"/>
      <c r="H20" s="177"/>
      <c r="I20" s="178"/>
      <c r="J20" s="174"/>
      <c r="K20" s="177">
        <f t="shared" si="1"/>
        <v>0</v>
      </c>
      <c r="L20" s="224">
        <f t="shared" si="0"/>
        <v>0</v>
      </c>
      <c r="M20" s="226" t="s">
        <v>228</v>
      </c>
      <c r="N20" s="173"/>
    </row>
    <row r="21" spans="1:14" s="118" customFormat="1" ht="19.5" customHeight="1">
      <c r="A21" s="174">
        <v>13</v>
      </c>
      <c r="B21" s="175">
        <v>42626</v>
      </c>
      <c r="C21" s="174"/>
      <c r="D21" s="174"/>
      <c r="E21" s="174"/>
      <c r="F21" s="177"/>
      <c r="G21" s="174"/>
      <c r="H21" s="177"/>
      <c r="I21" s="178"/>
      <c r="J21" s="174"/>
      <c r="K21" s="177">
        <f t="shared" si="1"/>
        <v>0</v>
      </c>
      <c r="L21" s="224">
        <f t="shared" si="0"/>
        <v>0</v>
      </c>
      <c r="M21" s="226" t="s">
        <v>228</v>
      </c>
      <c r="N21" s="173"/>
    </row>
    <row r="22" spans="1:14" s="118" customFormat="1" ht="19.5" customHeight="1">
      <c r="A22" s="174">
        <v>14</v>
      </c>
      <c r="B22" s="175">
        <v>42627</v>
      </c>
      <c r="C22" s="174"/>
      <c r="D22" s="174"/>
      <c r="E22" s="174"/>
      <c r="F22" s="177"/>
      <c r="G22" s="174"/>
      <c r="H22" s="177"/>
      <c r="I22" s="178" t="e">
        <f>#REF!</f>
        <v>#REF!</v>
      </c>
      <c r="J22" s="174">
        <v>40</v>
      </c>
      <c r="K22" s="177" t="e">
        <f t="shared" si="1"/>
        <v>#REF!</v>
      </c>
      <c r="L22" s="224" t="e">
        <f t="shared" si="0"/>
        <v>#REF!</v>
      </c>
      <c r="M22" s="226"/>
      <c r="N22" s="173"/>
    </row>
    <row r="23" spans="1:14" s="118" customFormat="1" ht="19.5" customHeight="1">
      <c r="A23" s="174">
        <v>15</v>
      </c>
      <c r="B23" s="175">
        <v>42628</v>
      </c>
      <c r="C23" s="174"/>
      <c r="D23" s="174"/>
      <c r="E23" s="174"/>
      <c r="F23" s="177"/>
      <c r="G23" s="174"/>
      <c r="H23" s="177"/>
      <c r="I23" s="178" t="e">
        <f>#REF!</f>
        <v>#REF!</v>
      </c>
      <c r="J23" s="174">
        <v>40</v>
      </c>
      <c r="K23" s="177" t="e">
        <f>I23*J23%</f>
        <v>#REF!</v>
      </c>
      <c r="L23" s="224" t="e">
        <f>E23+H23+K23</f>
        <v>#REF!</v>
      </c>
      <c r="M23" s="226"/>
      <c r="N23" s="173"/>
    </row>
    <row r="24" spans="1:14" s="118" customFormat="1" ht="19.5" customHeight="1">
      <c r="A24" s="174">
        <v>16</v>
      </c>
      <c r="B24" s="175">
        <v>42629</v>
      </c>
      <c r="C24" s="174"/>
      <c r="D24" s="174"/>
      <c r="E24" s="174"/>
      <c r="F24" s="177"/>
      <c r="G24" s="174"/>
      <c r="H24" s="177"/>
      <c r="I24" s="178" t="e">
        <f>#REF!</f>
        <v>#REF!</v>
      </c>
      <c r="J24" s="174">
        <v>40</v>
      </c>
      <c r="K24" s="177" t="e">
        <f>I24*J24%</f>
        <v>#REF!</v>
      </c>
      <c r="L24" s="224" t="e">
        <f>E24+H24+K24</f>
        <v>#REF!</v>
      </c>
      <c r="M24" s="226"/>
      <c r="N24" s="173"/>
    </row>
    <row r="25" spans="1:14" s="118" customFormat="1" ht="19.5" customHeight="1">
      <c r="A25" s="174">
        <v>17</v>
      </c>
      <c r="B25" s="175">
        <v>42630</v>
      </c>
      <c r="C25" s="174"/>
      <c r="D25" s="174"/>
      <c r="E25" s="174"/>
      <c r="F25" s="177"/>
      <c r="G25" s="174"/>
      <c r="H25" s="177"/>
      <c r="I25" s="178" t="e">
        <f>#REF!</f>
        <v>#REF!</v>
      </c>
      <c r="J25" s="174">
        <v>40</v>
      </c>
      <c r="K25" s="177" t="e">
        <f>I25*J25%</f>
        <v>#REF!</v>
      </c>
      <c r="L25" s="224" t="e">
        <f>E25+H25+K25</f>
        <v>#REF!</v>
      </c>
      <c r="M25" s="174"/>
      <c r="N25" s="173"/>
    </row>
    <row r="26" spans="1:14" s="118" customFormat="1" ht="19.5" customHeight="1">
      <c r="A26" s="174">
        <v>18</v>
      </c>
      <c r="B26" s="175">
        <v>42631</v>
      </c>
      <c r="C26" s="174"/>
      <c r="D26" s="174"/>
      <c r="E26" s="174"/>
      <c r="F26" s="177"/>
      <c r="G26" s="174"/>
      <c r="H26" s="177"/>
      <c r="I26" s="178" t="e">
        <f>#REF!</f>
        <v>#REF!</v>
      </c>
      <c r="J26" s="174">
        <v>40</v>
      </c>
      <c r="K26" s="177" t="e">
        <f>I26*J26%</f>
        <v>#REF!</v>
      </c>
      <c r="L26" s="224" t="e">
        <f>E26+H26+K26</f>
        <v>#REF!</v>
      </c>
      <c r="M26" s="174"/>
      <c r="N26" s="173"/>
    </row>
    <row r="27" spans="1:14" s="118" customFormat="1" ht="19.5" customHeight="1">
      <c r="A27" s="174">
        <v>19</v>
      </c>
      <c r="B27" s="175">
        <v>42632</v>
      </c>
      <c r="C27" s="174"/>
      <c r="D27" s="174"/>
      <c r="E27" s="174"/>
      <c r="F27" s="177"/>
      <c r="G27" s="174"/>
      <c r="H27" s="177"/>
      <c r="I27" s="178" t="e">
        <f>#REF!</f>
        <v>#REF!</v>
      </c>
      <c r="J27" s="174">
        <v>40</v>
      </c>
      <c r="K27" s="177" t="e">
        <f>I27*J27%</f>
        <v>#REF!</v>
      </c>
      <c r="L27" s="224" t="e">
        <f>E27+H27+K27</f>
        <v>#REF!</v>
      </c>
      <c r="M27" s="174"/>
      <c r="N27" s="173"/>
    </row>
    <row r="28" spans="1:14" s="118" customFormat="1" ht="19.5" customHeight="1">
      <c r="A28" s="174">
        <v>20</v>
      </c>
      <c r="B28" s="175">
        <v>42633</v>
      </c>
      <c r="C28" s="174"/>
      <c r="D28" s="174"/>
      <c r="E28" s="174"/>
      <c r="F28" s="177"/>
      <c r="G28" s="174"/>
      <c r="H28" s="177"/>
      <c r="I28" s="178" t="e">
        <f>#REF!</f>
        <v>#REF!</v>
      </c>
      <c r="J28" s="174">
        <v>40</v>
      </c>
      <c r="K28" s="177" t="e">
        <f t="shared" si="1"/>
        <v>#REF!</v>
      </c>
      <c r="L28" s="224" t="e">
        <f t="shared" si="0"/>
        <v>#REF!</v>
      </c>
      <c r="M28" s="174"/>
      <c r="N28" s="173"/>
    </row>
    <row r="29" spans="1:14" s="118" customFormat="1" ht="19.5" customHeight="1">
      <c r="A29" s="174">
        <v>21</v>
      </c>
      <c r="B29" s="175">
        <v>42634</v>
      </c>
      <c r="C29" s="174"/>
      <c r="D29" s="174"/>
      <c r="E29" s="174"/>
      <c r="F29" s="177"/>
      <c r="G29" s="174"/>
      <c r="H29" s="177"/>
      <c r="I29" s="178" t="e">
        <f>#REF!</f>
        <v>#REF!</v>
      </c>
      <c r="J29" s="174">
        <v>40</v>
      </c>
      <c r="K29" s="177" t="e">
        <f t="shared" si="1"/>
        <v>#REF!</v>
      </c>
      <c r="L29" s="224" t="e">
        <f t="shared" si="0"/>
        <v>#REF!</v>
      </c>
      <c r="M29" s="174"/>
      <c r="N29" s="173"/>
    </row>
    <row r="30" spans="1:14" s="118" customFormat="1" ht="19.5" customHeight="1">
      <c r="A30" s="174">
        <v>22</v>
      </c>
      <c r="B30" s="175">
        <v>42635</v>
      </c>
      <c r="C30" s="174"/>
      <c r="D30" s="174"/>
      <c r="E30" s="174"/>
      <c r="F30" s="177"/>
      <c r="G30" s="174"/>
      <c r="H30" s="177"/>
      <c r="I30" s="179"/>
      <c r="J30" s="174"/>
      <c r="K30" s="177">
        <f t="shared" si="1"/>
        <v>0</v>
      </c>
      <c r="L30" s="224">
        <f t="shared" si="0"/>
        <v>0</v>
      </c>
      <c r="M30" s="226" t="s">
        <v>228</v>
      </c>
      <c r="N30" s="173"/>
    </row>
    <row r="31" spans="1:14" s="118" customFormat="1" ht="19.5" customHeight="1">
      <c r="A31" s="174">
        <v>23</v>
      </c>
      <c r="B31" s="175">
        <v>42636</v>
      </c>
      <c r="C31" s="174"/>
      <c r="D31" s="174"/>
      <c r="E31" s="174"/>
      <c r="F31" s="177"/>
      <c r="G31" s="174"/>
      <c r="H31" s="177"/>
      <c r="I31" s="179" t="e">
        <f>#REF!</f>
        <v>#REF!</v>
      </c>
      <c r="J31" s="174">
        <v>40</v>
      </c>
      <c r="K31" s="177" t="e">
        <f t="shared" si="1"/>
        <v>#REF!</v>
      </c>
      <c r="L31" s="224" t="e">
        <f t="shared" si="0"/>
        <v>#REF!</v>
      </c>
      <c r="M31" s="174"/>
      <c r="N31" s="173"/>
    </row>
    <row r="32" spans="1:14" s="118" customFormat="1" ht="19.5" customHeight="1">
      <c r="A32" s="174">
        <v>24</v>
      </c>
      <c r="B32" s="175">
        <v>42637</v>
      </c>
      <c r="C32" s="174"/>
      <c r="D32" s="174"/>
      <c r="E32" s="174"/>
      <c r="F32" s="177"/>
      <c r="G32" s="174"/>
      <c r="H32" s="177"/>
      <c r="I32" s="178" t="e">
        <f>#REF!</f>
        <v>#REF!</v>
      </c>
      <c r="J32" s="174">
        <v>40</v>
      </c>
      <c r="K32" s="177" t="e">
        <f t="shared" si="1"/>
        <v>#REF!</v>
      </c>
      <c r="L32" s="224" t="e">
        <f t="shared" si="0"/>
        <v>#REF!</v>
      </c>
      <c r="M32" s="174"/>
      <c r="N32" s="173"/>
    </row>
    <row r="33" spans="1:14" s="118" customFormat="1" ht="19.5" customHeight="1">
      <c r="A33" s="174">
        <v>25</v>
      </c>
      <c r="B33" s="175">
        <v>42638</v>
      </c>
      <c r="C33" s="174"/>
      <c r="D33" s="174"/>
      <c r="E33" s="174"/>
      <c r="F33" s="177"/>
      <c r="G33" s="174"/>
      <c r="H33" s="177"/>
      <c r="I33" s="178" t="e">
        <f>#REF!</f>
        <v>#REF!</v>
      </c>
      <c r="J33" s="174">
        <v>40</v>
      </c>
      <c r="K33" s="177" t="e">
        <f>I33*J33%</f>
        <v>#REF!</v>
      </c>
      <c r="L33" s="224" t="e">
        <f>E33+H33+K33</f>
        <v>#REF!</v>
      </c>
      <c r="M33" s="174"/>
      <c r="N33" s="173"/>
    </row>
    <row r="34" spans="1:14" s="118" customFormat="1" ht="19.5" customHeight="1">
      <c r="A34" s="174">
        <v>26</v>
      </c>
      <c r="B34" s="175">
        <v>42639</v>
      </c>
      <c r="C34" s="174"/>
      <c r="D34" s="174"/>
      <c r="E34" s="174"/>
      <c r="F34" s="177"/>
      <c r="G34" s="174"/>
      <c r="H34" s="177"/>
      <c r="I34" s="178" t="e">
        <f>#REF!</f>
        <v>#REF!</v>
      </c>
      <c r="J34" s="174">
        <v>40</v>
      </c>
      <c r="K34" s="177" t="e">
        <f>I34*J34%</f>
        <v>#REF!</v>
      </c>
      <c r="L34" s="224" t="e">
        <f>E34+H34+K34</f>
        <v>#REF!</v>
      </c>
      <c r="M34" s="174"/>
      <c r="N34" s="173"/>
    </row>
    <row r="35" spans="1:14" s="118" customFormat="1" ht="19.5" customHeight="1">
      <c r="A35" s="174">
        <v>27</v>
      </c>
      <c r="B35" s="175">
        <v>42640</v>
      </c>
      <c r="C35" s="174"/>
      <c r="D35" s="174"/>
      <c r="E35" s="174"/>
      <c r="F35" s="177"/>
      <c r="G35" s="174"/>
      <c r="H35" s="177"/>
      <c r="I35" s="178" t="e">
        <f>#REF!</f>
        <v>#REF!</v>
      </c>
      <c r="J35" s="174">
        <v>41</v>
      </c>
      <c r="K35" s="177" t="e">
        <f>I35*J35%</f>
        <v>#REF!</v>
      </c>
      <c r="L35" s="224" t="e">
        <f>E35+H35+K35</f>
        <v>#REF!</v>
      </c>
      <c r="M35" s="174"/>
      <c r="N35" s="173"/>
    </row>
    <row r="36" spans="1:14" s="118" customFormat="1" ht="19.5" customHeight="1">
      <c r="A36" s="174">
        <v>28</v>
      </c>
      <c r="B36" s="175">
        <v>42641</v>
      </c>
      <c r="C36" s="174"/>
      <c r="D36" s="174"/>
      <c r="E36" s="174"/>
      <c r="F36" s="177"/>
      <c r="G36" s="174"/>
      <c r="H36" s="177"/>
      <c r="I36" s="178" t="e">
        <f>#REF!</f>
        <v>#REF!</v>
      </c>
      <c r="J36" s="174"/>
      <c r="K36" s="177" t="e">
        <f t="shared" si="1"/>
        <v>#REF!</v>
      </c>
      <c r="L36" s="224" t="e">
        <f t="shared" si="0"/>
        <v>#REF!</v>
      </c>
      <c r="M36" s="226" t="s">
        <v>230</v>
      </c>
      <c r="N36" s="173"/>
    </row>
    <row r="37" spans="1:14" s="118" customFormat="1" ht="19.5" customHeight="1">
      <c r="A37" s="174">
        <v>29</v>
      </c>
      <c r="B37" s="175">
        <v>42642</v>
      </c>
      <c r="C37" s="174"/>
      <c r="D37" s="174"/>
      <c r="E37" s="174"/>
      <c r="F37" s="177"/>
      <c r="G37" s="174"/>
      <c r="H37" s="177"/>
      <c r="I37" s="178" t="e">
        <f>#REF!</f>
        <v>#REF!</v>
      </c>
      <c r="J37" s="174"/>
      <c r="K37" s="177" t="e">
        <f>I37*J37%</f>
        <v>#REF!</v>
      </c>
      <c r="L37" s="224" t="e">
        <f t="shared" si="0"/>
        <v>#REF!</v>
      </c>
      <c r="M37" s="226" t="s">
        <v>230</v>
      </c>
      <c r="N37" s="173"/>
    </row>
    <row r="38" spans="1:14" s="118" customFormat="1" ht="19.5" customHeight="1">
      <c r="A38" s="174">
        <v>30</v>
      </c>
      <c r="B38" s="175">
        <v>42643</v>
      </c>
      <c r="C38" s="180"/>
      <c r="D38" s="180"/>
      <c r="E38" s="180"/>
      <c r="F38" s="181"/>
      <c r="G38" s="180"/>
      <c r="H38" s="181"/>
      <c r="I38" s="182" t="e">
        <f>#REF!</f>
        <v>#REF!</v>
      </c>
      <c r="J38" s="180"/>
      <c r="K38" s="177" t="e">
        <f>I38*J38%</f>
        <v>#REF!</v>
      </c>
      <c r="L38" s="224" t="e">
        <f t="shared" si="0"/>
        <v>#REF!</v>
      </c>
      <c r="M38" s="226" t="s">
        <v>230</v>
      </c>
      <c r="N38" s="173"/>
    </row>
    <row r="39" spans="1:14" s="118" customFormat="1" ht="19.5" customHeight="1">
      <c r="A39" s="4367" t="s">
        <v>21</v>
      </c>
      <c r="B39" s="4368"/>
      <c r="C39" s="183">
        <f>SUM(C9:C38)</f>
        <v>0</v>
      </c>
      <c r="D39" s="183"/>
      <c r="E39" s="183">
        <f>SUM(E9:E38)</f>
        <v>0</v>
      </c>
      <c r="F39" s="183">
        <f>SUM(F9:F38)</f>
        <v>0</v>
      </c>
      <c r="G39" s="183"/>
      <c r="H39" s="183">
        <f>SUM(H9:H38)</f>
        <v>0</v>
      </c>
      <c r="I39" s="184" t="e">
        <f>SUM(I9:I38)</f>
        <v>#REF!</v>
      </c>
      <c r="J39" s="183"/>
      <c r="K39" s="183" t="e">
        <f>SUM(K9:K38)</f>
        <v>#REF!</v>
      </c>
      <c r="L39" s="183" t="e">
        <f>SUM(L9:L38)</f>
        <v>#REF!</v>
      </c>
      <c r="M39" s="185"/>
      <c r="N39" s="186"/>
    </row>
    <row r="41" spans="1:14">
      <c r="J41" s="4369" t="s">
        <v>227</v>
      </c>
      <c r="K41" s="4369"/>
      <c r="L41" s="4369"/>
      <c r="M41" s="4369"/>
    </row>
    <row r="42" spans="1:14">
      <c r="A42" s="4319" t="s">
        <v>167</v>
      </c>
      <c r="B42" s="4319"/>
      <c r="C42" s="4319"/>
      <c r="D42" s="4319"/>
      <c r="E42" s="4319"/>
      <c r="F42" s="4319" t="s">
        <v>220</v>
      </c>
      <c r="G42" s="4319"/>
      <c r="H42" s="4319"/>
      <c r="I42" s="4319"/>
      <c r="J42" s="4319" t="s">
        <v>168</v>
      </c>
      <c r="K42" s="4319"/>
      <c r="L42" s="4319"/>
      <c r="M42" s="4319"/>
    </row>
    <row r="43" spans="1:14">
      <c r="J43" s="118"/>
      <c r="K43" s="225"/>
      <c r="L43" s="225"/>
      <c r="M43" s="118"/>
    </row>
    <row r="44" spans="1:14">
      <c r="J44" s="118"/>
      <c r="K44" s="225"/>
      <c r="L44" s="225"/>
      <c r="M44" s="118"/>
    </row>
    <row r="45" spans="1:14">
      <c r="A45" s="131"/>
      <c r="B45" s="131"/>
      <c r="C45" s="131"/>
      <c r="D45" s="131"/>
      <c r="E45" s="131"/>
      <c r="F45" s="4319"/>
      <c r="G45" s="4319"/>
      <c r="H45" s="4319"/>
      <c r="I45" s="4319"/>
      <c r="J45" s="131"/>
      <c r="K45" s="221"/>
      <c r="L45" s="221"/>
      <c r="M45" s="131"/>
    </row>
    <row r="46" spans="1:14">
      <c r="A46" s="131"/>
      <c r="B46" s="131"/>
      <c r="C46" s="131"/>
      <c r="D46" s="131"/>
      <c r="E46" s="131"/>
      <c r="F46" s="131"/>
      <c r="G46" s="131"/>
      <c r="H46" s="131"/>
      <c r="I46" s="131"/>
      <c r="J46" s="131"/>
      <c r="K46" s="221"/>
      <c r="L46" s="221"/>
      <c r="M46" s="131"/>
    </row>
    <row r="49" spans="1:13" s="134" customFormat="1" ht="13.5">
      <c r="A49" s="4366" t="s">
        <v>94</v>
      </c>
      <c r="B49" s="4366"/>
      <c r="C49" s="4366"/>
      <c r="D49" s="4366"/>
      <c r="E49" s="4366"/>
      <c r="F49" s="4366" t="s">
        <v>96</v>
      </c>
      <c r="G49" s="4366"/>
      <c r="H49" s="4366"/>
      <c r="I49" s="4366"/>
      <c r="J49" s="4366" t="s">
        <v>98</v>
      </c>
      <c r="K49" s="4366"/>
      <c r="L49" s="4366"/>
      <c r="M49" s="4366"/>
    </row>
  </sheetData>
  <mergeCells count="22">
    <mergeCell ref="M7:M8"/>
    <mergeCell ref="A7:A8"/>
    <mergeCell ref="B7:B8"/>
    <mergeCell ref="A42:E42"/>
    <mergeCell ref="A49:E49"/>
    <mergeCell ref="F49:I49"/>
    <mergeCell ref="J49:M49"/>
    <mergeCell ref="A39:B39"/>
    <mergeCell ref="J41:M41"/>
    <mergeCell ref="J42:M42"/>
    <mergeCell ref="F42:I42"/>
    <mergeCell ref="F45:I45"/>
    <mergeCell ref="C7:E7"/>
    <mergeCell ref="F7:H7"/>
    <mergeCell ref="I7:K7"/>
    <mergeCell ref="L7:L8"/>
    <mergeCell ref="A1:E1"/>
    <mergeCell ref="G1:M1"/>
    <mergeCell ref="A2:E2"/>
    <mergeCell ref="G2:M2"/>
    <mergeCell ref="A5:M5"/>
    <mergeCell ref="A4:M4"/>
  </mergeCells>
  <phoneticPr fontId="57" type="noConversion"/>
  <pageMargins left="0.28000000000000003" right="0.2" top="0.54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AB111"/>
  <sheetViews>
    <sheetView topLeftCell="A67" zoomScale="70" zoomScaleNormal="70" workbookViewId="0">
      <selection activeCell="S65" sqref="S65:S66"/>
    </sheetView>
  </sheetViews>
  <sheetFormatPr defaultColWidth="9.375" defaultRowHeight="16.5"/>
  <cols>
    <col min="1" max="1" width="4.375" style="156" customWidth="1"/>
    <col min="2" max="2" width="5.375" style="156" hidden="1" customWidth="1"/>
    <col min="3" max="3" width="23.25" style="280" customWidth="1"/>
    <col min="4" max="4" width="8.375" style="156" customWidth="1"/>
    <col min="5" max="5" width="12.625" style="280" bestFit="1" customWidth="1"/>
    <col min="6" max="6" width="17.875" style="280" customWidth="1"/>
    <col min="7" max="7" width="12.25" style="156" customWidth="1"/>
    <col min="8" max="8" width="10.125" style="156" customWidth="1"/>
    <col min="9" max="9" width="8.875" style="156" customWidth="1"/>
    <col min="10" max="10" width="12.25" style="156" hidden="1" customWidth="1"/>
    <col min="11" max="11" width="16.75" style="1625" customWidth="1"/>
    <col min="12" max="12" width="19" style="156" customWidth="1"/>
    <col min="13" max="13" width="16.125" style="156" customWidth="1"/>
    <col min="14" max="14" width="17.375" style="156" customWidth="1"/>
    <col min="15" max="15" width="0.125" style="156" hidden="1" customWidth="1"/>
    <col min="16" max="16" width="19.625" style="156" customWidth="1"/>
    <col min="17" max="17" width="9.75" style="156" hidden="1" customWidth="1"/>
    <col min="18" max="18" width="13.75" style="156" hidden="1" customWidth="1"/>
    <col min="19" max="19" width="16.75" style="156" customWidth="1"/>
    <col min="20" max="20" width="13.25" style="156" customWidth="1"/>
    <col min="21" max="21" width="19.25" style="156" bestFit="1" customWidth="1"/>
    <col min="22" max="22" width="13.375" style="156" customWidth="1"/>
    <col min="23" max="23" width="18.25" style="156" customWidth="1"/>
    <col min="24" max="24" width="16.125" style="156" customWidth="1"/>
    <col min="25" max="25" width="16.25" style="156" bestFit="1" customWidth="1"/>
    <col min="26" max="26" width="14.625" style="156" customWidth="1"/>
    <col min="27" max="27" width="15" style="156" customWidth="1"/>
    <col min="28" max="28" width="20.25" style="156" customWidth="1"/>
    <col min="29" max="16384" width="9.375" style="156"/>
  </cols>
  <sheetData>
    <row r="1" spans="1:27" ht="16.5" customHeight="1">
      <c r="A1" s="3670" t="s">
        <v>574</v>
      </c>
      <c r="B1" s="3670"/>
      <c r="C1" s="3670"/>
      <c r="D1" s="3670"/>
      <c r="E1" s="3670"/>
      <c r="F1" s="3670"/>
      <c r="G1" s="1535"/>
      <c r="H1" s="1535"/>
      <c r="I1" s="1535"/>
      <c r="J1" s="1535"/>
      <c r="K1" s="1535"/>
      <c r="L1" s="3666" t="s">
        <v>165</v>
      </c>
      <c r="M1" s="3666"/>
      <c r="N1" s="3666"/>
      <c r="O1" s="3666"/>
      <c r="P1" s="3666"/>
      <c r="Q1" s="3666"/>
      <c r="R1" s="3666"/>
      <c r="S1" s="3666"/>
      <c r="T1" s="3666"/>
    </row>
    <row r="2" spans="1:27" ht="17.25" customHeight="1">
      <c r="A2" s="3666" t="s">
        <v>541</v>
      </c>
      <c r="B2" s="3666"/>
      <c r="C2" s="3666"/>
      <c r="D2" s="3666"/>
      <c r="E2" s="3666"/>
      <c r="F2" s="3666"/>
      <c r="G2" s="1536"/>
      <c r="H2" s="1536"/>
      <c r="I2" s="1536"/>
      <c r="J2" s="1536"/>
      <c r="K2" s="1536"/>
      <c r="L2" s="3666" t="s">
        <v>171</v>
      </c>
      <c r="M2" s="3666"/>
      <c r="N2" s="3666"/>
      <c r="O2" s="3666"/>
      <c r="P2" s="3666"/>
      <c r="Q2" s="3666"/>
      <c r="R2" s="3666"/>
      <c r="S2" s="3666"/>
      <c r="T2" s="3666"/>
    </row>
    <row r="3" spans="1:27" ht="18" customHeight="1">
      <c r="A3" s="693"/>
      <c r="B3" s="693"/>
      <c r="C3" s="693"/>
      <c r="D3" s="693"/>
      <c r="E3" s="693"/>
      <c r="F3" s="693"/>
      <c r="G3" s="693"/>
      <c r="H3" s="693"/>
      <c r="I3" s="693"/>
      <c r="J3" s="693"/>
      <c r="K3" s="1622"/>
      <c r="L3" s="693"/>
      <c r="M3" s="693"/>
      <c r="N3" s="693"/>
      <c r="O3" s="693"/>
      <c r="P3" s="693"/>
      <c r="Q3" s="693"/>
      <c r="R3" s="693"/>
      <c r="S3" s="693"/>
      <c r="T3" s="693"/>
    </row>
    <row r="4" spans="1:27" ht="18.75">
      <c r="A4" s="3672" t="s">
        <v>1178</v>
      </c>
      <c r="B4" s="3672"/>
      <c r="C4" s="3672"/>
      <c r="D4" s="3672"/>
      <c r="E4" s="3672"/>
      <c r="F4" s="3672"/>
      <c r="G4" s="3672"/>
      <c r="H4" s="3672"/>
      <c r="I4" s="3672"/>
      <c r="J4" s="3672"/>
      <c r="K4" s="3672"/>
      <c r="L4" s="3672"/>
      <c r="M4" s="3672"/>
      <c r="N4" s="3672"/>
      <c r="O4" s="3672"/>
      <c r="P4" s="3672"/>
      <c r="Q4" s="3672"/>
      <c r="R4" s="3672"/>
      <c r="S4" s="3672"/>
      <c r="T4" s="3672"/>
    </row>
    <row r="5" spans="1:27" ht="18.75">
      <c r="A5" s="3672"/>
      <c r="B5" s="3672"/>
      <c r="C5" s="3672"/>
      <c r="D5" s="3672"/>
      <c r="E5" s="3672"/>
      <c r="F5" s="3672"/>
      <c r="G5" s="3672"/>
      <c r="H5" s="3672"/>
      <c r="I5" s="3672"/>
      <c r="J5" s="3672"/>
      <c r="K5" s="3672"/>
      <c r="L5" s="3672"/>
      <c r="M5" s="3672"/>
      <c r="N5" s="3672"/>
      <c r="O5" s="3672"/>
      <c r="P5" s="3672"/>
      <c r="Q5" s="3672"/>
      <c r="R5" s="3672"/>
      <c r="S5" s="3672"/>
      <c r="T5" s="3672"/>
    </row>
    <row r="6" spans="1:27" ht="18.75">
      <c r="A6" s="1379"/>
      <c r="B6" s="1379"/>
      <c r="C6" s="1389" t="s">
        <v>847</v>
      </c>
      <c r="D6" s="1389"/>
      <c r="E6" s="4374">
        <v>21555</v>
      </c>
      <c r="F6" s="4374"/>
      <c r="G6" s="1379"/>
      <c r="H6" s="1379"/>
      <c r="I6" s="1379"/>
      <c r="J6" s="1379"/>
      <c r="K6" s="1621"/>
      <c r="L6" s="1379"/>
      <c r="M6" s="1379"/>
      <c r="N6" s="1379"/>
      <c r="O6" s="1379"/>
      <c r="P6" s="1379"/>
      <c r="Q6" s="1379"/>
      <c r="R6" s="1379"/>
      <c r="S6" s="1379"/>
      <c r="T6" s="1379"/>
    </row>
    <row r="7" spans="1:27" ht="21" customHeight="1">
      <c r="C7" s="1390" t="s">
        <v>848</v>
      </c>
      <c r="D7" s="1391"/>
      <c r="E7" s="3937">
        <v>0.98939999999999995</v>
      </c>
      <c r="F7" s="3937"/>
    </row>
    <row r="8" spans="1:27" ht="19.5" customHeight="1">
      <c r="C8" s="1390" t="s">
        <v>894</v>
      </c>
      <c r="D8" s="1391"/>
      <c r="E8" s="3913">
        <v>670.65</v>
      </c>
      <c r="F8" s="3913"/>
    </row>
    <row r="9" spans="1:27" ht="15" customHeight="1">
      <c r="A9" s="3802" t="s">
        <v>1</v>
      </c>
      <c r="B9" s="3802" t="s">
        <v>2</v>
      </c>
      <c r="C9" s="3802"/>
      <c r="D9" s="799"/>
      <c r="E9" s="3802" t="s">
        <v>5</v>
      </c>
      <c r="F9" s="3812" t="s">
        <v>853</v>
      </c>
      <c r="G9" s="3802" t="s">
        <v>6</v>
      </c>
      <c r="H9" s="3802"/>
      <c r="I9" s="3802"/>
      <c r="J9" s="3802"/>
      <c r="K9" s="3802"/>
      <c r="L9" s="3802"/>
      <c r="M9" s="3802"/>
      <c r="N9" s="3802" t="s">
        <v>233</v>
      </c>
      <c r="O9" s="3802" t="s">
        <v>8</v>
      </c>
      <c r="P9" s="4029" t="s">
        <v>61</v>
      </c>
      <c r="Q9" s="4029" t="s">
        <v>11</v>
      </c>
      <c r="R9" s="4029" t="s">
        <v>12</v>
      </c>
      <c r="S9" s="4029" t="s">
        <v>16</v>
      </c>
      <c r="T9" s="4029" t="s">
        <v>17</v>
      </c>
    </row>
    <row r="10" spans="1:27" ht="66.75" customHeight="1">
      <c r="A10" s="3802"/>
      <c r="B10" s="799" t="s">
        <v>3</v>
      </c>
      <c r="C10" s="799" t="s">
        <v>4</v>
      </c>
      <c r="D10" s="799" t="s">
        <v>239</v>
      </c>
      <c r="E10" s="3802"/>
      <c r="F10" s="3814"/>
      <c r="G10" s="779" t="s">
        <v>50</v>
      </c>
      <c r="H10" s="779" t="s">
        <v>707</v>
      </c>
      <c r="I10" s="799" t="s">
        <v>623</v>
      </c>
      <c r="J10" s="779" t="s">
        <v>799</v>
      </c>
      <c r="K10" s="800" t="s">
        <v>15</v>
      </c>
      <c r="L10" s="779" t="s">
        <v>56</v>
      </c>
      <c r="M10" s="779" t="s">
        <v>57</v>
      </c>
      <c r="N10" s="3802"/>
      <c r="O10" s="3802"/>
      <c r="P10" s="4029"/>
      <c r="Q10" s="3802"/>
      <c r="R10" s="3802"/>
      <c r="S10" s="3802"/>
      <c r="T10" s="3802"/>
      <c r="AA10" s="798">
        <f>20*100</f>
        <v>2000</v>
      </c>
    </row>
    <row r="11" spans="1:27" s="801" customFormat="1" ht="15.75" customHeight="1">
      <c r="A11" s="799">
        <v>1</v>
      </c>
      <c r="B11" s="799">
        <v>2</v>
      </c>
      <c r="C11" s="799">
        <v>3</v>
      </c>
      <c r="D11" s="799">
        <v>4</v>
      </c>
      <c r="E11" s="799">
        <v>5</v>
      </c>
      <c r="F11" s="799"/>
      <c r="G11" s="799">
        <v>6</v>
      </c>
      <c r="H11" s="799">
        <v>7</v>
      </c>
      <c r="I11" s="799">
        <v>8</v>
      </c>
      <c r="J11" s="799"/>
      <c r="K11" s="1624">
        <v>9</v>
      </c>
      <c r="L11" s="799">
        <v>11</v>
      </c>
      <c r="M11" s="799">
        <v>12</v>
      </c>
      <c r="N11" s="799">
        <v>13</v>
      </c>
      <c r="O11" s="799">
        <v>14</v>
      </c>
      <c r="P11" s="799">
        <v>16</v>
      </c>
      <c r="Q11" s="799">
        <v>17</v>
      </c>
      <c r="R11" s="799">
        <v>18</v>
      </c>
      <c r="S11" s="799">
        <v>19</v>
      </c>
      <c r="T11" s="799">
        <v>20</v>
      </c>
    </row>
    <row r="12" spans="1:27" s="1698" customFormat="1" ht="17.25" customHeight="1">
      <c r="A12" s="1691" t="s">
        <v>738</v>
      </c>
      <c r="B12" s="4378" t="s">
        <v>321</v>
      </c>
      <c r="C12" s="4378"/>
      <c r="D12" s="1692"/>
      <c r="E12" s="1693"/>
      <c r="F12" s="1693"/>
      <c r="G12" s="1694">
        <f t="shared" ref="G12" si="0">SUM(G13:G49)</f>
        <v>0</v>
      </c>
      <c r="H12" s="1695"/>
      <c r="I12" s="1695"/>
      <c r="J12" s="1695"/>
      <c r="K12" s="1696"/>
      <c r="L12" s="1695">
        <f t="shared" ref="L12:R12" si="1">SUM(L13:L49)</f>
        <v>139328159.60353053</v>
      </c>
      <c r="M12" s="1695">
        <f t="shared" si="1"/>
        <v>959</v>
      </c>
      <c r="N12" s="1695">
        <f t="shared" si="1"/>
        <v>139329118.60353053</v>
      </c>
      <c r="O12" s="1695">
        <f t="shared" si="1"/>
        <v>0</v>
      </c>
      <c r="P12" s="1695">
        <f t="shared" si="1"/>
        <v>139329118.60353053</v>
      </c>
      <c r="Q12" s="1695">
        <f t="shared" si="1"/>
        <v>0</v>
      </c>
      <c r="R12" s="1695">
        <f t="shared" si="1"/>
        <v>0</v>
      </c>
      <c r="S12" s="1695">
        <f>SUM(S13:S49)</f>
        <v>139329118.60353053</v>
      </c>
      <c r="T12" s="1697"/>
      <c r="U12" s="1698" t="e">
        <f>+'BẢNG LƯƠNG KT'!#REF!</f>
        <v>#REF!</v>
      </c>
      <c r="V12" s="1699" t="e">
        <f>+U12-S12</f>
        <v>#REF!</v>
      </c>
    </row>
    <row r="13" spans="1:27" s="810" customFormat="1" ht="17.25" customHeight="1">
      <c r="A13" s="1585">
        <v>1</v>
      </c>
      <c r="B13" s="1586" t="s">
        <v>195</v>
      </c>
      <c r="C13" s="1616" t="str">
        <f>'Chấm công công nhân'!L13</f>
        <v>Vắt Đi</v>
      </c>
      <c r="D13" s="1587"/>
      <c r="E13" s="1585" t="s">
        <v>40</v>
      </c>
      <c r="F13" s="1585" t="s">
        <v>272</v>
      </c>
      <c r="G13" s="1588">
        <f>VLOOKUP(C13,'BẢNG LƯƠNG KT'!C17:G52,4,0)</f>
        <v>0</v>
      </c>
      <c r="H13" s="1589">
        <v>25000</v>
      </c>
      <c r="I13" s="1585" t="s">
        <v>247</v>
      </c>
      <c r="J13" s="1585"/>
      <c r="K13" s="1683">
        <f>+G13*H13</f>
        <v>0</v>
      </c>
      <c r="L13" s="1590">
        <f>+VLOOKUP(C13,'BẢNG LƯƠNG KT'!C17:L52,10,0)</f>
        <v>5165366.8331253603</v>
      </c>
      <c r="M13" s="1590">
        <f>VLOOKUP(C13,'BẢNG LƯƠNG KT'!C17:S17,15,0)</f>
        <v>30</v>
      </c>
      <c r="N13" s="1590">
        <f>SUM(K13:M13)</f>
        <v>5165396.8331253603</v>
      </c>
      <c r="O13" s="1590"/>
      <c r="P13" s="1590">
        <f>N13</f>
        <v>5165396.8331253603</v>
      </c>
      <c r="Q13" s="1590"/>
      <c r="R13" s="1590"/>
      <c r="S13" s="1590">
        <f>+P13-Q13-R13</f>
        <v>5165396.8331253603</v>
      </c>
      <c r="T13" s="1591"/>
    </row>
    <row r="14" spans="1:27" s="810" customFormat="1" ht="17.25" customHeight="1">
      <c r="A14" s="1592">
        <v>2</v>
      </c>
      <c r="B14" s="1593" t="s">
        <v>420</v>
      </c>
      <c r="C14" s="1616" t="str">
        <f>'Chấm công công nhân'!L14</f>
        <v>T Ô Vên</v>
      </c>
      <c r="D14" s="1594"/>
      <c r="E14" s="1592" t="s">
        <v>40</v>
      </c>
      <c r="F14" s="1592" t="s">
        <v>272</v>
      </c>
      <c r="G14" s="1595">
        <f>VLOOKUP(C14,'BẢNG LƯƠNG KT'!C18:G54,4,0)</f>
        <v>0</v>
      </c>
      <c r="H14" s="1596">
        <v>25000</v>
      </c>
      <c r="I14" s="1592" t="s">
        <v>247</v>
      </c>
      <c r="J14" s="1592"/>
      <c r="K14" s="1683">
        <f t="shared" ref="K14:K49" si="2">+G14*H14</f>
        <v>0</v>
      </c>
      <c r="L14" s="1590">
        <f>+VLOOKUP(C14,'BẢNG LƯƠNG KT'!C18:L54,10,0)</f>
        <v>4297011.6905100318</v>
      </c>
      <c r="M14" s="1590">
        <f>VLOOKUP(C14,'BẢNG LƯƠNG KT'!C18:S18,15,0)</f>
        <v>31</v>
      </c>
      <c r="N14" s="1590">
        <f t="shared" ref="N14:N49" si="3">SUM(K14:M14)</f>
        <v>4297042.6905100318</v>
      </c>
      <c r="O14" s="1597"/>
      <c r="P14" s="1597">
        <f t="shared" ref="P14:P16" si="4">N14</f>
        <v>4297042.6905100318</v>
      </c>
      <c r="Q14" s="1597"/>
      <c r="R14" s="1597"/>
      <c r="S14" s="1597">
        <f t="shared" ref="S14:S49" si="5">+P14-Q14-R14</f>
        <v>4297042.6905100318</v>
      </c>
      <c r="T14" s="1598"/>
    </row>
    <row r="15" spans="1:27" s="810" customFormat="1" ht="22.5" customHeight="1">
      <c r="A15" s="1592">
        <v>3</v>
      </c>
      <c r="B15" s="1593" t="s">
        <v>427</v>
      </c>
      <c r="C15" s="1616" t="str">
        <f>'Chấm công công nhân'!L15</f>
        <v>Nàng Túc</v>
      </c>
      <c r="D15" s="1594"/>
      <c r="E15" s="1592" t="s">
        <v>40</v>
      </c>
      <c r="F15" s="1592" t="s">
        <v>272</v>
      </c>
      <c r="G15" s="1595">
        <f>VLOOKUP(C15,'BẢNG LƯƠNG KT'!C19:G55,4,0)</f>
        <v>0</v>
      </c>
      <c r="H15" s="1596">
        <v>25000</v>
      </c>
      <c r="I15" s="1592" t="s">
        <v>247</v>
      </c>
      <c r="J15" s="1592"/>
      <c r="K15" s="1683">
        <f t="shared" si="2"/>
        <v>0</v>
      </c>
      <c r="L15" s="1590">
        <f>+VLOOKUP(C15,'BẢNG LƯƠNG KT'!C19:L55,10,0)</f>
        <v>4189421.9476039791</v>
      </c>
      <c r="M15" s="1590">
        <f>VLOOKUP(C15,'BẢNG LƯƠNG KT'!C19:S19,15,0)</f>
        <v>31</v>
      </c>
      <c r="N15" s="1590">
        <f t="shared" si="3"/>
        <v>4189452.9476039791</v>
      </c>
      <c r="O15" s="1597"/>
      <c r="P15" s="1597">
        <f t="shared" si="4"/>
        <v>4189452.9476039791</v>
      </c>
      <c r="Q15" s="1597"/>
      <c r="R15" s="1597"/>
      <c r="S15" s="1597">
        <f t="shared" si="5"/>
        <v>4189452.9476039791</v>
      </c>
      <c r="T15" s="1598"/>
      <c r="X15" s="893"/>
    </row>
    <row r="16" spans="1:27" s="810" customFormat="1" ht="22.5" customHeight="1">
      <c r="A16" s="1592">
        <v>4</v>
      </c>
      <c r="B16" s="1593" t="s">
        <v>425</v>
      </c>
      <c r="C16" s="1616" t="str">
        <f>'Chấm công công nhân'!L16</f>
        <v>Thảo Say</v>
      </c>
      <c r="D16" s="1594"/>
      <c r="E16" s="1592" t="s">
        <v>40</v>
      </c>
      <c r="F16" s="1592" t="s">
        <v>272</v>
      </c>
      <c r="G16" s="1595">
        <f>VLOOKUP(C16,'BẢNG LƯƠNG KT'!C20:G56,4,0)</f>
        <v>0</v>
      </c>
      <c r="H16" s="1596">
        <v>25000</v>
      </c>
      <c r="I16" s="1592" t="s">
        <v>247</v>
      </c>
      <c r="J16" s="1592"/>
      <c r="K16" s="1683">
        <f t="shared" si="2"/>
        <v>0</v>
      </c>
      <c r="L16" s="1590">
        <f>+VLOOKUP(C16,'BẢNG LƯƠNG KT'!C20:L56,10,0)</f>
        <v>2394234.1285347468</v>
      </c>
      <c r="M16" s="1590">
        <f>VLOOKUP(C16,'BẢNG LƯƠNG KT'!C20:S20,15,0)</f>
        <v>18</v>
      </c>
      <c r="N16" s="1590">
        <f t="shared" si="3"/>
        <v>2394252.1285347468</v>
      </c>
      <c r="O16" s="1597"/>
      <c r="P16" s="1597">
        <f t="shared" si="4"/>
        <v>2394252.1285347468</v>
      </c>
      <c r="Q16" s="1597"/>
      <c r="R16" s="1597"/>
      <c r="S16" s="1597">
        <f t="shared" si="5"/>
        <v>2394252.1285347468</v>
      </c>
      <c r="T16" s="1598"/>
      <c r="X16" s="893"/>
    </row>
    <row r="17" spans="1:24" s="810" customFormat="1" ht="22.5" customHeight="1">
      <c r="A17" s="1592">
        <v>5</v>
      </c>
      <c r="B17" s="1593"/>
      <c r="C17" s="1616" t="str">
        <f>'Chấm công công nhân'!L17</f>
        <v>Thảo Pheng</v>
      </c>
      <c r="D17" s="1594"/>
      <c r="E17" s="1592" t="s">
        <v>40</v>
      </c>
      <c r="F17" s="1592" t="s">
        <v>272</v>
      </c>
      <c r="G17" s="1595">
        <f>VLOOKUP(C17,'BẢNG LƯƠNG KT'!C21:G57,4,0)</f>
        <v>0</v>
      </c>
      <c r="H17" s="1596">
        <v>25000</v>
      </c>
      <c r="I17" s="1592" t="s">
        <v>247</v>
      </c>
      <c r="J17" s="1592"/>
      <c r="K17" s="1683">
        <f t="shared" si="2"/>
        <v>0</v>
      </c>
      <c r="L17" s="1590">
        <f>+VLOOKUP(C17,'BẢNG LƯƠNG KT'!C21:L57,10,0)</f>
        <v>3421688.3002971606</v>
      </c>
      <c r="M17" s="1590">
        <f>VLOOKUP(C17,'BẢNG LƯƠNG KT'!C21:S21,15,0)</f>
        <v>28</v>
      </c>
      <c r="N17" s="1590">
        <f t="shared" si="3"/>
        <v>3421716.3002971606</v>
      </c>
      <c r="O17" s="1597"/>
      <c r="P17" s="1597">
        <f t="shared" ref="P17:P49" si="6">N17</f>
        <v>3421716.3002971606</v>
      </c>
      <c r="Q17" s="1597"/>
      <c r="R17" s="1597"/>
      <c r="S17" s="1597">
        <f t="shared" si="5"/>
        <v>3421716.3002971606</v>
      </c>
      <c r="T17" s="1598"/>
      <c r="X17" s="893"/>
    </row>
    <row r="18" spans="1:24" s="810" customFormat="1" ht="22.5" customHeight="1">
      <c r="A18" s="1592">
        <v>6</v>
      </c>
      <c r="B18" s="1593"/>
      <c r="C18" s="1616" t="str">
        <f>'Chấm công công nhân'!L18</f>
        <v>Nàng Chay</v>
      </c>
      <c r="D18" s="1594"/>
      <c r="E18" s="1592" t="s">
        <v>40</v>
      </c>
      <c r="F18" s="1592" t="s">
        <v>272</v>
      </c>
      <c r="G18" s="1595">
        <f>VLOOKUP(C18,'BẢNG LƯƠNG KT'!C22:G58,4,0)</f>
        <v>0</v>
      </c>
      <c r="H18" s="1596">
        <v>25000</v>
      </c>
      <c r="I18" s="1592" t="s">
        <v>247</v>
      </c>
      <c r="J18" s="1592"/>
      <c r="K18" s="1683">
        <f t="shared" si="2"/>
        <v>0</v>
      </c>
      <c r="L18" s="1590">
        <f>+VLOOKUP(C18,'BẢNG LƯƠNG KT'!C22:L58,10,0)</f>
        <v>3991467.9698529979</v>
      </c>
      <c r="M18" s="1590">
        <f>VLOOKUP(C18,'BẢNG LƯƠNG KT'!C22:S22,15,0)</f>
        <v>31</v>
      </c>
      <c r="N18" s="1590">
        <f t="shared" si="3"/>
        <v>3991498.9698529979</v>
      </c>
      <c r="O18" s="1597"/>
      <c r="P18" s="1597">
        <f t="shared" si="6"/>
        <v>3991498.9698529979</v>
      </c>
      <c r="Q18" s="1597"/>
      <c r="R18" s="1597"/>
      <c r="S18" s="1597">
        <f t="shared" si="5"/>
        <v>3991498.9698529979</v>
      </c>
      <c r="T18" s="1598"/>
      <c r="X18" s="893"/>
    </row>
    <row r="19" spans="1:24" s="810" customFormat="1" ht="22.5" customHeight="1">
      <c r="A19" s="1592">
        <v>7</v>
      </c>
      <c r="B19" s="1593"/>
      <c r="C19" s="1616" t="str">
        <f>'Chấm công công nhân'!L19</f>
        <v>Nàng Hđao</v>
      </c>
      <c r="D19" s="1594"/>
      <c r="E19" s="1592" t="s">
        <v>40</v>
      </c>
      <c r="F19" s="1592" t="s">
        <v>272</v>
      </c>
      <c r="G19" s="1595">
        <f>VLOOKUP(C19,'BẢNG LƯƠNG KT'!C23:G59,4,0)</f>
        <v>0</v>
      </c>
      <c r="H19" s="1596">
        <v>25000</v>
      </c>
      <c r="I19" s="1592" t="s">
        <v>247</v>
      </c>
      <c r="J19" s="1592"/>
      <c r="K19" s="1683">
        <f t="shared" si="2"/>
        <v>0</v>
      </c>
      <c r="L19" s="1590">
        <f>+VLOOKUP(C19,'BẢNG LƯƠNG KT'!C23:L59,10,0)</f>
        <v>3409479.9305062662</v>
      </c>
      <c r="M19" s="1590">
        <f>VLOOKUP(C19,'BẢNG LƯƠNG KT'!C23:S23,15,0)</f>
        <v>25</v>
      </c>
      <c r="N19" s="1590">
        <f t="shared" si="3"/>
        <v>3409504.9305062662</v>
      </c>
      <c r="O19" s="1597"/>
      <c r="P19" s="1597">
        <f t="shared" si="6"/>
        <v>3409504.9305062662</v>
      </c>
      <c r="Q19" s="1597"/>
      <c r="R19" s="1597"/>
      <c r="S19" s="1597">
        <f t="shared" si="5"/>
        <v>3409504.9305062662</v>
      </c>
      <c r="T19" s="1598"/>
      <c r="X19" s="893"/>
    </row>
    <row r="20" spans="1:24" s="810" customFormat="1" ht="22.5" customHeight="1">
      <c r="A20" s="1592">
        <v>8</v>
      </c>
      <c r="B20" s="1593"/>
      <c r="C20" s="1616" t="str">
        <f>'Chấm công công nhân'!L20</f>
        <v xml:space="preserve">Thảo Ken </v>
      </c>
      <c r="D20" s="1594"/>
      <c r="E20" s="1592" t="s">
        <v>40</v>
      </c>
      <c r="F20" s="1592" t="s">
        <v>272</v>
      </c>
      <c r="G20" s="1595">
        <f>VLOOKUP(C20,'BẢNG LƯƠNG KT'!C24:G60,4,0)</f>
        <v>0</v>
      </c>
      <c r="H20" s="1596">
        <v>25000</v>
      </c>
      <c r="I20" s="1592" t="s">
        <v>247</v>
      </c>
      <c r="J20" s="1592"/>
      <c r="K20" s="1683">
        <f t="shared" si="2"/>
        <v>0</v>
      </c>
      <c r="L20" s="1590">
        <f>+VLOOKUP(C20,'BẢNG LƯƠNG KT'!C24:L60,10,0)</f>
        <v>4218326.2386385845</v>
      </c>
      <c r="M20" s="1590">
        <f>VLOOKUP(C20,'BẢNG LƯƠNG KT'!C24:S24,15,0)</f>
        <v>31</v>
      </c>
      <c r="N20" s="1590">
        <f t="shared" si="3"/>
        <v>4218357.2386385845</v>
      </c>
      <c r="O20" s="1597"/>
      <c r="P20" s="1597">
        <f t="shared" si="6"/>
        <v>4218357.2386385845</v>
      </c>
      <c r="Q20" s="1597"/>
      <c r="R20" s="1597"/>
      <c r="S20" s="1597">
        <f t="shared" si="5"/>
        <v>4218357.2386385845</v>
      </c>
      <c r="T20" s="1598"/>
      <c r="X20" s="893"/>
    </row>
    <row r="21" spans="1:24" s="810" customFormat="1" ht="22.5" customHeight="1">
      <c r="A21" s="1592">
        <v>9</v>
      </c>
      <c r="B21" s="1593"/>
      <c r="C21" s="1616" t="str">
        <f>'Chấm công công nhân'!L21</f>
        <v>Thảo Cợt</v>
      </c>
      <c r="D21" s="1594"/>
      <c r="E21" s="1592" t="s">
        <v>40</v>
      </c>
      <c r="F21" s="1592" t="s">
        <v>272</v>
      </c>
      <c r="G21" s="1595">
        <f>VLOOKUP(C21,'BẢNG LƯƠNG KT'!C25:G61,4,0)</f>
        <v>0</v>
      </c>
      <c r="H21" s="1596">
        <v>25000</v>
      </c>
      <c r="I21" s="1592" t="s">
        <v>247</v>
      </c>
      <c r="J21" s="1592"/>
      <c r="K21" s="1683">
        <f t="shared" si="2"/>
        <v>0</v>
      </c>
      <c r="L21" s="1590">
        <f>+VLOOKUP(C21,'BẢNG LƯƠNG KT'!C25:L61,10,0)</f>
        <v>3537193.9724740214</v>
      </c>
      <c r="M21" s="1590">
        <f>VLOOKUP(C21,'BẢNG LƯƠNG KT'!C25:S25,15,0)</f>
        <v>23</v>
      </c>
      <c r="N21" s="1590">
        <f t="shared" si="3"/>
        <v>3537216.9724740214</v>
      </c>
      <c r="O21" s="1597"/>
      <c r="P21" s="1597">
        <f t="shared" si="6"/>
        <v>3537216.9724740214</v>
      </c>
      <c r="Q21" s="1597"/>
      <c r="R21" s="1597"/>
      <c r="S21" s="1597">
        <f t="shared" si="5"/>
        <v>3537216.9724740214</v>
      </c>
      <c r="T21" s="1598"/>
      <c r="X21" s="893"/>
    </row>
    <row r="22" spans="1:24" s="810" customFormat="1" ht="22.5" customHeight="1">
      <c r="A22" s="1592">
        <v>10</v>
      </c>
      <c r="B22" s="1593"/>
      <c r="C22" s="1616" t="str">
        <f>'Chấm công công nhân'!L22</f>
        <v>Thảo Mi</v>
      </c>
      <c r="D22" s="1594"/>
      <c r="E22" s="1592" t="s">
        <v>40</v>
      </c>
      <c r="F22" s="1592" t="s">
        <v>272</v>
      </c>
      <c r="G22" s="1595">
        <f>VLOOKUP(C22,'BẢNG LƯƠNG KT'!C26:G62,4,0)</f>
        <v>0</v>
      </c>
      <c r="H22" s="1596">
        <v>25000</v>
      </c>
      <c r="I22" s="1592" t="s">
        <v>247</v>
      </c>
      <c r="J22" s="1592"/>
      <c r="K22" s="1683">
        <f t="shared" si="2"/>
        <v>0</v>
      </c>
      <c r="L22" s="1590">
        <f>+VLOOKUP(C22,'BẢNG LƯƠNG KT'!C26:L62,10,0)</f>
        <v>2376451.1606658185</v>
      </c>
      <c r="M22" s="1590">
        <f>VLOOKUP(C22,'BẢNG LƯƠNG KT'!C26:S26,15,0)</f>
        <v>19</v>
      </c>
      <c r="N22" s="1590">
        <f t="shared" si="3"/>
        <v>2376470.1606658185</v>
      </c>
      <c r="O22" s="1597"/>
      <c r="P22" s="1597">
        <f t="shared" si="6"/>
        <v>2376470.1606658185</v>
      </c>
      <c r="Q22" s="1597"/>
      <c r="R22" s="1597"/>
      <c r="S22" s="1597">
        <f t="shared" si="5"/>
        <v>2376470.1606658185</v>
      </c>
      <c r="T22" s="1598"/>
      <c r="X22" s="893"/>
    </row>
    <row r="23" spans="1:24" s="810" customFormat="1" ht="22.5" customHeight="1">
      <c r="A23" s="1592">
        <v>11</v>
      </c>
      <c r="B23" s="1593"/>
      <c r="C23" s="1616" t="str">
        <f>'Chấm công công nhân'!L23</f>
        <v>Thảo Phét</v>
      </c>
      <c r="D23" s="1594"/>
      <c r="E23" s="1592" t="s">
        <v>40</v>
      </c>
      <c r="F23" s="1592" t="s">
        <v>272</v>
      </c>
      <c r="G23" s="1595">
        <f>VLOOKUP(C23,'BẢNG LƯƠNG KT'!C27:G63,4,0)</f>
        <v>0</v>
      </c>
      <c r="H23" s="1596">
        <v>25000</v>
      </c>
      <c r="I23" s="1592" t="s">
        <v>247</v>
      </c>
      <c r="J23" s="1592"/>
      <c r="K23" s="1683">
        <f t="shared" si="2"/>
        <v>0</v>
      </c>
      <c r="L23" s="1590">
        <f>+VLOOKUP(C23,'BẢNG LƯƠNG KT'!C27:L63,10,0)</f>
        <v>3757557.8344986988</v>
      </c>
      <c r="M23" s="1590">
        <f>VLOOKUP(C23,'BẢNG LƯƠNG KT'!C27:S27,15,0)</f>
        <v>28</v>
      </c>
      <c r="N23" s="1590">
        <f t="shared" si="3"/>
        <v>3757585.8344986988</v>
      </c>
      <c r="O23" s="1597"/>
      <c r="P23" s="1597">
        <f t="shared" si="6"/>
        <v>3757585.8344986988</v>
      </c>
      <c r="Q23" s="1597"/>
      <c r="R23" s="1597"/>
      <c r="S23" s="1597">
        <f t="shared" si="5"/>
        <v>3757585.8344986988</v>
      </c>
      <c r="T23" s="1598"/>
      <c r="X23" s="893"/>
    </row>
    <row r="24" spans="1:24" s="810" customFormat="1" ht="22.5" customHeight="1">
      <c r="A24" s="1592">
        <v>12</v>
      </c>
      <c r="B24" s="1593"/>
      <c r="C24" s="1616" t="str">
        <f>'Chấm công công nhân'!L24</f>
        <v>Thảo Hăm</v>
      </c>
      <c r="D24" s="1594"/>
      <c r="E24" s="1592" t="s">
        <v>40</v>
      </c>
      <c r="F24" s="1592" t="s">
        <v>272</v>
      </c>
      <c r="G24" s="1595">
        <f>VLOOKUP(C24,'BẢNG LƯƠNG KT'!C28:G64,4,0)</f>
        <v>0</v>
      </c>
      <c r="H24" s="1596">
        <v>25000</v>
      </c>
      <c r="I24" s="1592" t="s">
        <v>247</v>
      </c>
      <c r="J24" s="1592"/>
      <c r="K24" s="1683">
        <f t="shared" si="2"/>
        <v>0</v>
      </c>
      <c r="L24" s="1590">
        <f>+VLOOKUP(C24,'BẢNG LƯƠNG KT'!C28:L64,10,0)</f>
        <v>4344144.9172598077</v>
      </c>
      <c r="M24" s="1590">
        <f>VLOOKUP(C24,'BẢNG LƯƠNG KT'!C28:S28,15,0)</f>
        <v>28</v>
      </c>
      <c r="N24" s="1590">
        <f t="shared" si="3"/>
        <v>4344172.9172598077</v>
      </c>
      <c r="O24" s="1597"/>
      <c r="P24" s="1597">
        <f t="shared" si="6"/>
        <v>4344172.9172598077</v>
      </c>
      <c r="Q24" s="1597"/>
      <c r="R24" s="1597"/>
      <c r="S24" s="1597">
        <f t="shared" si="5"/>
        <v>4344172.9172598077</v>
      </c>
      <c r="T24" s="1598"/>
      <c r="X24" s="893"/>
    </row>
    <row r="25" spans="1:24" s="810" customFormat="1" ht="22.5" customHeight="1">
      <c r="A25" s="1592">
        <v>13</v>
      </c>
      <c r="B25" s="1593" t="s">
        <v>196</v>
      </c>
      <c r="C25" s="1616" t="str">
        <f>'Chấm công công nhân'!L25</f>
        <v>Nang Lon</v>
      </c>
      <c r="D25" s="1594"/>
      <c r="E25" s="1592" t="s">
        <v>40</v>
      </c>
      <c r="F25" s="1592" t="s">
        <v>272</v>
      </c>
      <c r="G25" s="1595">
        <f>VLOOKUP(C25,'BẢNG LƯƠNG KT'!C29:G65,4,0)</f>
        <v>0</v>
      </c>
      <c r="H25" s="1596">
        <v>25000</v>
      </c>
      <c r="I25" s="1592" t="s">
        <v>247</v>
      </c>
      <c r="J25" s="1592"/>
      <c r="K25" s="1683">
        <f t="shared" si="2"/>
        <v>0</v>
      </c>
      <c r="L25" s="1590">
        <f>+VLOOKUP(C25,'BẢNG LƯƠNG KT'!C29:L65,10,0)</f>
        <v>4349245.6745012086</v>
      </c>
      <c r="M25" s="1590">
        <f>VLOOKUP(C25,'BẢNG LƯƠNG KT'!C29:S29,15,0)</f>
        <v>29</v>
      </c>
      <c r="N25" s="1590">
        <f t="shared" si="3"/>
        <v>4349274.6745012086</v>
      </c>
      <c r="O25" s="1597"/>
      <c r="P25" s="1597">
        <f t="shared" si="6"/>
        <v>4349274.6745012086</v>
      </c>
      <c r="Q25" s="1597"/>
      <c r="R25" s="1597"/>
      <c r="S25" s="1597">
        <f t="shared" si="5"/>
        <v>4349274.6745012086</v>
      </c>
      <c r="T25" s="1598"/>
      <c r="X25" s="893"/>
    </row>
    <row r="26" spans="1:24" s="810" customFormat="1" ht="22.5" customHeight="1">
      <c r="A26" s="1592">
        <v>14</v>
      </c>
      <c r="B26" s="1593" t="s">
        <v>429</v>
      </c>
      <c r="C26" s="1616" t="str">
        <f>'Chấm công công nhân'!L26</f>
        <v>Thảo Phết</v>
      </c>
      <c r="D26" s="1594"/>
      <c r="E26" s="1592" t="s">
        <v>40</v>
      </c>
      <c r="F26" s="1592" t="s">
        <v>272</v>
      </c>
      <c r="G26" s="1595">
        <f>VLOOKUP(C26,'BẢNG LƯƠNG KT'!C30:G66,4,0)</f>
        <v>0</v>
      </c>
      <c r="H26" s="1596">
        <v>25000</v>
      </c>
      <c r="I26" s="1592" t="s">
        <v>247</v>
      </c>
      <c r="J26" s="1592"/>
      <c r="K26" s="1683">
        <f t="shared" si="2"/>
        <v>0</v>
      </c>
      <c r="L26" s="1590">
        <f>+VLOOKUP(C26,'BẢNG LƯƠNG KT'!C30:L66,10,0)</f>
        <v>3962368.567885661</v>
      </c>
      <c r="M26" s="1590">
        <f>VLOOKUP(C26,'BẢNG LƯƠNG KT'!C30:S30,15,0)</f>
        <v>23</v>
      </c>
      <c r="N26" s="1590">
        <f t="shared" si="3"/>
        <v>3962391.567885661</v>
      </c>
      <c r="O26" s="1597"/>
      <c r="P26" s="1597">
        <f t="shared" si="6"/>
        <v>3962391.567885661</v>
      </c>
      <c r="Q26" s="1597"/>
      <c r="R26" s="1597"/>
      <c r="S26" s="1597">
        <f t="shared" si="5"/>
        <v>3962391.567885661</v>
      </c>
      <c r="T26" s="1598"/>
    </row>
    <row r="27" spans="1:24" s="810" customFormat="1" ht="22.5" customHeight="1">
      <c r="A27" s="1592">
        <v>15</v>
      </c>
      <c r="B27" s="1593" t="s">
        <v>431</v>
      </c>
      <c r="C27" s="1616" t="str">
        <f>'Chấm công công nhân'!L27</f>
        <v>Vĩ Lay</v>
      </c>
      <c r="D27" s="1594"/>
      <c r="E27" s="1592" t="s">
        <v>40</v>
      </c>
      <c r="F27" s="1592" t="s">
        <v>272</v>
      </c>
      <c r="G27" s="1595">
        <f>VLOOKUP(C27,'BẢNG LƯƠNG KT'!C31:G67,4,0)</f>
        <v>0</v>
      </c>
      <c r="H27" s="1596">
        <v>25000</v>
      </c>
      <c r="I27" s="1592" t="s">
        <v>247</v>
      </c>
      <c r="J27" s="1592"/>
      <c r="K27" s="1683">
        <f t="shared" si="2"/>
        <v>0</v>
      </c>
      <c r="L27" s="1590">
        <f>+VLOOKUP(C27,'BẢNG LƯƠNG KT'!C31:L67,10,0)</f>
        <v>5400001.6662298031</v>
      </c>
      <c r="M27" s="1590">
        <f>VLOOKUP(C27,'BẢNG LƯƠNG KT'!C31:S31,15,0)</f>
        <v>31</v>
      </c>
      <c r="N27" s="1590">
        <f t="shared" si="3"/>
        <v>5400032.6662298031</v>
      </c>
      <c r="O27" s="1597"/>
      <c r="P27" s="1597">
        <f t="shared" si="6"/>
        <v>5400032.6662298031</v>
      </c>
      <c r="Q27" s="1597"/>
      <c r="R27" s="1597"/>
      <c r="S27" s="1597">
        <f t="shared" si="5"/>
        <v>5400032.6662298031</v>
      </c>
      <c r="T27" s="1598"/>
    </row>
    <row r="28" spans="1:24" s="810" customFormat="1" ht="22.5" customHeight="1">
      <c r="A28" s="1592">
        <v>16</v>
      </c>
      <c r="B28" s="1593" t="s">
        <v>433</v>
      </c>
      <c r="C28" s="1616" t="str">
        <f>'Chấm công công nhân'!L28</f>
        <v>Pha Xúc</v>
      </c>
      <c r="D28" s="1594"/>
      <c r="E28" s="1592" t="s">
        <v>40</v>
      </c>
      <c r="F28" s="1592" t="s">
        <v>272</v>
      </c>
      <c r="G28" s="1595">
        <f>VLOOKUP(C28,'BẢNG LƯƠNG KT'!C32:G68,4,0)</f>
        <v>0</v>
      </c>
      <c r="H28" s="1596">
        <v>25000</v>
      </c>
      <c r="I28" s="1592" t="s">
        <v>247</v>
      </c>
      <c r="J28" s="1592"/>
      <c r="K28" s="1683">
        <f t="shared" si="2"/>
        <v>0</v>
      </c>
      <c r="L28" s="1590">
        <f>+VLOOKUP(C28,'BẢNG LƯƠNG KT'!C32:L68,10,0)</f>
        <v>3924182.5710511291</v>
      </c>
      <c r="M28" s="1590">
        <f>VLOOKUP(C28,'BẢNG LƯƠNG KT'!C32:S32,15,0)</f>
        <v>29</v>
      </c>
      <c r="N28" s="1590">
        <f t="shared" si="3"/>
        <v>3924211.5710511291</v>
      </c>
      <c r="O28" s="1597"/>
      <c r="P28" s="1597">
        <f t="shared" si="6"/>
        <v>3924211.5710511291</v>
      </c>
      <c r="Q28" s="1597"/>
      <c r="R28" s="1597"/>
      <c r="S28" s="1597">
        <f t="shared" si="5"/>
        <v>3924211.5710511291</v>
      </c>
      <c r="T28" s="1598"/>
    </row>
    <row r="29" spans="1:24" s="810" customFormat="1" ht="22.5" customHeight="1">
      <c r="A29" s="1592">
        <v>17</v>
      </c>
      <c r="B29" s="1607" t="s">
        <v>434</v>
      </c>
      <c r="C29" s="1616" t="str">
        <f>'Chấm công công nhân'!L29</f>
        <v>Nàng Đao</v>
      </c>
      <c r="D29" s="1594"/>
      <c r="E29" s="1592" t="s">
        <v>40</v>
      </c>
      <c r="F29" s="1592" t="s">
        <v>272</v>
      </c>
      <c r="G29" s="1595">
        <f>VLOOKUP(C29,'BẢNG LƯƠNG KT'!C33:G69,4,0)</f>
        <v>0</v>
      </c>
      <c r="H29" s="1596">
        <v>25000</v>
      </c>
      <c r="I29" s="1592" t="s">
        <v>247</v>
      </c>
      <c r="J29" s="1592"/>
      <c r="K29" s="1683">
        <f t="shared" si="2"/>
        <v>0</v>
      </c>
      <c r="L29" s="1590">
        <f>+VLOOKUP(C29,'BẢNG LƯƠNG KT'!C33:L69,10,0)</f>
        <v>3734423.2524748575</v>
      </c>
      <c r="M29" s="1590">
        <f>VLOOKUP(C29,'BẢNG LƯƠNG KT'!C33:S33,15,0)</f>
        <v>30</v>
      </c>
      <c r="N29" s="1590">
        <f t="shared" si="3"/>
        <v>3734453.2524748575</v>
      </c>
      <c r="O29" s="1597"/>
      <c r="P29" s="1597">
        <f t="shared" si="6"/>
        <v>3734453.2524748575</v>
      </c>
      <c r="Q29" s="1597"/>
      <c r="R29" s="1597"/>
      <c r="S29" s="1597">
        <f t="shared" si="5"/>
        <v>3734453.2524748575</v>
      </c>
      <c r="T29" s="1598"/>
      <c r="X29" s="893"/>
    </row>
    <row r="30" spans="1:24" s="810" customFormat="1" ht="22.5" customHeight="1">
      <c r="A30" s="1592">
        <v>18</v>
      </c>
      <c r="B30" s="1607" t="s">
        <v>422</v>
      </c>
      <c r="C30" s="1616" t="str">
        <f>'Chấm công công nhân'!L30</f>
        <v>Nàng Kiên</v>
      </c>
      <c r="D30" s="1594"/>
      <c r="E30" s="1592" t="s">
        <v>40</v>
      </c>
      <c r="F30" s="1592" t="s">
        <v>272</v>
      </c>
      <c r="G30" s="1595">
        <f>VLOOKUP(C30,'BẢNG LƯƠNG KT'!C34:G69,4,0)</f>
        <v>0</v>
      </c>
      <c r="H30" s="1596">
        <v>25000</v>
      </c>
      <c r="I30" s="1592" t="s">
        <v>247</v>
      </c>
      <c r="J30" s="1592"/>
      <c r="K30" s="1683">
        <f t="shared" si="2"/>
        <v>0</v>
      </c>
      <c r="L30" s="1590">
        <f>+VLOOKUP(C30,'BẢNG LƯƠNG KT'!C34:L69,10,0)</f>
        <v>3619837.3889808729</v>
      </c>
      <c r="M30" s="1590">
        <f>VLOOKUP(C30,'BẢNG LƯƠNG KT'!C34:S34,15,0)</f>
        <v>29</v>
      </c>
      <c r="N30" s="1590">
        <f t="shared" si="3"/>
        <v>3619866.3889808729</v>
      </c>
      <c r="O30" s="1597"/>
      <c r="P30" s="1597">
        <f t="shared" si="6"/>
        <v>3619866.3889808729</v>
      </c>
      <c r="Q30" s="1597"/>
      <c r="R30" s="1597"/>
      <c r="S30" s="1597">
        <f t="shared" si="5"/>
        <v>3619866.3889808729</v>
      </c>
      <c r="T30" s="1598"/>
      <c r="X30" s="893"/>
    </row>
    <row r="31" spans="1:24" s="810" customFormat="1" ht="22.5" customHeight="1">
      <c r="A31" s="1592">
        <v>19</v>
      </c>
      <c r="B31" s="1607" t="s">
        <v>458</v>
      </c>
      <c r="C31" s="1616" t="str">
        <f>'Chấm công công nhân'!L31</f>
        <v>Nàng Túc 2</v>
      </c>
      <c r="D31" s="1594"/>
      <c r="E31" s="1592" t="s">
        <v>40</v>
      </c>
      <c r="F31" s="1592" t="s">
        <v>272</v>
      </c>
      <c r="G31" s="1595">
        <f>VLOOKUP(C31,'BẢNG LƯƠNG KT'!C35:G71,4,0)</f>
        <v>0</v>
      </c>
      <c r="H31" s="1596">
        <v>25000</v>
      </c>
      <c r="I31" s="1592" t="s">
        <v>247</v>
      </c>
      <c r="J31" s="1592"/>
      <c r="K31" s="1683">
        <f t="shared" si="2"/>
        <v>0</v>
      </c>
      <c r="L31" s="1590">
        <f>+VLOOKUP(C31,'BẢNG LƯƠNG KT'!C35:L71,10,0)</f>
        <v>3737656.5193601171</v>
      </c>
      <c r="M31" s="1590">
        <f>VLOOKUP(C31,'BẢNG LƯƠNG KT'!C35:S35,15,0)</f>
        <v>29</v>
      </c>
      <c r="N31" s="1590">
        <f t="shared" si="3"/>
        <v>3737685.5193601171</v>
      </c>
      <c r="O31" s="1597"/>
      <c r="P31" s="1597">
        <f t="shared" si="6"/>
        <v>3737685.5193601171</v>
      </c>
      <c r="Q31" s="1597"/>
      <c r="R31" s="1597"/>
      <c r="S31" s="1597">
        <f t="shared" si="5"/>
        <v>3737685.5193601171</v>
      </c>
      <c r="T31" s="1598"/>
      <c r="X31" s="893"/>
    </row>
    <row r="32" spans="1:24" s="810" customFormat="1" ht="22.5" customHeight="1">
      <c r="A32" s="1592">
        <v>20</v>
      </c>
      <c r="B32" s="1593" t="s">
        <v>460</v>
      </c>
      <c r="C32" s="1616" t="str">
        <f>'Chấm công công nhân'!L32</f>
        <v>Nàng Phon</v>
      </c>
      <c r="D32" s="1594"/>
      <c r="E32" s="1592" t="s">
        <v>40</v>
      </c>
      <c r="F32" s="1592" t="s">
        <v>272</v>
      </c>
      <c r="G32" s="1595">
        <f>VLOOKUP(C32,'BẢNG LƯƠNG KT'!C36:G72,4,0)</f>
        <v>0</v>
      </c>
      <c r="H32" s="1596">
        <v>25000</v>
      </c>
      <c r="I32" s="1592" t="s">
        <v>247</v>
      </c>
      <c r="J32" s="1592"/>
      <c r="K32" s="1683">
        <f t="shared" si="2"/>
        <v>0</v>
      </c>
      <c r="L32" s="1590">
        <f>+VLOOKUP(C32,'BẢNG LƯƠNG KT'!C36:L72,10,0)</f>
        <v>3351169.6346100331</v>
      </c>
      <c r="M32" s="1590">
        <f>VLOOKUP(C32,'BẢNG LƯƠNG KT'!C36:S36,15,0)</f>
        <v>29</v>
      </c>
      <c r="N32" s="1590">
        <f t="shared" si="3"/>
        <v>3351198.6346100331</v>
      </c>
      <c r="O32" s="1597"/>
      <c r="P32" s="1597">
        <f t="shared" si="6"/>
        <v>3351198.6346100331</v>
      </c>
      <c r="Q32" s="1597"/>
      <c r="R32" s="1597"/>
      <c r="S32" s="1597">
        <f t="shared" si="5"/>
        <v>3351198.6346100331</v>
      </c>
      <c r="T32" s="1598"/>
    </row>
    <row r="33" spans="1:25" s="810" customFormat="1" ht="22.5" customHeight="1">
      <c r="A33" s="1592">
        <v>21</v>
      </c>
      <c r="B33" s="1607" t="s">
        <v>462</v>
      </c>
      <c r="C33" s="1616" t="str">
        <f>'Chấm công công nhân'!L33</f>
        <v>Thảo Chòi</v>
      </c>
      <c r="D33" s="1594"/>
      <c r="E33" s="1592" t="s">
        <v>40</v>
      </c>
      <c r="F33" s="1592" t="s">
        <v>272</v>
      </c>
      <c r="G33" s="1595">
        <f>VLOOKUP(C33,'BẢNG LƯƠNG KT'!C37:G73,4,0)</f>
        <v>0</v>
      </c>
      <c r="H33" s="1596">
        <v>25000</v>
      </c>
      <c r="I33" s="1592" t="s">
        <v>247</v>
      </c>
      <c r="J33" s="1592"/>
      <c r="K33" s="1683">
        <f t="shared" si="2"/>
        <v>0</v>
      </c>
      <c r="L33" s="1590">
        <f>+VLOOKUP(C33,'BẢNG LƯƠNG KT'!C37:L73,10,0)</f>
        <v>4119711.5986381662</v>
      </c>
      <c r="M33" s="1590">
        <f>VLOOKUP(C33,'BẢNG LƯƠNG KT'!C37:S37,15,0)</f>
        <v>30</v>
      </c>
      <c r="N33" s="1590">
        <f t="shared" si="3"/>
        <v>4119741.5986381662</v>
      </c>
      <c r="O33" s="1597"/>
      <c r="P33" s="1597">
        <f t="shared" si="6"/>
        <v>4119741.5986381662</v>
      </c>
      <c r="Q33" s="1597"/>
      <c r="R33" s="1597"/>
      <c r="S33" s="1597">
        <f t="shared" si="5"/>
        <v>4119741.5986381662</v>
      </c>
      <c r="T33" s="1598"/>
    </row>
    <row r="34" spans="1:25" s="810" customFormat="1" ht="22.5" customHeight="1">
      <c r="A34" s="1592">
        <v>22</v>
      </c>
      <c r="B34" s="1607" t="s">
        <v>467</v>
      </c>
      <c r="C34" s="1616" t="str">
        <f>'Chấm công công nhân'!L34</f>
        <v>Thong La</v>
      </c>
      <c r="D34" s="1594"/>
      <c r="E34" s="1592" t="s">
        <v>40</v>
      </c>
      <c r="F34" s="1592" t="s">
        <v>272</v>
      </c>
      <c r="G34" s="1595">
        <f>VLOOKUP(C34,'BẢNG LƯƠNG KT'!C38:G74,4,0)</f>
        <v>0</v>
      </c>
      <c r="H34" s="1596">
        <v>25000</v>
      </c>
      <c r="I34" s="1592" t="s">
        <v>247</v>
      </c>
      <c r="J34" s="1592"/>
      <c r="K34" s="1683">
        <f t="shared" si="2"/>
        <v>0</v>
      </c>
      <c r="L34" s="1590">
        <f>+VLOOKUP(C34,'BẢNG LƯƠNG KT'!C38:L74,10,0)</f>
        <v>4847419.6317447005</v>
      </c>
      <c r="M34" s="1590">
        <f>VLOOKUP(C34,'BẢNG LƯƠNG KT'!C38:S38,15,0)</f>
        <v>31</v>
      </c>
      <c r="N34" s="1590">
        <f t="shared" si="3"/>
        <v>4847450.6317447005</v>
      </c>
      <c r="O34" s="1597"/>
      <c r="P34" s="1597">
        <f t="shared" si="6"/>
        <v>4847450.6317447005</v>
      </c>
      <c r="Q34" s="1597"/>
      <c r="R34" s="1597"/>
      <c r="S34" s="1597">
        <f t="shared" si="5"/>
        <v>4847450.6317447005</v>
      </c>
      <c r="T34" s="1598"/>
    </row>
    <row r="35" spans="1:25" s="810" customFormat="1" ht="22.5" customHeight="1">
      <c r="A35" s="1592">
        <v>23</v>
      </c>
      <c r="B35" s="1607" t="s">
        <v>468</v>
      </c>
      <c r="C35" s="1616" t="str">
        <f>'Chấm công công nhân'!L35</f>
        <v>Thảo kok</v>
      </c>
      <c r="D35" s="1594"/>
      <c r="E35" s="1592" t="s">
        <v>40</v>
      </c>
      <c r="F35" s="1592" t="s">
        <v>272</v>
      </c>
      <c r="G35" s="1595">
        <f>VLOOKUP(C35,'BẢNG LƯƠNG KT'!C39:G75,4,0)</f>
        <v>0</v>
      </c>
      <c r="H35" s="1596">
        <v>25000</v>
      </c>
      <c r="I35" s="1592" t="s">
        <v>247</v>
      </c>
      <c r="J35" s="1592"/>
      <c r="K35" s="1683">
        <f t="shared" si="2"/>
        <v>0</v>
      </c>
      <c r="L35" s="1590">
        <f>+VLOOKUP(C35,'BẢNG LƯƠNG KT'!C39:L75,10,0)</f>
        <v>4573678.9931228505</v>
      </c>
      <c r="M35" s="1590">
        <f>VLOOKUP(C35,'BẢNG LƯƠNG KT'!C39:S39,15,0)</f>
        <v>29</v>
      </c>
      <c r="N35" s="1590">
        <f t="shared" si="3"/>
        <v>4573707.9931228505</v>
      </c>
      <c r="O35" s="1597"/>
      <c r="P35" s="1597">
        <f t="shared" si="6"/>
        <v>4573707.9931228505</v>
      </c>
      <c r="Q35" s="1597"/>
      <c r="R35" s="1597"/>
      <c r="S35" s="1597">
        <f t="shared" si="5"/>
        <v>4573707.9931228505</v>
      </c>
      <c r="T35" s="1598"/>
    </row>
    <row r="36" spans="1:25" s="810" customFormat="1" ht="22.5" customHeight="1">
      <c r="A36" s="1592">
        <v>24</v>
      </c>
      <c r="B36" s="1607" t="s">
        <v>470</v>
      </c>
      <c r="C36" s="1616" t="str">
        <f>'Chấm công công nhân'!L36</f>
        <v>Thảo Hôm</v>
      </c>
      <c r="D36" s="1594"/>
      <c r="E36" s="1592" t="s">
        <v>40</v>
      </c>
      <c r="F36" s="1592" t="s">
        <v>272</v>
      </c>
      <c r="G36" s="1595">
        <f>VLOOKUP(C36,'BẢNG LƯƠNG KT'!C40:G76,4,0)</f>
        <v>0</v>
      </c>
      <c r="H36" s="1596">
        <v>25000</v>
      </c>
      <c r="I36" s="1592" t="s">
        <v>247</v>
      </c>
      <c r="J36" s="1592"/>
      <c r="K36" s="1683">
        <f t="shared" si="2"/>
        <v>0</v>
      </c>
      <c r="L36" s="1590">
        <f>+VLOOKUP(C36,'BẢNG LƯƠNG KT'!C40:L76,10,0)</f>
        <v>2251998.2585737137</v>
      </c>
      <c r="M36" s="1590">
        <f>VLOOKUP(C36,'BẢNG LƯƠNG KT'!C40:S40,15,0)</f>
        <v>19</v>
      </c>
      <c r="N36" s="1590">
        <f t="shared" si="3"/>
        <v>2252017.2585737137</v>
      </c>
      <c r="O36" s="1597"/>
      <c r="P36" s="1597">
        <f t="shared" si="6"/>
        <v>2252017.2585737137</v>
      </c>
      <c r="Q36" s="1597"/>
      <c r="R36" s="1597"/>
      <c r="S36" s="1597">
        <f t="shared" si="5"/>
        <v>2252017.2585737137</v>
      </c>
      <c r="T36" s="1598"/>
    </row>
    <row r="37" spans="1:25" s="810" customFormat="1" ht="22.5" customHeight="1">
      <c r="A37" s="1592">
        <v>25</v>
      </c>
      <c r="B37" s="1607" t="s">
        <v>420</v>
      </c>
      <c r="C37" s="1616" t="str">
        <f>'Chấm công công nhân'!L37</f>
        <v>Nàng Lam</v>
      </c>
      <c r="D37" s="1594"/>
      <c r="E37" s="1592" t="s">
        <v>40</v>
      </c>
      <c r="F37" s="1592" t="s">
        <v>272</v>
      </c>
      <c r="G37" s="1595">
        <f>VLOOKUP(C37,'BẢNG LƯƠNG KT'!C41:G77,4,0)</f>
        <v>0</v>
      </c>
      <c r="H37" s="1596">
        <v>25000</v>
      </c>
      <c r="I37" s="1592" t="s">
        <v>247</v>
      </c>
      <c r="J37" s="1592"/>
      <c r="K37" s="1683">
        <f t="shared" si="2"/>
        <v>0</v>
      </c>
      <c r="L37" s="1590">
        <f>+VLOOKUP(C37,'BẢNG LƯƠNG KT'!C41:L77,10,0)</f>
        <v>2402317.2957478957</v>
      </c>
      <c r="M37" s="1590">
        <f>VLOOKUP(C37,'BẢNG LƯƠNG KT'!C41:S41,15,0)</f>
        <v>19</v>
      </c>
      <c r="N37" s="1590">
        <f t="shared" si="3"/>
        <v>2402336.2957478957</v>
      </c>
      <c r="O37" s="1597"/>
      <c r="P37" s="1597">
        <f t="shared" si="6"/>
        <v>2402336.2957478957</v>
      </c>
      <c r="Q37" s="1597"/>
      <c r="R37" s="1597"/>
      <c r="S37" s="1597">
        <f t="shared" si="5"/>
        <v>2402336.2957478957</v>
      </c>
      <c r="T37" s="1598"/>
    </row>
    <row r="38" spans="1:25" s="810" customFormat="1" ht="22.5" customHeight="1">
      <c r="A38" s="1592">
        <v>26</v>
      </c>
      <c r="B38" s="1607" t="s">
        <v>436</v>
      </c>
      <c r="C38" s="1616" t="str">
        <f>'Chấm công công nhân'!L38</f>
        <v>Thảo Hơ Phơ</v>
      </c>
      <c r="D38" s="1594"/>
      <c r="E38" s="1592" t="s">
        <v>40</v>
      </c>
      <c r="F38" s="1592" t="s">
        <v>272</v>
      </c>
      <c r="G38" s="1595">
        <f>VLOOKUP(C38,'BẢNG LƯƠNG KT'!C42:G78,4,0)</f>
        <v>0</v>
      </c>
      <c r="H38" s="1596">
        <v>25000</v>
      </c>
      <c r="I38" s="1592" t="s">
        <v>247</v>
      </c>
      <c r="J38" s="1592"/>
      <c r="K38" s="1683">
        <f t="shared" si="2"/>
        <v>0</v>
      </c>
      <c r="L38" s="1590">
        <f>+VLOOKUP(C38,'BẢNG LƯƠNG KT'!C42:L78,10,0)</f>
        <v>3507620.7296700524</v>
      </c>
      <c r="M38" s="1590">
        <f>VLOOKUP(C38,'BẢNG LƯƠNG KT'!C42:S42,15,0)</f>
        <v>21</v>
      </c>
      <c r="N38" s="1590">
        <f t="shared" si="3"/>
        <v>3507641.7296700524</v>
      </c>
      <c r="O38" s="1597"/>
      <c r="P38" s="1597">
        <f t="shared" si="6"/>
        <v>3507641.7296700524</v>
      </c>
      <c r="Q38" s="1597"/>
      <c r="R38" s="1597"/>
      <c r="S38" s="1597">
        <f t="shared" si="5"/>
        <v>3507641.7296700524</v>
      </c>
      <c r="T38" s="1598"/>
      <c r="Y38" s="810">
        <v>673</v>
      </c>
    </row>
    <row r="39" spans="1:25" s="810" customFormat="1" ht="22.5" customHeight="1">
      <c r="A39" s="1592">
        <v>27</v>
      </c>
      <c r="B39" s="1607" t="s">
        <v>473</v>
      </c>
      <c r="C39" s="1616" t="str">
        <f>'Chấm công công nhân'!L39</f>
        <v>Thảo Lay</v>
      </c>
      <c r="D39" s="1594"/>
      <c r="E39" s="1592" t="s">
        <v>40</v>
      </c>
      <c r="F39" s="1592" t="s">
        <v>272</v>
      </c>
      <c r="G39" s="1595">
        <f>VLOOKUP(C39,'BẢNG LƯƠNG KT'!C43:G78,4,0)</f>
        <v>0</v>
      </c>
      <c r="H39" s="1596">
        <v>25000</v>
      </c>
      <c r="I39" s="1592" t="s">
        <v>247</v>
      </c>
      <c r="J39" s="1592"/>
      <c r="K39" s="1683">
        <f t="shared" si="2"/>
        <v>0</v>
      </c>
      <c r="L39" s="1590">
        <f>+VLOOKUP(C39,'BẢNG LƯƠNG KT'!C43:L78,10,0)</f>
        <v>4546474.9545020452</v>
      </c>
      <c r="M39" s="1590">
        <f>VLOOKUP(C39,'BẢNG LƯƠNG KT'!C43:S43,15,0)</f>
        <v>31</v>
      </c>
      <c r="N39" s="1590">
        <f t="shared" si="3"/>
        <v>4546505.9545020452</v>
      </c>
      <c r="O39" s="1597"/>
      <c r="P39" s="1597">
        <f t="shared" si="6"/>
        <v>4546505.9545020452</v>
      </c>
      <c r="Q39" s="1597"/>
      <c r="R39" s="1597"/>
      <c r="S39" s="1597">
        <f t="shared" si="5"/>
        <v>4546505.9545020452</v>
      </c>
      <c r="T39" s="1598"/>
      <c r="Y39" s="810">
        <v>569</v>
      </c>
    </row>
    <row r="40" spans="1:25" s="810" customFormat="1" ht="22.5" customHeight="1">
      <c r="A40" s="1592">
        <v>28</v>
      </c>
      <c r="B40" s="1607" t="s">
        <v>454</v>
      </c>
      <c r="C40" s="1616" t="str">
        <f>'Chấm công công nhân'!L40</f>
        <v>Thảo Khốc</v>
      </c>
      <c r="D40" s="1594"/>
      <c r="E40" s="1592" t="s">
        <v>40</v>
      </c>
      <c r="F40" s="1592" t="s">
        <v>272</v>
      </c>
      <c r="G40" s="1595">
        <f>VLOOKUP(C40,'BẢNG LƯƠNG KT'!C39:G75,4,0)</f>
        <v>0</v>
      </c>
      <c r="H40" s="1596">
        <v>25000</v>
      </c>
      <c r="I40" s="1592" t="s">
        <v>247</v>
      </c>
      <c r="J40" s="1592"/>
      <c r="K40" s="1683">
        <f t="shared" si="2"/>
        <v>0</v>
      </c>
      <c r="L40" s="1590">
        <f>+VLOOKUP(C40,'BẢNG LƯƠNG KT'!C44:L78,10,0)</f>
        <v>4481865.3627776336</v>
      </c>
      <c r="M40" s="1590">
        <f>VLOOKUP(C40,'BẢNG LƯƠNG KT'!C44:S44,15,0)</f>
        <v>23</v>
      </c>
      <c r="N40" s="1590">
        <f t="shared" si="3"/>
        <v>4481888.3627776336</v>
      </c>
      <c r="O40" s="1597"/>
      <c r="P40" s="1597">
        <f t="shared" ref="P40:P44" si="7">N40</f>
        <v>4481888.3627776336</v>
      </c>
      <c r="Q40" s="1597"/>
      <c r="R40" s="1597"/>
      <c r="S40" s="1597">
        <f t="shared" ref="S40:S44" si="8">+P40-Q40-R40</f>
        <v>4481888.3627776336</v>
      </c>
      <c r="T40" s="1598"/>
      <c r="Y40" s="810">
        <v>304</v>
      </c>
    </row>
    <row r="41" spans="1:25" s="810" customFormat="1" ht="22.5" customHeight="1">
      <c r="A41" s="1592">
        <v>29</v>
      </c>
      <c r="B41" s="1607" t="s">
        <v>464</v>
      </c>
      <c r="C41" s="1616" t="str">
        <f>'Chấm công công nhân'!L41</f>
        <v>Thảo Sợt</v>
      </c>
      <c r="D41" s="1594"/>
      <c r="E41" s="1592" t="s">
        <v>40</v>
      </c>
      <c r="F41" s="1592" t="s">
        <v>272</v>
      </c>
      <c r="G41" s="1595">
        <f>VLOOKUP(C41,'BẢNG LƯƠNG KT'!C40:G78,4,0)</f>
        <v>0</v>
      </c>
      <c r="H41" s="1596">
        <v>25000</v>
      </c>
      <c r="I41" s="1592" t="s">
        <v>247</v>
      </c>
      <c r="J41" s="1592"/>
      <c r="K41" s="1683">
        <f t="shared" si="2"/>
        <v>0</v>
      </c>
      <c r="L41" s="1590">
        <f>+VLOOKUP(C41,'BẢNG LƯƠNG KT'!C45:L78,10,0)</f>
        <v>4272762.1888705846</v>
      </c>
      <c r="M41" s="1590">
        <f>VLOOKUP(C41,'BẢNG LƯƠNG KT'!C45:S45,15,0)</f>
        <v>23</v>
      </c>
      <c r="N41" s="1590">
        <f t="shared" si="3"/>
        <v>4272785.1888705846</v>
      </c>
      <c r="O41" s="1597"/>
      <c r="P41" s="1597">
        <f t="shared" si="7"/>
        <v>4272785.1888705846</v>
      </c>
      <c r="Q41" s="1597"/>
      <c r="R41" s="1597"/>
      <c r="S41" s="1597">
        <f t="shared" si="8"/>
        <v>4272785.1888705846</v>
      </c>
      <c r="T41" s="1598"/>
      <c r="Y41" s="810">
        <v>395</v>
      </c>
    </row>
    <row r="42" spans="1:25" s="810" customFormat="1" ht="22.5" customHeight="1">
      <c r="A42" s="1592">
        <v>30</v>
      </c>
      <c r="B42" s="1607" t="s">
        <v>466</v>
      </c>
      <c r="C42" s="1616" t="str">
        <f>'Chấm công công nhân'!L42</f>
        <v>Thảo Văn</v>
      </c>
      <c r="D42" s="1594"/>
      <c r="E42" s="1592" t="s">
        <v>40</v>
      </c>
      <c r="F42" s="1592" t="s">
        <v>272</v>
      </c>
      <c r="G42" s="1595">
        <f>VLOOKUP(C42,'BẢNG LƯƠNG KT'!C41:G78,4,0)</f>
        <v>0</v>
      </c>
      <c r="H42" s="1596">
        <v>25000</v>
      </c>
      <c r="I42" s="1592" t="s">
        <v>247</v>
      </c>
      <c r="J42" s="1592"/>
      <c r="K42" s="1683">
        <f t="shared" si="2"/>
        <v>0</v>
      </c>
      <c r="L42" s="1590">
        <f>+VLOOKUP(C42,'BẢNG LƯƠNG KT'!C46:L78,10,0)</f>
        <v>4560522.9416586906</v>
      </c>
      <c r="M42" s="1590">
        <f>VLOOKUP(C42,'BẢNG LƯƠNG KT'!C46:S46,15,0)</f>
        <v>28</v>
      </c>
      <c r="N42" s="1590">
        <f t="shared" si="3"/>
        <v>4560550.9416586906</v>
      </c>
      <c r="O42" s="1597"/>
      <c r="P42" s="1597">
        <f t="shared" si="7"/>
        <v>4560550.9416586906</v>
      </c>
      <c r="Q42" s="1597"/>
      <c r="R42" s="1597"/>
      <c r="S42" s="1597">
        <f t="shared" si="8"/>
        <v>4560550.9416586906</v>
      </c>
      <c r="T42" s="1598"/>
    </row>
    <row r="43" spans="1:25" s="810" customFormat="1" ht="22.5" customHeight="1">
      <c r="A43" s="1592">
        <v>31</v>
      </c>
      <c r="B43" s="1607"/>
      <c r="C43" s="1616" t="str">
        <f>'Chấm công công nhân'!L43</f>
        <v>Thảo Thong</v>
      </c>
      <c r="D43" s="1594"/>
      <c r="E43" s="1592" t="s">
        <v>40</v>
      </c>
      <c r="F43" s="1592" t="s">
        <v>272</v>
      </c>
      <c r="G43" s="1595">
        <f>VLOOKUP(C43,'BẢNG LƯƠNG KT'!C42:G78,4,0)</f>
        <v>0</v>
      </c>
      <c r="H43" s="1596">
        <v>25000</v>
      </c>
      <c r="I43" s="1592" t="s">
        <v>247</v>
      </c>
      <c r="J43" s="1592"/>
      <c r="K43" s="1683">
        <f t="shared" si="2"/>
        <v>0</v>
      </c>
      <c r="L43" s="1590">
        <f>+VLOOKUP(C43,'BẢNG LƯƠNG KT'!C47:L78,10,0)</f>
        <v>3800064.1448437064</v>
      </c>
      <c r="M43" s="1590">
        <f>VLOOKUP(C43,'BẢNG LƯƠNG KT'!C47:S47,15,0)</f>
        <v>25</v>
      </c>
      <c r="N43" s="1590">
        <f t="shared" si="3"/>
        <v>3800089.1448437064</v>
      </c>
      <c r="O43" s="1597"/>
      <c r="P43" s="1597">
        <f t="shared" si="7"/>
        <v>3800089.1448437064</v>
      </c>
      <c r="Q43" s="1597"/>
      <c r="R43" s="1597"/>
      <c r="S43" s="1597">
        <f t="shared" si="8"/>
        <v>3800089.1448437064</v>
      </c>
      <c r="T43" s="1598"/>
    </row>
    <row r="44" spans="1:25" s="810" customFormat="1" ht="22.5" customHeight="1">
      <c r="A44" s="1592">
        <v>32</v>
      </c>
      <c r="B44" s="1607"/>
      <c r="C44" s="1616" t="str">
        <f>'Chấm công công nhân'!L44</f>
        <v xml:space="preserve"> Nàng Ngột</v>
      </c>
      <c r="D44" s="1594"/>
      <c r="E44" s="1592" t="s">
        <v>40</v>
      </c>
      <c r="F44" s="1592" t="s">
        <v>272</v>
      </c>
      <c r="G44" s="1595">
        <f>VLOOKUP(C44,'BẢNG LƯƠNG KT'!C43:G78,4,0)</f>
        <v>0</v>
      </c>
      <c r="H44" s="1596">
        <v>25000</v>
      </c>
      <c r="I44" s="1592" t="s">
        <v>247</v>
      </c>
      <c r="J44" s="1592"/>
      <c r="K44" s="1683">
        <f t="shared" si="2"/>
        <v>0</v>
      </c>
      <c r="L44" s="1590">
        <f>+VLOOKUP(C44,'BẢNG LƯƠNG KT'!C48:L78,10,0)</f>
        <v>3618025.6446055118</v>
      </c>
      <c r="M44" s="1590">
        <f>VLOOKUP(C44,'BẢNG LƯƠNG KT'!C48:S48,15,0)</f>
        <v>25</v>
      </c>
      <c r="N44" s="1590">
        <f t="shared" si="3"/>
        <v>3618050.6446055118</v>
      </c>
      <c r="O44" s="1597"/>
      <c r="P44" s="1597">
        <f t="shared" si="7"/>
        <v>3618050.6446055118</v>
      </c>
      <c r="Q44" s="1597"/>
      <c r="R44" s="1597"/>
      <c r="S44" s="1597">
        <f t="shared" si="8"/>
        <v>3618050.6446055118</v>
      </c>
      <c r="T44" s="1598"/>
    </row>
    <row r="45" spans="1:25" s="810" customFormat="1" ht="22.5" customHeight="1">
      <c r="A45" s="1592">
        <v>33</v>
      </c>
      <c r="B45" s="1607" t="s">
        <v>454</v>
      </c>
      <c r="C45" s="1616" t="str">
        <f>'Chấm công công nhân'!L45</f>
        <v>Nàng Chon</v>
      </c>
      <c r="D45" s="1594"/>
      <c r="E45" s="1592" t="s">
        <v>40</v>
      </c>
      <c r="F45" s="1592" t="s">
        <v>272</v>
      </c>
      <c r="G45" s="1595">
        <f>VLOOKUP(C45,'BẢNG LƯƠNG KT'!C49:G78,4,0)</f>
        <v>0</v>
      </c>
      <c r="H45" s="1596">
        <v>25000</v>
      </c>
      <c r="I45" s="1592" t="s">
        <v>247</v>
      </c>
      <c r="J45" s="1592"/>
      <c r="K45" s="1683">
        <f t="shared" si="2"/>
        <v>0</v>
      </c>
      <c r="L45" s="1590">
        <f>+VLOOKUP(C45,'BẢNG LƯƠNG KT'!C49:L78,10,0)</f>
        <v>3336731.4255879251</v>
      </c>
      <c r="M45" s="1590">
        <f>VLOOKUP(C45,'BẢNG LƯƠNG KT'!C49:S49,15,0)</f>
        <v>21</v>
      </c>
      <c r="N45" s="1590">
        <f t="shared" si="3"/>
        <v>3336752.4255879251</v>
      </c>
      <c r="O45" s="1597"/>
      <c r="P45" s="1597">
        <f t="shared" si="6"/>
        <v>3336752.4255879251</v>
      </c>
      <c r="Q45" s="1597"/>
      <c r="R45" s="1597"/>
      <c r="S45" s="1597">
        <f t="shared" si="5"/>
        <v>3336752.4255879251</v>
      </c>
      <c r="T45" s="1598"/>
      <c r="Y45" s="810">
        <v>304</v>
      </c>
    </row>
    <row r="46" spans="1:25" s="810" customFormat="1" ht="22.5" customHeight="1">
      <c r="A46" s="1592">
        <v>34</v>
      </c>
      <c r="B46" s="1607" t="s">
        <v>464</v>
      </c>
      <c r="C46" s="1616" t="str">
        <f>'Chấm công công nhân'!L46</f>
        <v>Bun han</v>
      </c>
      <c r="D46" s="1594"/>
      <c r="E46" s="1592" t="s">
        <v>40</v>
      </c>
      <c r="F46" s="1592" t="s">
        <v>272</v>
      </c>
      <c r="G46" s="1595">
        <f>VLOOKUP(C46,'BẢNG LƯƠNG KT'!C50:G78,4,0)</f>
        <v>0</v>
      </c>
      <c r="H46" s="1596">
        <v>25000</v>
      </c>
      <c r="I46" s="1592" t="s">
        <v>247</v>
      </c>
      <c r="J46" s="1592"/>
      <c r="K46" s="1683">
        <f t="shared" si="2"/>
        <v>0</v>
      </c>
      <c r="L46" s="1590">
        <f>+VLOOKUP(C46,'BẢNG LƯƠNG KT'!C50:L78,10,0)</f>
        <v>3567910.0078839883</v>
      </c>
      <c r="M46" s="1590">
        <f>VLOOKUP(C46,'BẢNG LƯƠNG KT'!C50:S50,15,0)</f>
        <v>26</v>
      </c>
      <c r="N46" s="1590">
        <f t="shared" si="3"/>
        <v>3567936.0078839883</v>
      </c>
      <c r="O46" s="1597"/>
      <c r="P46" s="1597">
        <f t="shared" si="6"/>
        <v>3567936.0078839883</v>
      </c>
      <c r="Q46" s="1597"/>
      <c r="R46" s="1597"/>
      <c r="S46" s="1597">
        <f t="shared" si="5"/>
        <v>3567936.0078839883</v>
      </c>
      <c r="T46" s="1598"/>
      <c r="Y46" s="810">
        <v>395</v>
      </c>
    </row>
    <row r="47" spans="1:25" s="810" customFormat="1" ht="22.5" customHeight="1">
      <c r="A47" s="1592">
        <v>35</v>
      </c>
      <c r="B47" s="1607" t="s">
        <v>466</v>
      </c>
      <c r="C47" s="1616" t="str">
        <f>'Chấm công công nhân'!L47</f>
        <v>Hăn</v>
      </c>
      <c r="D47" s="1594"/>
      <c r="E47" s="1592" t="s">
        <v>40</v>
      </c>
      <c r="F47" s="1592" t="s">
        <v>272</v>
      </c>
      <c r="G47" s="1595">
        <f>VLOOKUP(C47,'BẢNG LƯƠNG KT'!C51:G78,4,0)</f>
        <v>0</v>
      </c>
      <c r="H47" s="1596">
        <v>25000</v>
      </c>
      <c r="I47" s="1592" t="s">
        <v>247</v>
      </c>
      <c r="J47" s="1592"/>
      <c r="K47" s="1683">
        <f t="shared" si="2"/>
        <v>0</v>
      </c>
      <c r="L47" s="1590">
        <f>+VLOOKUP(C47,'BẢNG LƯƠNG KT'!C51:L78,10,0)</f>
        <v>3747356.320015897</v>
      </c>
      <c r="M47" s="1590">
        <f>VLOOKUP(C47,'BẢNG LƯƠNG KT'!C51:S51,15,0)</f>
        <v>25</v>
      </c>
      <c r="N47" s="1590">
        <f t="shared" si="3"/>
        <v>3747381.320015897</v>
      </c>
      <c r="O47" s="1597"/>
      <c r="P47" s="1597">
        <f t="shared" si="6"/>
        <v>3747381.320015897</v>
      </c>
      <c r="Q47" s="1597"/>
      <c r="R47" s="1597"/>
      <c r="S47" s="1597">
        <f t="shared" si="5"/>
        <v>3747381.320015897</v>
      </c>
      <c r="T47" s="1598"/>
    </row>
    <row r="48" spans="1:25" s="810" customFormat="1" ht="22.5" customHeight="1">
      <c r="A48" s="1592">
        <v>36</v>
      </c>
      <c r="B48" s="1607"/>
      <c r="C48" s="1616" t="str">
        <f>'Chấm công công nhân'!L48</f>
        <v>Thảo Tuỳ</v>
      </c>
      <c r="D48" s="1594"/>
      <c r="E48" s="1592" t="s">
        <v>40</v>
      </c>
      <c r="F48" s="1592" t="s">
        <v>272</v>
      </c>
      <c r="G48" s="1595">
        <f>VLOOKUP(C48,'BẢNG LƯƠNG KT'!C52:G78,4,0)</f>
        <v>0</v>
      </c>
      <c r="H48" s="1596">
        <v>25000</v>
      </c>
      <c r="I48" s="1592" t="s">
        <v>247</v>
      </c>
      <c r="J48" s="1592"/>
      <c r="K48" s="1683">
        <f t="shared" si="2"/>
        <v>0</v>
      </c>
      <c r="L48" s="1590">
        <f>+VLOOKUP(C48,'BẢNG LƯƠNG KT'!C52:L88,10,0)</f>
        <v>4512469.9062260389</v>
      </c>
      <c r="M48" s="1590">
        <f>VLOOKUP(C48,'BẢNG LƯƠNG KT'!C52:S52,15,0)</f>
        <v>31</v>
      </c>
      <c r="N48" s="1590">
        <f t="shared" si="3"/>
        <v>4512500.9062260389</v>
      </c>
      <c r="O48" s="1597"/>
      <c r="P48" s="1597">
        <f t="shared" si="6"/>
        <v>4512500.9062260389</v>
      </c>
      <c r="Q48" s="1597"/>
      <c r="R48" s="1597"/>
      <c r="S48" s="1597">
        <f t="shared" si="5"/>
        <v>4512500.9062260389</v>
      </c>
      <c r="T48" s="1598"/>
    </row>
    <row r="49" spans="1:21" s="810" customFormat="1" ht="22.5" customHeight="1">
      <c r="A49" s="1592">
        <v>37</v>
      </c>
      <c r="B49" s="1607"/>
      <c r="C49" s="1967" t="str">
        <f>'Tong hop cong'!C49</f>
        <v>Thảo e</v>
      </c>
      <c r="D49" s="1594"/>
      <c r="E49" s="1592" t="s">
        <v>263</v>
      </c>
      <c r="F49" s="1592"/>
      <c r="G49" s="1595">
        <f>VLOOKUP(C49,'BẢNG LƯƠNG KT'!C53:G88,4,0)</f>
        <v>0</v>
      </c>
      <c r="H49" s="1596">
        <v>25000</v>
      </c>
      <c r="I49" s="1592" t="s">
        <v>247</v>
      </c>
      <c r="J49" s="1592"/>
      <c r="K49" s="1683">
        <f t="shared" si="2"/>
        <v>0</v>
      </c>
      <c r="L49" s="1590">
        <f>+VLOOKUP(C49,'BẢNG LƯƠNG KT'!C53:L89,10,0)</f>
        <v>0</v>
      </c>
      <c r="M49" s="1590">
        <f>VLOOKUP(C49,'BẢNG LƯƠNG KT'!C53:S53,15,0)</f>
        <v>0</v>
      </c>
      <c r="N49" s="1590">
        <f t="shared" si="3"/>
        <v>0</v>
      </c>
      <c r="O49" s="1597"/>
      <c r="P49" s="1597">
        <f t="shared" si="6"/>
        <v>0</v>
      </c>
      <c r="Q49" s="1597"/>
      <c r="R49" s="1597"/>
      <c r="S49" s="1597">
        <f t="shared" si="5"/>
        <v>0</v>
      </c>
      <c r="T49" s="1598"/>
    </row>
    <row r="50" spans="1:21" s="1674" customFormat="1" ht="22.5" customHeight="1">
      <c r="A50" s="4377" t="s">
        <v>737</v>
      </c>
      <c r="B50" s="4377"/>
      <c r="C50" s="4377" t="s">
        <v>322</v>
      </c>
      <c r="D50" s="4377"/>
      <c r="E50" s="1675"/>
      <c r="F50" s="1675"/>
      <c r="G50" s="1676">
        <f>SUM(G51:G65)</f>
        <v>0</v>
      </c>
      <c r="H50" s="1677"/>
      <c r="I50" s="1677"/>
      <c r="J50" s="1677"/>
      <c r="K50" s="1684">
        <f>SUM(K51:K65)</f>
        <v>0</v>
      </c>
      <c r="L50" s="1678">
        <f t="shared" ref="L50:S50" si="9">SUM(L51:L65)</f>
        <v>61486147.903489992</v>
      </c>
      <c r="M50" s="1678">
        <f t="shared" si="9"/>
        <v>449</v>
      </c>
      <c r="N50" s="1678">
        <f t="shared" si="9"/>
        <v>61486596.903489992</v>
      </c>
      <c r="O50" s="1678">
        <f t="shared" si="9"/>
        <v>0</v>
      </c>
      <c r="P50" s="1678">
        <f t="shared" si="9"/>
        <v>61486596.903489992</v>
      </c>
      <c r="Q50" s="1678">
        <f t="shared" si="9"/>
        <v>0</v>
      </c>
      <c r="R50" s="1678">
        <f t="shared" si="9"/>
        <v>0</v>
      </c>
      <c r="S50" s="1678">
        <f t="shared" si="9"/>
        <v>61486596.903489992</v>
      </c>
      <c r="T50" s="1677"/>
      <c r="U50" s="1674">
        <f>+'BẢNG LƯƠNG KT'!V54</f>
        <v>94216709.503490001</v>
      </c>
    </row>
    <row r="51" spans="1:21" s="810" customFormat="1" ht="22.5" customHeight="1">
      <c r="A51" s="1592">
        <v>1</v>
      </c>
      <c r="B51" s="1607" t="s">
        <v>438</v>
      </c>
      <c r="C51" s="1569" t="str">
        <f>'Chấm công công nhân'!L50</f>
        <v>Thảo tít</v>
      </c>
      <c r="D51" s="1594"/>
      <c r="E51" s="1592" t="s">
        <v>40</v>
      </c>
      <c r="F51" s="1592" t="s">
        <v>273</v>
      </c>
      <c r="G51" s="1595">
        <f>+VLOOKUP(C51,'BẢNG LƯƠNG KT'!C55:G69,4,0)</f>
        <v>0</v>
      </c>
      <c r="H51" s="1596">
        <v>25000</v>
      </c>
      <c r="I51" s="1592" t="s">
        <v>247</v>
      </c>
      <c r="J51" s="1592"/>
      <c r="K51" s="1685">
        <f>+G51*H51</f>
        <v>0</v>
      </c>
      <c r="L51" s="1597">
        <f>+VLOOKUP(C51,'BẢNG LƯƠNG KT'!C55:L69,10,0)</f>
        <v>3773841.1990038231</v>
      </c>
      <c r="M51" s="1597">
        <f>+VLOOKUP(C51,'BẢNG LƯƠNG KT'!C55:S69,15,0)</f>
        <v>30</v>
      </c>
      <c r="N51" s="1597">
        <f>SUM(K51:M51)</f>
        <v>3773871.1990038231</v>
      </c>
      <c r="O51" s="1597"/>
      <c r="P51" s="1597">
        <f t="shared" ref="P51" si="10">N51</f>
        <v>3773871.1990038231</v>
      </c>
      <c r="Q51" s="1597"/>
      <c r="R51" s="1597"/>
      <c r="S51" s="1597">
        <f>+P51-Q51-R51</f>
        <v>3773871.1990038231</v>
      </c>
      <c r="T51" s="1598"/>
    </row>
    <row r="52" spans="1:21" s="810" customFormat="1" ht="22.5" customHeight="1">
      <c r="A52" s="1592">
        <v>2</v>
      </c>
      <c r="B52" s="1593" t="s">
        <v>440</v>
      </c>
      <c r="C52" s="1569" t="str">
        <f>'Chấm công công nhân'!L51</f>
        <v>Thảo ớt</v>
      </c>
      <c r="D52" s="1594"/>
      <c r="E52" s="1592" t="s">
        <v>40</v>
      </c>
      <c r="F52" s="1592" t="s">
        <v>273</v>
      </c>
      <c r="G52" s="1595">
        <f>+VLOOKUP(C52,'BẢNG LƯƠNG KT'!C56:G69,4,0)</f>
        <v>0</v>
      </c>
      <c r="H52" s="1596">
        <v>25000</v>
      </c>
      <c r="I52" s="1592" t="s">
        <v>247</v>
      </c>
      <c r="J52" s="1592"/>
      <c r="K52" s="1685">
        <f t="shared" ref="K52:K66" si="11">+G52*H52</f>
        <v>0</v>
      </c>
      <c r="L52" s="1597">
        <f>+VLOOKUP(C52,'BẢNG LƯƠNG KT'!C56:L69,10,0)</f>
        <v>4434873.4927735673</v>
      </c>
      <c r="M52" s="1597">
        <f>+VLOOKUP(C52,'BẢNG LƯƠNG KT'!C56:S69,15,0)</f>
        <v>31</v>
      </c>
      <c r="N52" s="1597">
        <f t="shared" ref="N52:N66" si="12">SUM(K52:M52)</f>
        <v>4434904.4927735673</v>
      </c>
      <c r="O52" s="1597"/>
      <c r="P52" s="1597">
        <f t="shared" ref="P52:P66" si="13">N52</f>
        <v>4434904.4927735673</v>
      </c>
      <c r="Q52" s="1597"/>
      <c r="R52" s="1597"/>
      <c r="S52" s="1597">
        <f t="shared" ref="S52:S66" si="14">+P52-Q52-R52</f>
        <v>4434904.4927735673</v>
      </c>
      <c r="T52" s="1598"/>
    </row>
    <row r="53" spans="1:21" s="810" customFormat="1" ht="22.5" customHeight="1">
      <c r="A53" s="1592">
        <v>3</v>
      </c>
      <c r="B53" s="1593" t="s">
        <v>442</v>
      </c>
      <c r="C53" s="1569" t="str">
        <f>'Chấm công công nhân'!L52</f>
        <v>Nàng Ọt</v>
      </c>
      <c r="D53" s="1594"/>
      <c r="E53" s="1592" t="s">
        <v>40</v>
      </c>
      <c r="F53" s="1592" t="s">
        <v>273</v>
      </c>
      <c r="G53" s="1595">
        <f>+VLOOKUP(C53,'BẢNG LƯƠNG KT'!C57:G71,4,0)</f>
        <v>0</v>
      </c>
      <c r="H53" s="1596">
        <v>25000</v>
      </c>
      <c r="I53" s="1592" t="s">
        <v>247</v>
      </c>
      <c r="J53" s="1592"/>
      <c r="K53" s="1685">
        <f t="shared" si="11"/>
        <v>0</v>
      </c>
      <c r="L53" s="1597">
        <f>+VLOOKUP(C53,'BẢNG LƯƠNG KT'!C57:L71,10,0)</f>
        <v>3924206.4611555557</v>
      </c>
      <c r="M53" s="1597">
        <f>+VLOOKUP(C53,'BẢNG LƯƠNG KT'!C57:S71,15,0)</f>
        <v>31</v>
      </c>
      <c r="N53" s="1597">
        <f t="shared" si="12"/>
        <v>3924237.4611555557</v>
      </c>
      <c r="O53" s="1597"/>
      <c r="P53" s="1597">
        <f t="shared" si="13"/>
        <v>3924237.4611555557</v>
      </c>
      <c r="Q53" s="1597"/>
      <c r="R53" s="1597"/>
      <c r="S53" s="1597">
        <f t="shared" si="14"/>
        <v>3924237.4611555557</v>
      </c>
      <c r="T53" s="1598"/>
    </row>
    <row r="54" spans="1:21" s="810" customFormat="1" ht="22.5" customHeight="1">
      <c r="A54" s="1592">
        <v>4</v>
      </c>
      <c r="B54" s="1593" t="s">
        <v>444</v>
      </c>
      <c r="C54" s="1569" t="str">
        <f>'Chấm công công nhân'!L53</f>
        <v>Thào Tòng</v>
      </c>
      <c r="D54" s="1594"/>
      <c r="E54" s="1592" t="s">
        <v>40</v>
      </c>
      <c r="F54" s="1592" t="s">
        <v>273</v>
      </c>
      <c r="G54" s="1595">
        <f>+VLOOKUP(C54,'BẢNG LƯƠNG KT'!C58:G72,4,0)</f>
        <v>0</v>
      </c>
      <c r="H54" s="1596">
        <v>25000</v>
      </c>
      <c r="I54" s="1592" t="s">
        <v>247</v>
      </c>
      <c r="J54" s="1592"/>
      <c r="K54" s="1685">
        <f t="shared" si="11"/>
        <v>0</v>
      </c>
      <c r="L54" s="1597">
        <f>+VLOOKUP(C54,'BẢNG LƯƠNG KT'!C58:L72,10,0)</f>
        <v>3912765.6259918371</v>
      </c>
      <c r="M54" s="1597">
        <f>+VLOOKUP(C54,'BẢNG LƯƠNG KT'!C58:S72,15,0)</f>
        <v>31</v>
      </c>
      <c r="N54" s="1597">
        <f t="shared" si="12"/>
        <v>3912796.6259918371</v>
      </c>
      <c r="O54" s="1597"/>
      <c r="P54" s="1597">
        <f t="shared" si="13"/>
        <v>3912796.6259918371</v>
      </c>
      <c r="Q54" s="1597"/>
      <c r="R54" s="1597"/>
      <c r="S54" s="1597">
        <f t="shared" si="14"/>
        <v>3912796.6259918371</v>
      </c>
      <c r="T54" s="1598"/>
    </row>
    <row r="55" spans="1:21" s="810" customFormat="1" ht="22.5" customHeight="1">
      <c r="A55" s="1592">
        <v>5</v>
      </c>
      <c r="B55" s="1593" t="s">
        <v>446</v>
      </c>
      <c r="C55" s="1569" t="str">
        <f>'Chấm công công nhân'!L54</f>
        <v>Nàng Nơm</v>
      </c>
      <c r="D55" s="1594"/>
      <c r="E55" s="1592" t="s">
        <v>40</v>
      </c>
      <c r="F55" s="1592" t="s">
        <v>273</v>
      </c>
      <c r="G55" s="1595">
        <f>+VLOOKUP(C55,'BẢNG LƯƠNG KT'!C59:G73,4,0)</f>
        <v>0</v>
      </c>
      <c r="H55" s="1596">
        <v>25000</v>
      </c>
      <c r="I55" s="1592" t="s">
        <v>247</v>
      </c>
      <c r="J55" s="1592"/>
      <c r="K55" s="1685">
        <f t="shared" si="11"/>
        <v>0</v>
      </c>
      <c r="L55" s="1597">
        <f>+VLOOKUP(C55,'BẢNG LƯƠNG KT'!C59:L73,10,0)</f>
        <v>4106555.3388511827</v>
      </c>
      <c r="M55" s="1597">
        <f>+VLOOKUP(C55,'BẢNG LƯƠNG KT'!C59:S73,15,0)</f>
        <v>31</v>
      </c>
      <c r="N55" s="1597">
        <f t="shared" si="12"/>
        <v>4106586.3388511827</v>
      </c>
      <c r="O55" s="1597"/>
      <c r="P55" s="1597">
        <f t="shared" si="13"/>
        <v>4106586.3388511827</v>
      </c>
      <c r="Q55" s="1597"/>
      <c r="R55" s="1597"/>
      <c r="S55" s="1597">
        <f t="shared" si="14"/>
        <v>4106586.3388511827</v>
      </c>
      <c r="T55" s="1598"/>
    </row>
    <row r="56" spans="1:21" s="810" customFormat="1" ht="22.5" customHeight="1">
      <c r="A56" s="1592">
        <v>6</v>
      </c>
      <c r="B56" s="1593" t="s">
        <v>448</v>
      </c>
      <c r="C56" s="1569" t="str">
        <f>'Chấm công công nhân'!L55</f>
        <v>Thảo Ây</v>
      </c>
      <c r="D56" s="1594"/>
      <c r="E56" s="1592" t="s">
        <v>40</v>
      </c>
      <c r="F56" s="1592" t="s">
        <v>273</v>
      </c>
      <c r="G56" s="1595">
        <f>+VLOOKUP(C56,'BẢNG LƯƠNG KT'!C60:G74,4,0)</f>
        <v>0</v>
      </c>
      <c r="H56" s="1596">
        <v>25000</v>
      </c>
      <c r="I56" s="1592" t="s">
        <v>247</v>
      </c>
      <c r="J56" s="1592"/>
      <c r="K56" s="1685">
        <f t="shared" si="11"/>
        <v>0</v>
      </c>
      <c r="L56" s="1597">
        <f>+VLOOKUP(C56,'BẢNG LƯƠNG KT'!C60:L74,10,0)</f>
        <v>4087646.9634943963</v>
      </c>
      <c r="M56" s="1597">
        <f>+VLOOKUP(C56,'BẢNG LƯƠNG KT'!C60:S74,15,0)</f>
        <v>31</v>
      </c>
      <c r="N56" s="1597">
        <f t="shared" si="12"/>
        <v>4087677.9634943963</v>
      </c>
      <c r="O56" s="1597"/>
      <c r="P56" s="1597">
        <f t="shared" si="13"/>
        <v>4087677.9634943963</v>
      </c>
      <c r="Q56" s="1597"/>
      <c r="R56" s="1597"/>
      <c r="S56" s="1597">
        <f t="shared" si="14"/>
        <v>4087677.9634943963</v>
      </c>
      <c r="T56" s="1598"/>
    </row>
    <row r="57" spans="1:21" s="810" customFormat="1" ht="22.5" customHeight="1">
      <c r="A57" s="1592">
        <v>7</v>
      </c>
      <c r="B57" s="1593" t="s">
        <v>452</v>
      </c>
      <c r="C57" s="1569" t="str">
        <f>'Chấm công công nhân'!L56</f>
        <v>Thảo Âm Thong</v>
      </c>
      <c r="D57" s="1594"/>
      <c r="E57" s="1592" t="s">
        <v>40</v>
      </c>
      <c r="F57" s="1592" t="s">
        <v>273</v>
      </c>
      <c r="G57" s="1595">
        <f>+VLOOKUP(C57,'BẢNG LƯƠNG KT'!C61:G75,4,0)</f>
        <v>0</v>
      </c>
      <c r="H57" s="1596">
        <v>25000</v>
      </c>
      <c r="I57" s="1592" t="s">
        <v>247</v>
      </c>
      <c r="J57" s="1592"/>
      <c r="K57" s="1685">
        <f t="shared" si="11"/>
        <v>0</v>
      </c>
      <c r="L57" s="1597">
        <f>+VLOOKUP(C57,'BẢNG LƯƠNG KT'!C61:L75,10,0)</f>
        <v>3115232.333372206</v>
      </c>
      <c r="M57" s="1597">
        <f>+VLOOKUP(C57,'BẢNG LƯƠNG KT'!C61:S75,15,0)</f>
        <v>27</v>
      </c>
      <c r="N57" s="1597">
        <f t="shared" si="12"/>
        <v>3115259.333372206</v>
      </c>
      <c r="O57" s="1597"/>
      <c r="P57" s="1597">
        <f t="shared" si="13"/>
        <v>3115259.333372206</v>
      </c>
      <c r="Q57" s="1597"/>
      <c r="R57" s="1597"/>
      <c r="S57" s="1597">
        <f t="shared" si="14"/>
        <v>3115259.333372206</v>
      </c>
      <c r="T57" s="1598"/>
    </row>
    <row r="58" spans="1:21" s="810" customFormat="1" ht="22.5" customHeight="1">
      <c r="A58" s="1592">
        <v>8</v>
      </c>
      <c r="B58" s="1593" t="s">
        <v>456</v>
      </c>
      <c r="C58" s="1569" t="str">
        <f>'Chấm công công nhân'!L57</f>
        <v>Nàng phon</v>
      </c>
      <c r="D58" s="1594"/>
      <c r="E58" s="1592" t="s">
        <v>40</v>
      </c>
      <c r="F58" s="1592" t="s">
        <v>273</v>
      </c>
      <c r="G58" s="1595">
        <f>+VLOOKUP(C58,'BẢNG LƯƠNG KT'!C62:G76,4,0)</f>
        <v>0</v>
      </c>
      <c r="H58" s="1596">
        <v>25000</v>
      </c>
      <c r="I58" s="1592" t="s">
        <v>247</v>
      </c>
      <c r="J58" s="1592"/>
      <c r="K58" s="1685">
        <f t="shared" si="11"/>
        <v>0</v>
      </c>
      <c r="L58" s="1597">
        <f>+VLOOKUP(C58,'BẢNG LƯƠNG KT'!C62:L76,10,0)</f>
        <v>3618572.7217819244</v>
      </c>
      <c r="M58" s="1597">
        <f>+VLOOKUP(C58,'BẢNG LƯƠNG KT'!C62:S76,15,0)</f>
        <v>28</v>
      </c>
      <c r="N58" s="1597">
        <f t="shared" si="12"/>
        <v>3618600.7217819244</v>
      </c>
      <c r="O58" s="1597"/>
      <c r="P58" s="1597">
        <f t="shared" si="13"/>
        <v>3618600.7217819244</v>
      </c>
      <c r="Q58" s="1597"/>
      <c r="R58" s="1597"/>
      <c r="S58" s="1597">
        <f t="shared" si="14"/>
        <v>3618600.7217819244</v>
      </c>
      <c r="T58" s="1598"/>
    </row>
    <row r="59" spans="1:21" s="810" customFormat="1" ht="22.5" customHeight="1">
      <c r="A59" s="1592">
        <v>9</v>
      </c>
      <c r="B59" s="1593" t="s">
        <v>475</v>
      </c>
      <c r="C59" s="1569" t="str">
        <f>'Chấm công công nhân'!L58</f>
        <v>Thảo phắt</v>
      </c>
      <c r="D59" s="1594"/>
      <c r="E59" s="1592" t="s">
        <v>40</v>
      </c>
      <c r="F59" s="1592" t="s">
        <v>273</v>
      </c>
      <c r="G59" s="1595">
        <f>+VLOOKUP(C59,'BẢNG LƯƠNG KT'!C63:G77,4,0)</f>
        <v>0</v>
      </c>
      <c r="H59" s="1596">
        <v>25000</v>
      </c>
      <c r="I59" s="1592" t="s">
        <v>247</v>
      </c>
      <c r="J59" s="1592"/>
      <c r="K59" s="1685">
        <f t="shared" si="11"/>
        <v>0</v>
      </c>
      <c r="L59" s="1597">
        <f>+VLOOKUP(C59,'BẢNG LƯƠNG KT'!C63:L77,10,0)</f>
        <v>4197152.1000614185</v>
      </c>
      <c r="M59" s="1597">
        <f>+VLOOKUP(C59,'BẢNG LƯƠNG KT'!C63:S77,15,0)</f>
        <v>31</v>
      </c>
      <c r="N59" s="1597">
        <f t="shared" si="12"/>
        <v>4197183.1000614185</v>
      </c>
      <c r="O59" s="1597"/>
      <c r="P59" s="1597">
        <f t="shared" si="13"/>
        <v>4197183.1000614185</v>
      </c>
      <c r="Q59" s="1597"/>
      <c r="R59" s="1597"/>
      <c r="S59" s="1597">
        <f t="shared" si="14"/>
        <v>4197183.1000614185</v>
      </c>
      <c r="T59" s="1598"/>
    </row>
    <row r="60" spans="1:21" s="810" customFormat="1" ht="22.5" customHeight="1">
      <c r="A60" s="1592">
        <v>10</v>
      </c>
      <c r="B60" s="1593" t="s">
        <v>477</v>
      </c>
      <c r="C60" s="1569" t="str">
        <f>'Chấm công công nhân'!L59</f>
        <v>Thảo Phon Say</v>
      </c>
      <c r="D60" s="1594"/>
      <c r="E60" s="1592" t="s">
        <v>40</v>
      </c>
      <c r="F60" s="1592" t="s">
        <v>273</v>
      </c>
      <c r="G60" s="1595">
        <f>+VLOOKUP(C60,'BẢNG LƯƠNG KT'!C64:G78,4,0)</f>
        <v>0</v>
      </c>
      <c r="H60" s="1596">
        <v>25000</v>
      </c>
      <c r="I60" s="1592" t="s">
        <v>247</v>
      </c>
      <c r="J60" s="1592"/>
      <c r="K60" s="1685">
        <f t="shared" si="11"/>
        <v>0</v>
      </c>
      <c r="L60" s="1597">
        <f>+VLOOKUP(C60,'BẢNG LƯƠNG KT'!C64:L78,10,0)</f>
        <v>4352420.5772833172</v>
      </c>
      <c r="M60" s="1597">
        <f>+VLOOKUP(C60,'BẢNG LƯƠNG KT'!C64:S78,15,0)</f>
        <v>31</v>
      </c>
      <c r="N60" s="1597">
        <f t="shared" si="12"/>
        <v>4352451.5772833172</v>
      </c>
      <c r="O60" s="1597"/>
      <c r="P60" s="1597">
        <f t="shared" si="13"/>
        <v>4352451.5772833172</v>
      </c>
      <c r="Q60" s="1597"/>
      <c r="R60" s="1597"/>
      <c r="S60" s="1597">
        <f t="shared" si="14"/>
        <v>4352451.5772833172</v>
      </c>
      <c r="T60" s="1598"/>
    </row>
    <row r="61" spans="1:21" s="810" customFormat="1" ht="22.5" customHeight="1">
      <c r="A61" s="1592">
        <v>11</v>
      </c>
      <c r="B61" s="1593"/>
      <c r="C61" s="1569" t="str">
        <f>'Chấm công công nhân'!L60</f>
        <v>Nàng Pít</v>
      </c>
      <c r="D61" s="1594"/>
      <c r="E61" s="1592" t="s">
        <v>40</v>
      </c>
      <c r="F61" s="1592" t="s">
        <v>273</v>
      </c>
      <c r="G61" s="1595">
        <f>+VLOOKUP(C61,'BẢNG LƯƠNG KT'!C65:G78,4,0)</f>
        <v>0</v>
      </c>
      <c r="H61" s="1596">
        <v>25000</v>
      </c>
      <c r="I61" s="1592" t="s">
        <v>247</v>
      </c>
      <c r="J61" s="1592"/>
      <c r="K61" s="1685">
        <f t="shared" si="11"/>
        <v>0</v>
      </c>
      <c r="L61" s="1597">
        <f>+VLOOKUP(C61,'BẢNG LƯƠNG KT'!C65:L78,10,0)</f>
        <v>3547645.1796462587</v>
      </c>
      <c r="M61" s="1597">
        <f>+VLOOKUP(C61,'BẢNG LƯƠNG KT'!C65:S78,15,0)</f>
        <v>30</v>
      </c>
      <c r="N61" s="1597">
        <f t="shared" si="12"/>
        <v>3547675.1796462587</v>
      </c>
      <c r="O61" s="1597"/>
      <c r="P61" s="1597">
        <f t="shared" si="13"/>
        <v>3547675.1796462587</v>
      </c>
      <c r="Q61" s="1597"/>
      <c r="R61" s="1597"/>
      <c r="S61" s="1597">
        <f t="shared" si="14"/>
        <v>3547675.1796462587</v>
      </c>
      <c r="T61" s="1598"/>
    </row>
    <row r="62" spans="1:21" s="810" customFormat="1" ht="22.5" customHeight="1">
      <c r="A62" s="1592">
        <v>12</v>
      </c>
      <c r="B62" s="1593"/>
      <c r="C62" s="1569" t="str">
        <f>'Chấm công công nhân'!L61</f>
        <v>Thảo út</v>
      </c>
      <c r="D62" s="1594"/>
      <c r="E62" s="1592" t="s">
        <v>40</v>
      </c>
      <c r="F62" s="1592" t="s">
        <v>273</v>
      </c>
      <c r="G62" s="1595">
        <f>+VLOOKUP(C62,'BẢNG LƯƠNG KT'!C66:G78,4,0)</f>
        <v>0</v>
      </c>
      <c r="H62" s="1596">
        <v>25000</v>
      </c>
      <c r="I62" s="1592" t="s">
        <v>247</v>
      </c>
      <c r="J62" s="1592"/>
      <c r="K62" s="1685">
        <f t="shared" si="11"/>
        <v>0</v>
      </c>
      <c r="L62" s="1597">
        <f>+VLOOKUP(C62,'BẢNG LƯƠNG KT'!C66:L78,10,0)</f>
        <v>4501912.2781294463</v>
      </c>
      <c r="M62" s="1597">
        <f>+VLOOKUP(C62,'BẢNG LƯƠNG KT'!C66:S78,15,0)</f>
        <v>31</v>
      </c>
      <c r="N62" s="1597">
        <f t="shared" si="12"/>
        <v>4501943.2781294463</v>
      </c>
      <c r="O62" s="1597"/>
      <c r="P62" s="1597">
        <f t="shared" si="13"/>
        <v>4501943.2781294463</v>
      </c>
      <c r="Q62" s="1597"/>
      <c r="R62" s="1597"/>
      <c r="S62" s="1597">
        <f t="shared" si="14"/>
        <v>4501943.2781294463</v>
      </c>
      <c r="T62" s="1598"/>
    </row>
    <row r="63" spans="1:21" s="810" customFormat="1" ht="22.5" customHeight="1">
      <c r="A63" s="1592">
        <v>13</v>
      </c>
      <c r="B63" s="1593"/>
      <c r="C63" s="1569" t="str">
        <f>'Chấm công công nhân'!L62</f>
        <v>Nàng ăm</v>
      </c>
      <c r="D63" s="1594"/>
      <c r="E63" s="1592" t="s">
        <v>40</v>
      </c>
      <c r="F63" s="1592" t="s">
        <v>273</v>
      </c>
      <c r="G63" s="1595">
        <f>+VLOOKUP(C63,'BẢNG LƯƠNG KT'!C67:G78,4,0)</f>
        <v>0</v>
      </c>
      <c r="H63" s="1596">
        <v>25000</v>
      </c>
      <c r="I63" s="1592" t="s">
        <v>247</v>
      </c>
      <c r="J63" s="1592"/>
      <c r="K63" s="1685">
        <f t="shared" si="11"/>
        <v>0</v>
      </c>
      <c r="L63" s="1597">
        <f>+VLOOKUP(C63,'BẢNG LƯƠNG KT'!C67:L78,10,0)</f>
        <v>4515861.0796221578</v>
      </c>
      <c r="M63" s="1597">
        <f>+VLOOKUP(C63,'BẢNG LƯƠNG KT'!C67:S78,15,0)</f>
        <v>27</v>
      </c>
      <c r="N63" s="1597">
        <f t="shared" si="12"/>
        <v>4515888.0796221578</v>
      </c>
      <c r="O63" s="1597"/>
      <c r="P63" s="1597">
        <f t="shared" si="13"/>
        <v>4515888.0796221578</v>
      </c>
      <c r="Q63" s="1597"/>
      <c r="R63" s="1597"/>
      <c r="S63" s="1597">
        <f t="shared" si="14"/>
        <v>4515888.0796221578</v>
      </c>
      <c r="T63" s="1598"/>
    </row>
    <row r="64" spans="1:21" s="810" customFormat="1" ht="22.5" customHeight="1">
      <c r="A64" s="1592">
        <v>14</v>
      </c>
      <c r="B64" s="1593"/>
      <c r="C64" s="1569" t="str">
        <f>'Chấm công công nhân'!L63</f>
        <v>Nàng Phìn</v>
      </c>
      <c r="D64" s="1594"/>
      <c r="E64" s="1592" t="s">
        <v>40</v>
      </c>
      <c r="F64" s="1592" t="s">
        <v>273</v>
      </c>
      <c r="G64" s="1595">
        <f>+VLOOKUP(C64,'BẢNG LƯƠNG KT'!C68:G78,4,0)</f>
        <v>0</v>
      </c>
      <c r="H64" s="1596">
        <v>25000</v>
      </c>
      <c r="I64" s="1592" t="s">
        <v>247</v>
      </c>
      <c r="J64" s="1592"/>
      <c r="K64" s="1685">
        <f t="shared" si="11"/>
        <v>0</v>
      </c>
      <c r="L64" s="1597">
        <f>+VLOOKUP(C64,'BẢNG LƯƠNG KT'!C68:L78,10,0)</f>
        <v>4565513.1770568201</v>
      </c>
      <c r="M64" s="1597">
        <f>+VLOOKUP(C64,'BẢNG LƯƠNG KT'!C68:S78,15,0)</f>
        <v>31</v>
      </c>
      <c r="N64" s="1597">
        <f t="shared" si="12"/>
        <v>4565544.1770568201</v>
      </c>
      <c r="O64" s="1597"/>
      <c r="P64" s="1597">
        <f t="shared" si="13"/>
        <v>4565544.1770568201</v>
      </c>
      <c r="Q64" s="1597"/>
      <c r="R64" s="1597"/>
      <c r="S64" s="1597">
        <f t="shared" si="14"/>
        <v>4565544.1770568201</v>
      </c>
      <c r="T64" s="1598"/>
    </row>
    <row r="65" spans="1:24" s="810" customFormat="1" ht="22.5" customHeight="1">
      <c r="A65" s="1592">
        <v>15</v>
      </c>
      <c r="B65" s="1593"/>
      <c r="C65" s="1569" t="str">
        <f>'Chấm công công nhân'!L64</f>
        <v>May</v>
      </c>
      <c r="D65" s="1594"/>
      <c r="E65" s="1592" t="s">
        <v>40</v>
      </c>
      <c r="F65" s="1592" t="s">
        <v>273</v>
      </c>
      <c r="G65" s="1595">
        <f>+VLOOKUP(C65,'BẢNG LƯƠNG KT'!C69:G78,4,0)</f>
        <v>0</v>
      </c>
      <c r="H65" s="1596">
        <v>25000</v>
      </c>
      <c r="I65" s="1592" t="s">
        <v>247</v>
      </c>
      <c r="J65" s="1592"/>
      <c r="K65" s="1685">
        <f t="shared" si="11"/>
        <v>0</v>
      </c>
      <c r="L65" s="1597">
        <f>+VLOOKUP(C65,'BẢNG LƯƠNG KT'!C69:L78,10,0)</f>
        <v>4831949.3752660844</v>
      </c>
      <c r="M65" s="1597">
        <f>+VLOOKUP(C65,'BẢNG LƯƠNG KT'!C69:S78,15,0)</f>
        <v>28</v>
      </c>
      <c r="N65" s="1597">
        <f t="shared" si="12"/>
        <v>4831977.3752660844</v>
      </c>
      <c r="O65" s="1597"/>
      <c r="P65" s="1597">
        <f t="shared" si="13"/>
        <v>4831977.3752660844</v>
      </c>
      <c r="Q65" s="1597"/>
      <c r="R65" s="1597"/>
      <c r="S65" s="1597">
        <f t="shared" si="14"/>
        <v>4831977.3752660844</v>
      </c>
      <c r="T65" s="1598"/>
    </row>
    <row r="66" spans="1:24" s="810" customFormat="1" ht="22.5" customHeight="1">
      <c r="A66" s="1592">
        <v>16</v>
      </c>
      <c r="B66" s="1593"/>
      <c r="C66" s="1569" t="e">
        <f>'Chấm công công nhân'!#REF!</f>
        <v>#REF!</v>
      </c>
      <c r="D66" s="1594"/>
      <c r="E66" s="1592" t="s">
        <v>40</v>
      </c>
      <c r="F66" s="1592" t="s">
        <v>790</v>
      </c>
      <c r="G66" s="1595" t="e">
        <f>+VLOOKUP(C66,'BẢNG LƯƠNG KT'!C70:G88,4,0)</f>
        <v>#REF!</v>
      </c>
      <c r="H66" s="1596">
        <v>25000</v>
      </c>
      <c r="I66" s="1592" t="s">
        <v>247</v>
      </c>
      <c r="J66" s="1592"/>
      <c r="K66" s="1685" t="e">
        <f t="shared" si="11"/>
        <v>#REF!</v>
      </c>
      <c r="L66" s="1597" t="e">
        <f>+VLOOKUP(C66,'BẢNG LƯƠNG KT'!C70:L88,10,0)</f>
        <v>#REF!</v>
      </c>
      <c r="M66" s="1597" t="e">
        <f>+VLOOKUP(C66,'BẢNG LƯƠNG KT'!C70:S78,15,0)</f>
        <v>#REF!</v>
      </c>
      <c r="N66" s="1597" t="e">
        <f t="shared" si="12"/>
        <v>#REF!</v>
      </c>
      <c r="O66" s="1597"/>
      <c r="P66" s="1597" t="e">
        <f t="shared" si="13"/>
        <v>#REF!</v>
      </c>
      <c r="Q66" s="1597"/>
      <c r="R66" s="1597"/>
      <c r="S66" s="1597" t="e">
        <f t="shared" si="14"/>
        <v>#REF!</v>
      </c>
      <c r="T66" s="1598"/>
    </row>
    <row r="67" spans="1:24" s="1674" customFormat="1" ht="22.5" customHeight="1">
      <c r="A67" s="1679"/>
      <c r="B67" s="4377" t="s">
        <v>371</v>
      </c>
      <c r="C67" s="4377"/>
      <c r="D67" s="1675"/>
      <c r="E67" s="1675"/>
      <c r="F67" s="1675"/>
      <c r="G67" s="1680" t="e">
        <f>SUM(G68:G82)</f>
        <v>#N/A</v>
      </c>
      <c r="H67" s="1677"/>
      <c r="I67" s="1677"/>
      <c r="J67" s="1677"/>
      <c r="K67" s="1686"/>
      <c r="L67" s="1678" t="e">
        <f t="shared" ref="L67:R67" si="15">SUM(L68:L82)</f>
        <v>#REF!</v>
      </c>
      <c r="M67" s="1678" t="e">
        <f t="shared" si="15"/>
        <v>#N/A</v>
      </c>
      <c r="N67" s="1678" t="e">
        <f t="shared" si="15"/>
        <v>#N/A</v>
      </c>
      <c r="O67" s="1678">
        <f t="shared" si="15"/>
        <v>0</v>
      </c>
      <c r="P67" s="1678" t="e">
        <f t="shared" si="15"/>
        <v>#N/A</v>
      </c>
      <c r="Q67" s="1678">
        <f t="shared" si="15"/>
        <v>0</v>
      </c>
      <c r="R67" s="1678">
        <f t="shared" si="15"/>
        <v>0</v>
      </c>
      <c r="S67" s="1678" t="e">
        <f>SUM(S68:S83)</f>
        <v>#N/A</v>
      </c>
      <c r="T67" s="1681"/>
    </row>
    <row r="68" spans="1:24" s="810" customFormat="1" ht="22.5" customHeight="1">
      <c r="A68" s="1592">
        <v>1</v>
      </c>
      <c r="B68" s="1593" t="s">
        <v>482</v>
      </c>
      <c r="C68" s="1617" t="str">
        <f>'Chấm công công nhân'!L66</f>
        <v>Phò Đăm</v>
      </c>
      <c r="D68" s="1594"/>
      <c r="E68" s="1592" t="s">
        <v>40</v>
      </c>
      <c r="F68" s="1592" t="s">
        <v>790</v>
      </c>
      <c r="G68" s="1595">
        <f>+VLOOKUP(C68,'BẢNG LƯƠNG KT'!C72:G90,4,0)</f>
        <v>0</v>
      </c>
      <c r="H68" s="1596">
        <v>25000</v>
      </c>
      <c r="I68" s="1592" t="s">
        <v>247</v>
      </c>
      <c r="J68" s="1592"/>
      <c r="K68" s="1685">
        <f>+G68*H68</f>
        <v>0</v>
      </c>
      <c r="L68" s="1597">
        <f>+VLOOKUP(C68,'BẢNG LƯƠNG KT'!C72:L72,10,0)</f>
        <v>5352523.2896268172</v>
      </c>
      <c r="M68" s="1597">
        <f>+VLOOKUP(C68,'BẢNG LƯƠNG KT'!C72:S78,15,0)</f>
        <v>0</v>
      </c>
      <c r="N68" s="1597">
        <f t="shared" ref="N68:N82" si="16">SUM(K68:M68)</f>
        <v>5352523.2896268172</v>
      </c>
      <c r="O68" s="1597"/>
      <c r="P68" s="1597">
        <f>N68</f>
        <v>5352523.2896268172</v>
      </c>
      <c r="Q68" s="1597"/>
      <c r="R68" s="1597"/>
      <c r="S68" s="1597">
        <f>+P68-Q68-R68</f>
        <v>5352523.2896268172</v>
      </c>
      <c r="T68" s="1598"/>
      <c r="X68" s="893"/>
    </row>
    <row r="69" spans="1:24" s="810" customFormat="1" ht="22.5" customHeight="1">
      <c r="A69" s="1592">
        <v>2</v>
      </c>
      <c r="B69" s="1593" t="s">
        <v>484</v>
      </c>
      <c r="C69" s="1617" t="str">
        <f>'Chấm công công nhân'!L67</f>
        <v>Thảo Mai</v>
      </c>
      <c r="D69" s="1594"/>
      <c r="E69" s="1592" t="s">
        <v>40</v>
      </c>
      <c r="F69" s="1592" t="s">
        <v>790</v>
      </c>
      <c r="G69" s="1595">
        <f>+VLOOKUP(C69,'BẢNG LƯƠNG KT'!C72:G90,4,0)</f>
        <v>0</v>
      </c>
      <c r="H69" s="1596">
        <v>25000</v>
      </c>
      <c r="I69" s="1592" t="s">
        <v>247</v>
      </c>
      <c r="J69" s="1592"/>
      <c r="K69" s="1685">
        <f t="shared" ref="K69:K82" si="17">+G69*H69</f>
        <v>0</v>
      </c>
      <c r="L69" s="1597">
        <f>+VLOOKUP(C69,'BẢNG LƯƠNG KT'!C73:L73,10,0)</f>
        <v>965101.50347731484</v>
      </c>
      <c r="M69" s="1597">
        <f>+VLOOKUP(C69,'BẢNG LƯƠNG KT'!C73:S88,15,0)</f>
        <v>0</v>
      </c>
      <c r="N69" s="1597">
        <f t="shared" si="16"/>
        <v>965101.50347731484</v>
      </c>
      <c r="O69" s="1597"/>
      <c r="P69" s="1597">
        <f t="shared" ref="P69:P82" si="18">N69</f>
        <v>965101.50347731484</v>
      </c>
      <c r="Q69" s="1597"/>
      <c r="R69" s="1597"/>
      <c r="S69" s="1597">
        <f t="shared" ref="S69:S82" si="19">+P69-Q69-R69</f>
        <v>965101.50347731484</v>
      </c>
      <c r="T69" s="1598"/>
      <c r="X69" s="893"/>
    </row>
    <row r="70" spans="1:24" s="810" customFormat="1" ht="22.5" customHeight="1">
      <c r="A70" s="1592">
        <v>3</v>
      </c>
      <c r="B70" s="1593" t="s">
        <v>486</v>
      </c>
      <c r="C70" s="1617" t="str">
        <f>'Chấm công công nhân'!L68</f>
        <v>Thảo Tưng</v>
      </c>
      <c r="D70" s="1594"/>
      <c r="E70" s="1592" t="s">
        <v>40</v>
      </c>
      <c r="F70" s="1592" t="s">
        <v>790</v>
      </c>
      <c r="G70" s="1595">
        <f>+VLOOKUP(C70,'BẢNG LƯƠNG KT'!C74:G89,4,0)</f>
        <v>0</v>
      </c>
      <c r="H70" s="1596">
        <v>25000</v>
      </c>
      <c r="I70" s="1592" t="s">
        <v>247</v>
      </c>
      <c r="J70" s="1592"/>
      <c r="K70" s="1685">
        <f t="shared" si="17"/>
        <v>0</v>
      </c>
      <c r="L70" s="1597">
        <f>+VLOOKUP(C70,'BẢNG LƯƠNG KT'!C74:L74,10,0)</f>
        <v>2090722.9695453125</v>
      </c>
      <c r="M70" s="1597">
        <f>+VLOOKUP(C70,'BẢNG LƯƠNG KT'!C74:S89,15,0)</f>
        <v>0</v>
      </c>
      <c r="N70" s="1597">
        <f t="shared" si="16"/>
        <v>2090722.9695453125</v>
      </c>
      <c r="O70" s="1597"/>
      <c r="P70" s="1597">
        <f t="shared" si="18"/>
        <v>2090722.9695453125</v>
      </c>
      <c r="Q70" s="1597"/>
      <c r="R70" s="1597"/>
      <c r="S70" s="1597">
        <f t="shared" si="19"/>
        <v>2090722.9695453125</v>
      </c>
      <c r="T70" s="1598"/>
      <c r="X70" s="893"/>
    </row>
    <row r="71" spans="1:24" s="810" customFormat="1" ht="22.5" customHeight="1">
      <c r="A71" s="1592">
        <v>4</v>
      </c>
      <c r="B71" s="1593" t="s">
        <v>488</v>
      </c>
      <c r="C71" s="1617" t="str">
        <f>'Chấm công công nhân'!L69</f>
        <v>Thảo Xay</v>
      </c>
      <c r="D71" s="1594"/>
      <c r="E71" s="1592" t="s">
        <v>40</v>
      </c>
      <c r="F71" s="1592" t="s">
        <v>790</v>
      </c>
      <c r="G71" s="1595">
        <f>+VLOOKUP(C71,'BẢNG LƯƠNG KT'!C75:G90,4,0)</f>
        <v>0</v>
      </c>
      <c r="H71" s="1596">
        <v>25000</v>
      </c>
      <c r="I71" s="1592" t="s">
        <v>247</v>
      </c>
      <c r="J71" s="1592"/>
      <c r="K71" s="1685">
        <f t="shared" si="17"/>
        <v>0</v>
      </c>
      <c r="L71" s="1597">
        <f>+VLOOKUP(C71,'BẢNG LƯƠNG KT'!C75:L75,10,0)</f>
        <v>3568348.8597512115</v>
      </c>
      <c r="M71" s="1597">
        <f>+VLOOKUP(C71,'BẢNG LƯƠNG KT'!C75:S90,15,0)</f>
        <v>0</v>
      </c>
      <c r="N71" s="1597">
        <f t="shared" si="16"/>
        <v>3568348.8597512115</v>
      </c>
      <c r="O71" s="1597"/>
      <c r="P71" s="1597">
        <f t="shared" si="18"/>
        <v>3568348.8597512115</v>
      </c>
      <c r="Q71" s="1597"/>
      <c r="R71" s="1597"/>
      <c r="S71" s="1597">
        <f t="shared" si="19"/>
        <v>3568348.8597512115</v>
      </c>
      <c r="T71" s="1598"/>
    </row>
    <row r="72" spans="1:24" s="810" customFormat="1" ht="22.5" customHeight="1">
      <c r="A72" s="1592">
        <v>5</v>
      </c>
      <c r="B72" s="1593" t="s">
        <v>490</v>
      </c>
      <c r="C72" s="1617" t="str">
        <f>'Chấm công công nhân'!L70</f>
        <v>Nàng Nọi</v>
      </c>
      <c r="D72" s="1594"/>
      <c r="E72" s="1592" t="s">
        <v>40</v>
      </c>
      <c r="F72" s="1592" t="s">
        <v>790</v>
      </c>
      <c r="G72" s="1595">
        <f>+VLOOKUP(C72,'BẢNG LƯƠNG KT'!C76:G91,4,0)</f>
        <v>0</v>
      </c>
      <c r="H72" s="1596">
        <v>25000</v>
      </c>
      <c r="I72" s="1592" t="s">
        <v>247</v>
      </c>
      <c r="J72" s="1592"/>
      <c r="K72" s="1685">
        <f t="shared" si="17"/>
        <v>0</v>
      </c>
      <c r="L72" s="1597">
        <f>+VLOOKUP(C72,'BẢNG LƯƠNG KT'!C76:L76,10,0)</f>
        <v>2891341.0545655079</v>
      </c>
      <c r="M72" s="1597">
        <f>+VLOOKUP(C72,'BẢNG LƯƠNG KT'!C76:S91,15,0)</f>
        <v>0</v>
      </c>
      <c r="N72" s="1597">
        <f t="shared" si="16"/>
        <v>2891341.0545655079</v>
      </c>
      <c r="O72" s="1597"/>
      <c r="P72" s="1597">
        <f t="shared" si="18"/>
        <v>2891341.0545655079</v>
      </c>
      <c r="Q72" s="1597"/>
      <c r="R72" s="1597"/>
      <c r="S72" s="1597">
        <f t="shared" si="19"/>
        <v>2891341.0545655079</v>
      </c>
      <c r="T72" s="1598"/>
      <c r="X72" s="893"/>
    </row>
    <row r="73" spans="1:24" s="810" customFormat="1" ht="22.5" customHeight="1">
      <c r="A73" s="1592">
        <v>6</v>
      </c>
      <c r="B73" s="1593" t="s">
        <v>492</v>
      </c>
      <c r="C73" s="1617" t="str">
        <f>'Chấm công công nhân'!L71</f>
        <v>Thảo Đăm</v>
      </c>
      <c r="D73" s="1594"/>
      <c r="E73" s="1592" t="s">
        <v>40</v>
      </c>
      <c r="F73" s="1592" t="s">
        <v>790</v>
      </c>
      <c r="G73" s="1595">
        <f>+VLOOKUP(C73,'BẢNG LƯƠNG KT'!C77:G92,4,0)</f>
        <v>0</v>
      </c>
      <c r="H73" s="1596">
        <v>25000</v>
      </c>
      <c r="I73" s="1592" t="s">
        <v>247</v>
      </c>
      <c r="J73" s="1592"/>
      <c r="K73" s="1685">
        <f t="shared" si="17"/>
        <v>0</v>
      </c>
      <c r="L73" s="1597">
        <f>+VLOOKUP(C73,'BẢNG LƯƠNG KT'!C77:L77,10,0)</f>
        <v>2954260.9164451892</v>
      </c>
      <c r="M73" s="1597">
        <f>+VLOOKUP(C73,'BẢNG LƯƠNG KT'!C77:S92,15,0)</f>
        <v>0</v>
      </c>
      <c r="N73" s="1597">
        <f t="shared" si="16"/>
        <v>2954260.9164451892</v>
      </c>
      <c r="O73" s="1597"/>
      <c r="P73" s="1597">
        <f t="shared" si="18"/>
        <v>2954260.9164451892</v>
      </c>
      <c r="Q73" s="1597"/>
      <c r="R73" s="1597"/>
      <c r="S73" s="1597">
        <f>+P73-Q73-R73</f>
        <v>2954260.9164451892</v>
      </c>
      <c r="T73" s="1598"/>
      <c r="X73" s="893"/>
    </row>
    <row r="74" spans="1:24" s="810" customFormat="1" ht="22.5" customHeight="1">
      <c r="A74" s="1592">
        <v>7</v>
      </c>
      <c r="B74" s="1593" t="s">
        <v>494</v>
      </c>
      <c r="C74" s="1617" t="str">
        <f>'Chấm công công nhân'!L72</f>
        <v>Thảo chăn</v>
      </c>
      <c r="D74" s="1594"/>
      <c r="E74" s="1592" t="s">
        <v>40</v>
      </c>
      <c r="F74" s="1592" t="s">
        <v>790</v>
      </c>
      <c r="G74" s="1595">
        <f>+VLOOKUP(C74,'BẢNG LƯƠNG KT'!C78:G93,4,0)</f>
        <v>0</v>
      </c>
      <c r="H74" s="1596">
        <v>25000</v>
      </c>
      <c r="I74" s="1592" t="s">
        <v>247</v>
      </c>
      <c r="J74" s="1592"/>
      <c r="K74" s="1685">
        <f t="shared" si="17"/>
        <v>0</v>
      </c>
      <c r="L74" s="1597">
        <f>+VLOOKUP(C74,'BẢNG LƯƠNG KT'!C78:L78,10,0)</f>
        <v>4622256.5462358724</v>
      </c>
      <c r="M74" s="1597">
        <f>+VLOOKUP(C74,'BẢNG LƯƠNG KT'!C78:S93,15,0)</f>
        <v>0</v>
      </c>
      <c r="N74" s="1597">
        <f t="shared" si="16"/>
        <v>4622256.5462358724</v>
      </c>
      <c r="O74" s="1597"/>
      <c r="P74" s="1597">
        <f t="shared" si="18"/>
        <v>4622256.5462358724</v>
      </c>
      <c r="Q74" s="1597"/>
      <c r="R74" s="1597"/>
      <c r="S74" s="1597">
        <f t="shared" si="19"/>
        <v>4622256.5462358724</v>
      </c>
      <c r="T74" s="1598"/>
    </row>
    <row r="75" spans="1:24" s="810" customFormat="1" ht="22.5" hidden="1" customHeight="1">
      <c r="A75" s="1592">
        <v>8</v>
      </c>
      <c r="B75" s="1593" t="s">
        <v>496</v>
      </c>
      <c r="C75" s="1617" t="str">
        <f>'Chấm công công nhân'!L73</f>
        <v>Hồ Văn Tăng</v>
      </c>
      <c r="D75" s="1594"/>
      <c r="E75" s="1592" t="s">
        <v>40</v>
      </c>
      <c r="F75" s="1592" t="s">
        <v>790</v>
      </c>
      <c r="G75" s="1595" t="e">
        <f>+VLOOKUP(C75,'BẢNG LƯƠNG KT'!C88:G94,4,0)</f>
        <v>#N/A</v>
      </c>
      <c r="H75" s="1596">
        <v>25000</v>
      </c>
      <c r="I75" s="1592" t="s">
        <v>247</v>
      </c>
      <c r="J75" s="1592"/>
      <c r="K75" s="1685" t="e">
        <f t="shared" si="17"/>
        <v>#N/A</v>
      </c>
      <c r="L75" s="1608" t="e">
        <f>+VLOOKUP(C75,'BẢNG LƯƠNG KT'!#REF!,10,0)</f>
        <v>#REF!</v>
      </c>
      <c r="M75" s="1597" t="e">
        <f>+VLOOKUP(C75,'BẢNG LƯƠNG KT'!C88:S94,15,0)</f>
        <v>#N/A</v>
      </c>
      <c r="N75" s="1597" t="e">
        <f t="shared" si="16"/>
        <v>#N/A</v>
      </c>
      <c r="O75" s="1597"/>
      <c r="P75" s="1597" t="e">
        <f t="shared" si="18"/>
        <v>#N/A</v>
      </c>
      <c r="Q75" s="1597"/>
      <c r="R75" s="1597"/>
      <c r="S75" s="1597" t="e">
        <f t="shared" si="19"/>
        <v>#N/A</v>
      </c>
      <c r="T75" s="1598"/>
    </row>
    <row r="76" spans="1:24" s="810" customFormat="1" ht="22.5" hidden="1" customHeight="1">
      <c r="A76" s="1592">
        <v>9</v>
      </c>
      <c r="B76" s="1593" t="s">
        <v>497</v>
      </c>
      <c r="C76" s="1617" t="str">
        <f>'Chấm công công nhân'!L74</f>
        <v>Hồ Văn Khoa</v>
      </c>
      <c r="D76" s="1594"/>
      <c r="E76" s="1592" t="s">
        <v>40</v>
      </c>
      <c r="F76" s="1592" t="s">
        <v>790</v>
      </c>
      <c r="G76" s="1595" t="e">
        <f>+VLOOKUP(C76,'BẢNG LƯƠNG KT'!C88:G95,4,0)</f>
        <v>#N/A</v>
      </c>
      <c r="H76" s="1596">
        <v>25000</v>
      </c>
      <c r="I76" s="1592" t="s">
        <v>247</v>
      </c>
      <c r="J76" s="1592"/>
      <c r="K76" s="1685" t="e">
        <f t="shared" si="17"/>
        <v>#N/A</v>
      </c>
      <c r="L76" s="1608" t="e">
        <f>+VLOOKUP(C76,'BẢNG LƯƠNG KT'!#REF!,10,0)</f>
        <v>#REF!</v>
      </c>
      <c r="M76" s="1597" t="e">
        <f>+VLOOKUP(C76,'BẢNG LƯƠNG KT'!C88:S95,15,0)</f>
        <v>#N/A</v>
      </c>
      <c r="N76" s="1597" t="e">
        <f t="shared" si="16"/>
        <v>#N/A</v>
      </c>
      <c r="O76" s="1597"/>
      <c r="P76" s="1597" t="e">
        <f t="shared" si="18"/>
        <v>#N/A</v>
      </c>
      <c r="Q76" s="1597"/>
      <c r="R76" s="1597"/>
      <c r="S76" s="1597" t="e">
        <f t="shared" si="19"/>
        <v>#N/A</v>
      </c>
      <c r="T76" s="1598"/>
    </row>
    <row r="77" spans="1:24" s="810" customFormat="1" ht="22.5" hidden="1" customHeight="1">
      <c r="A77" s="1592">
        <v>10</v>
      </c>
      <c r="B77" s="1593" t="s">
        <v>499</v>
      </c>
      <c r="C77" s="1617" t="str">
        <f>'Chấm công công nhân'!L75</f>
        <v>Hồ Xa My</v>
      </c>
      <c r="D77" s="1594"/>
      <c r="E77" s="1592" t="s">
        <v>40</v>
      </c>
      <c r="F77" s="1592" t="s">
        <v>790</v>
      </c>
      <c r="G77" s="1595" t="e">
        <f>+VLOOKUP(C77,'BẢNG LƯƠNG KT'!C88:G96,4,0)</f>
        <v>#N/A</v>
      </c>
      <c r="H77" s="1596">
        <v>25000</v>
      </c>
      <c r="I77" s="1592" t="s">
        <v>247</v>
      </c>
      <c r="J77" s="1592"/>
      <c r="K77" s="1685" t="e">
        <f t="shared" si="17"/>
        <v>#N/A</v>
      </c>
      <c r="L77" s="1608" t="e">
        <f>+VLOOKUP(C77,'BẢNG LƯƠNG KT'!#REF!,10,0)</f>
        <v>#REF!</v>
      </c>
      <c r="M77" s="1597" t="e">
        <f>+VLOOKUP(C77,'BẢNG LƯƠNG KT'!C88:S96,15,0)</f>
        <v>#N/A</v>
      </c>
      <c r="N77" s="1597" t="e">
        <f t="shared" si="16"/>
        <v>#N/A</v>
      </c>
      <c r="O77" s="1597"/>
      <c r="P77" s="1597" t="e">
        <f t="shared" si="18"/>
        <v>#N/A</v>
      </c>
      <c r="Q77" s="1597"/>
      <c r="R77" s="1597"/>
      <c r="S77" s="1597" t="e">
        <f t="shared" si="19"/>
        <v>#N/A</v>
      </c>
      <c r="T77" s="1598"/>
    </row>
    <row r="78" spans="1:24" s="810" customFormat="1" ht="22.5" hidden="1" customHeight="1">
      <c r="A78" s="1592">
        <v>11</v>
      </c>
      <c r="B78" s="1593" t="s">
        <v>500</v>
      </c>
      <c r="C78" s="1617" t="str">
        <f>'Chấm công công nhân'!L76</f>
        <v>Thảo lay</v>
      </c>
      <c r="D78" s="1594"/>
      <c r="E78" s="1592" t="s">
        <v>40</v>
      </c>
      <c r="F78" s="1592" t="s">
        <v>790</v>
      </c>
      <c r="G78" s="1595" t="e">
        <f>+VLOOKUP(C78,'BẢNG LƯƠNG KT'!C88:G97,4,0)</f>
        <v>#N/A</v>
      </c>
      <c r="H78" s="1596">
        <v>25000</v>
      </c>
      <c r="I78" s="1592" t="s">
        <v>247</v>
      </c>
      <c r="J78" s="1592"/>
      <c r="K78" s="1685" t="e">
        <f t="shared" si="17"/>
        <v>#N/A</v>
      </c>
      <c r="L78" s="1608" t="e">
        <f>+VLOOKUP(C78,'BẢNG LƯƠNG KT'!#REF!,10,0)</f>
        <v>#REF!</v>
      </c>
      <c r="M78" s="1597" t="e">
        <f>+VLOOKUP(C78,'BẢNG LƯƠNG KT'!C88:S97,15,0)</f>
        <v>#N/A</v>
      </c>
      <c r="N78" s="1597" t="e">
        <f t="shared" si="16"/>
        <v>#N/A</v>
      </c>
      <c r="O78" s="1597"/>
      <c r="P78" s="1597" t="e">
        <f t="shared" si="18"/>
        <v>#N/A</v>
      </c>
      <c r="Q78" s="1597"/>
      <c r="R78" s="1597"/>
      <c r="S78" s="1597" t="e">
        <f t="shared" si="19"/>
        <v>#N/A</v>
      </c>
      <c r="T78" s="1598"/>
    </row>
    <row r="79" spans="1:24" s="810" customFormat="1" ht="22.5" hidden="1" customHeight="1">
      <c r="A79" s="1592">
        <v>12</v>
      </c>
      <c r="B79" s="1593" t="s">
        <v>502</v>
      </c>
      <c r="C79" s="1617" t="str">
        <f>'Chấm công công nhân'!L77</f>
        <v>Thảo khên</v>
      </c>
      <c r="D79" s="1594"/>
      <c r="E79" s="1592" t="s">
        <v>40</v>
      </c>
      <c r="F79" s="1592" t="s">
        <v>790</v>
      </c>
      <c r="G79" s="1595" t="e">
        <f>+VLOOKUP(C79,'BẢNG LƯƠNG KT'!C88:G98,4,0)</f>
        <v>#N/A</v>
      </c>
      <c r="H79" s="1596">
        <v>25000</v>
      </c>
      <c r="I79" s="1592" t="s">
        <v>247</v>
      </c>
      <c r="J79" s="1592"/>
      <c r="K79" s="1685" t="e">
        <f t="shared" si="17"/>
        <v>#N/A</v>
      </c>
      <c r="L79" s="1608" t="e">
        <f>+VLOOKUP(C79,'BẢNG LƯƠNG KT'!#REF!,10,0)</f>
        <v>#REF!</v>
      </c>
      <c r="M79" s="1597" t="e">
        <f>+VLOOKUP(C79,'BẢNG LƯƠNG KT'!C88:S98,15,0)</f>
        <v>#N/A</v>
      </c>
      <c r="N79" s="1597" t="e">
        <f t="shared" si="16"/>
        <v>#N/A</v>
      </c>
      <c r="O79" s="1597"/>
      <c r="P79" s="1597" t="e">
        <f t="shared" si="18"/>
        <v>#N/A</v>
      </c>
      <c r="Q79" s="1597"/>
      <c r="R79" s="1597"/>
      <c r="S79" s="1597" t="e">
        <f t="shared" si="19"/>
        <v>#N/A</v>
      </c>
      <c r="T79" s="1598"/>
    </row>
    <row r="80" spans="1:24" s="810" customFormat="1" ht="22.5" hidden="1" customHeight="1">
      <c r="A80" s="1592">
        <v>13</v>
      </c>
      <c r="B80" s="1593" t="s">
        <v>504</v>
      </c>
      <c r="C80" s="1617" t="str">
        <f>'Chấm công công nhân'!L78</f>
        <v>Thảo khon</v>
      </c>
      <c r="D80" s="1594"/>
      <c r="E80" s="1592" t="s">
        <v>40</v>
      </c>
      <c r="F80" s="1592" t="s">
        <v>790</v>
      </c>
      <c r="G80" s="1595" t="e">
        <f>+VLOOKUP(C80,'BẢNG LƯƠNG KT'!C88:G99,4,0)</f>
        <v>#N/A</v>
      </c>
      <c r="H80" s="1596">
        <v>25000</v>
      </c>
      <c r="I80" s="1592" t="s">
        <v>247</v>
      </c>
      <c r="J80" s="1592"/>
      <c r="K80" s="1685" t="e">
        <f t="shared" si="17"/>
        <v>#N/A</v>
      </c>
      <c r="L80" s="1608" t="e">
        <f>+VLOOKUP(C80,'BẢNG LƯƠNG KT'!#REF!,10,0)</f>
        <v>#REF!</v>
      </c>
      <c r="M80" s="1597" t="e">
        <f>+VLOOKUP(C80,'BẢNG LƯƠNG KT'!C88:S99,15,0)</f>
        <v>#N/A</v>
      </c>
      <c r="N80" s="1597" t="e">
        <f t="shared" si="16"/>
        <v>#N/A</v>
      </c>
      <c r="O80" s="1597"/>
      <c r="P80" s="1597" t="e">
        <f t="shared" si="18"/>
        <v>#N/A</v>
      </c>
      <c r="Q80" s="1597"/>
      <c r="R80" s="1597"/>
      <c r="S80" s="1597" t="e">
        <f t="shared" si="19"/>
        <v>#N/A</v>
      </c>
      <c r="T80" s="1598"/>
    </row>
    <row r="81" spans="1:28" s="810" customFormat="1" ht="22.5" hidden="1" customHeight="1">
      <c r="A81" s="1592">
        <v>14</v>
      </c>
      <c r="B81" s="1593"/>
      <c r="C81" s="1617" t="str">
        <f>'Chấm công công nhân'!L79</f>
        <v>Thảo nga</v>
      </c>
      <c r="D81" s="1594"/>
      <c r="E81" s="1592" t="s">
        <v>40</v>
      </c>
      <c r="F81" s="1592" t="s">
        <v>790</v>
      </c>
      <c r="G81" s="1595" t="e">
        <f>+VLOOKUP(C81,'BẢNG LƯƠNG KT'!C88:G100,4,0)</f>
        <v>#N/A</v>
      </c>
      <c r="H81" s="1596">
        <v>25000</v>
      </c>
      <c r="I81" s="1592" t="s">
        <v>247</v>
      </c>
      <c r="J81" s="1592"/>
      <c r="K81" s="1685" t="e">
        <f t="shared" si="17"/>
        <v>#N/A</v>
      </c>
      <c r="L81" s="1608" t="e">
        <f>+VLOOKUP(C81,'BẢNG LƯƠNG KT'!#REF!,10,0)</f>
        <v>#REF!</v>
      </c>
      <c r="M81" s="1597" t="e">
        <f>+VLOOKUP(C81,'BẢNG LƯƠNG KT'!C88:S100,15,0)</f>
        <v>#N/A</v>
      </c>
      <c r="N81" s="1597" t="e">
        <f t="shared" si="16"/>
        <v>#N/A</v>
      </c>
      <c r="O81" s="1597"/>
      <c r="P81" s="1597" t="e">
        <f t="shared" si="18"/>
        <v>#N/A</v>
      </c>
      <c r="Q81" s="1597"/>
      <c r="R81" s="1597"/>
      <c r="S81" s="1597" t="e">
        <f t="shared" si="19"/>
        <v>#N/A</v>
      </c>
      <c r="T81" s="1598"/>
    </row>
    <row r="82" spans="1:28" s="810" customFormat="1" ht="22.5" hidden="1" customHeight="1">
      <c r="A82" s="1592">
        <v>15</v>
      </c>
      <c r="B82" s="1593"/>
      <c r="C82" s="1617" t="str">
        <f>'Chấm công công nhân'!L80</f>
        <v>Thảo lăm ma</v>
      </c>
      <c r="D82" s="1594"/>
      <c r="E82" s="1592" t="s">
        <v>40</v>
      </c>
      <c r="F82" s="1592" t="s">
        <v>790</v>
      </c>
      <c r="G82" s="1595" t="e">
        <f>+VLOOKUP(C82,'BẢNG LƯƠNG KT'!C88:G101,4,0)</f>
        <v>#N/A</v>
      </c>
      <c r="H82" s="1596">
        <v>25000</v>
      </c>
      <c r="I82" s="1592" t="s">
        <v>247</v>
      </c>
      <c r="J82" s="1592"/>
      <c r="K82" s="1685" t="e">
        <f t="shared" si="17"/>
        <v>#N/A</v>
      </c>
      <c r="L82" s="1608" t="e">
        <f>+VLOOKUP(C82,'BẢNG LƯƠNG KT'!#REF!,10,0)</f>
        <v>#REF!</v>
      </c>
      <c r="M82" s="1597" t="e">
        <f>+VLOOKUP(C82,'BẢNG LƯƠNG KT'!C88:S101,15,0)</f>
        <v>#N/A</v>
      </c>
      <c r="N82" s="1597" t="e">
        <f t="shared" si="16"/>
        <v>#N/A</v>
      </c>
      <c r="O82" s="1597"/>
      <c r="P82" s="1597" t="e">
        <f t="shared" si="18"/>
        <v>#N/A</v>
      </c>
      <c r="Q82" s="1597"/>
      <c r="R82" s="1597"/>
      <c r="S82" s="1597" t="e">
        <f t="shared" si="19"/>
        <v>#N/A</v>
      </c>
      <c r="T82" s="1598"/>
    </row>
    <row r="83" spans="1:28" s="807" customFormat="1" ht="22.5" customHeight="1">
      <c r="A83" s="1592">
        <v>8</v>
      </c>
      <c r="B83" s="1609"/>
      <c r="C83" s="1617" t="str">
        <f>'Tong hop cong'!C77</f>
        <v>Hồ Xa My</v>
      </c>
      <c r="D83" s="1609"/>
      <c r="E83" s="1592" t="s">
        <v>263</v>
      </c>
      <c r="F83" s="1592"/>
      <c r="G83" s="1595">
        <f>+VLOOKUP(C83,'BẢNG LƯƠNG KT'!C72:G88,4,0)</f>
        <v>0</v>
      </c>
      <c r="H83" s="1596">
        <v>25000</v>
      </c>
      <c r="I83" s="1592" t="s">
        <v>247</v>
      </c>
      <c r="J83" s="1592"/>
      <c r="K83" s="1685">
        <f>+G83*H83</f>
        <v>0</v>
      </c>
      <c r="L83" s="1597"/>
      <c r="M83" s="1597"/>
      <c r="N83" s="1597">
        <f>SUM(K83:M83)</f>
        <v>0</v>
      </c>
      <c r="O83" s="1597"/>
      <c r="P83" s="1597">
        <f>N83</f>
        <v>0</v>
      </c>
      <c r="Q83" s="1597"/>
      <c r="R83" s="1597"/>
      <c r="S83" s="1597">
        <f>P83</f>
        <v>0</v>
      </c>
      <c r="T83" s="1610"/>
    </row>
    <row r="84" spans="1:28" s="1750" customFormat="1" ht="22.5" customHeight="1">
      <c r="A84" s="4377" t="s">
        <v>333</v>
      </c>
      <c r="B84" s="4377"/>
      <c r="C84" s="4377"/>
      <c r="D84" s="1682"/>
      <c r="E84" s="1751"/>
      <c r="F84" s="1751"/>
      <c r="G84" s="1684"/>
      <c r="H84" s="1878"/>
      <c r="I84" s="1751" t="s">
        <v>247</v>
      </c>
      <c r="J84" s="1751"/>
      <c r="K84" s="1687">
        <f t="shared" ref="K84:S84" si="20">K67+K50+K12</f>
        <v>0</v>
      </c>
      <c r="L84" s="1687" t="e">
        <f t="shared" si="20"/>
        <v>#REF!</v>
      </c>
      <c r="M84" s="1687" t="e">
        <f t="shared" si="20"/>
        <v>#N/A</v>
      </c>
      <c r="N84" s="1687" t="e">
        <f t="shared" si="20"/>
        <v>#N/A</v>
      </c>
      <c r="O84" s="1687">
        <f t="shared" si="20"/>
        <v>0</v>
      </c>
      <c r="P84" s="1687" t="e">
        <f t="shared" si="20"/>
        <v>#N/A</v>
      </c>
      <c r="Q84" s="1687">
        <f t="shared" si="20"/>
        <v>0</v>
      </c>
      <c r="R84" s="1687">
        <f t="shared" si="20"/>
        <v>0</v>
      </c>
      <c r="S84" s="1687" t="e">
        <f t="shared" si="20"/>
        <v>#N/A</v>
      </c>
      <c r="T84" s="1751"/>
      <c r="V84" s="1750" t="e">
        <f>'BẢNG LƯƠNG KT'!#REF!</f>
        <v>#REF!</v>
      </c>
      <c r="W84" s="1879" t="e">
        <f>V84-S84</f>
        <v>#REF!</v>
      </c>
    </row>
    <row r="85" spans="1:28" s="807" customFormat="1" ht="22.5" customHeight="1">
      <c r="A85" s="1592">
        <v>1</v>
      </c>
      <c r="B85" s="716" t="s">
        <v>197</v>
      </c>
      <c r="C85" s="716" t="str">
        <f>'CHẤM CÔNG BV'!B12</f>
        <v>Phò Đan</v>
      </c>
      <c r="D85" s="1611"/>
      <c r="E85" s="1592" t="s">
        <v>258</v>
      </c>
      <c r="F85" s="1592" t="s">
        <v>851</v>
      </c>
      <c r="G85" s="1596">
        <v>30</v>
      </c>
      <c r="H85" s="1596">
        <f>K85/G85</f>
        <v>66666.666666666672</v>
      </c>
      <c r="I85" s="1592" t="s">
        <v>247</v>
      </c>
      <c r="J85" s="1592"/>
      <c r="K85" s="1685">
        <v>2000000</v>
      </c>
      <c r="L85" s="1597"/>
      <c r="M85" s="1597"/>
      <c r="N85" s="1597">
        <f t="shared" ref="N85:N88" si="21">SUM(K85:M85)</f>
        <v>2000000</v>
      </c>
      <c r="O85" s="1597"/>
      <c r="P85" s="1597">
        <f t="shared" ref="P85:P88" si="22">N85</f>
        <v>2000000</v>
      </c>
      <c r="Q85" s="1597"/>
      <c r="R85" s="1597"/>
      <c r="S85" s="1597">
        <f>P85</f>
        <v>2000000</v>
      </c>
      <c r="T85" s="1610"/>
      <c r="U85" s="900">
        <v>1500000</v>
      </c>
      <c r="Z85" s="807">
        <f>900-600</f>
        <v>300</v>
      </c>
    </row>
    <row r="86" spans="1:28" s="807" customFormat="1" ht="22.5" customHeight="1">
      <c r="A86" s="1592">
        <v>2</v>
      </c>
      <c r="B86" s="1610"/>
      <c r="C86" s="716" t="str">
        <f>'CHẤM CÔNG BV'!B13</f>
        <v>Sâm Say</v>
      </c>
      <c r="D86" s="1610"/>
      <c r="E86" s="1592" t="s">
        <v>258</v>
      </c>
      <c r="F86" s="1592" t="s">
        <v>851</v>
      </c>
      <c r="G86" s="1596">
        <v>30</v>
      </c>
      <c r="H86" s="1596">
        <f>K86/G86</f>
        <v>66666.666666666672</v>
      </c>
      <c r="I86" s="1592" t="s">
        <v>247</v>
      </c>
      <c r="J86" s="1592"/>
      <c r="K86" s="1685">
        <v>2000000</v>
      </c>
      <c r="L86" s="1597"/>
      <c r="M86" s="1597"/>
      <c r="N86" s="1597">
        <f t="shared" si="21"/>
        <v>2000000</v>
      </c>
      <c r="O86" s="1597"/>
      <c r="P86" s="1597">
        <f t="shared" si="22"/>
        <v>2000000</v>
      </c>
      <c r="Q86" s="1597"/>
      <c r="R86" s="1597"/>
      <c r="S86" s="1597">
        <f>P86</f>
        <v>2000000</v>
      </c>
      <c r="T86" s="1610"/>
    </row>
    <row r="87" spans="1:28" s="807" customFormat="1" ht="22.5" customHeight="1">
      <c r="A87" s="1592">
        <v>3</v>
      </c>
      <c r="B87" s="1610"/>
      <c r="C87" s="716" t="str">
        <f>'CHẤM CÔNG BV'!B14</f>
        <v>Thảo Chanh</v>
      </c>
      <c r="D87" s="1610"/>
      <c r="E87" s="1592" t="s">
        <v>258</v>
      </c>
      <c r="F87" s="1592" t="s">
        <v>851</v>
      </c>
      <c r="G87" s="1596">
        <v>30</v>
      </c>
      <c r="H87" s="1596">
        <f>K87/G87</f>
        <v>66666.666666666672</v>
      </c>
      <c r="I87" s="1592" t="s">
        <v>247</v>
      </c>
      <c r="J87" s="1592"/>
      <c r="K87" s="1685">
        <v>2000000</v>
      </c>
      <c r="L87" s="1597"/>
      <c r="M87" s="1597"/>
      <c r="N87" s="1597">
        <f t="shared" si="21"/>
        <v>2000000</v>
      </c>
      <c r="O87" s="1597"/>
      <c r="P87" s="1597">
        <f t="shared" si="22"/>
        <v>2000000</v>
      </c>
      <c r="Q87" s="1597"/>
      <c r="R87" s="1597"/>
      <c r="S87" s="1597">
        <f>N87</f>
        <v>2000000</v>
      </c>
      <c r="T87" s="1610"/>
      <c r="X87" s="806">
        <f>+S87</f>
        <v>2000000</v>
      </c>
    </row>
    <row r="88" spans="1:28" s="807" customFormat="1" ht="22.5" customHeight="1">
      <c r="A88" s="1592">
        <v>4</v>
      </c>
      <c r="B88" s="1610"/>
      <c r="C88" s="716" t="str">
        <f>'CHẤM CÔNG BV'!B15</f>
        <v>Phò Viu</v>
      </c>
      <c r="D88" s="1610"/>
      <c r="E88" s="1592" t="s">
        <v>258</v>
      </c>
      <c r="F88" s="1592" t="s">
        <v>851</v>
      </c>
      <c r="G88" s="1596">
        <v>30</v>
      </c>
      <c r="H88" s="1596">
        <f>K88/G88</f>
        <v>66666.666666666672</v>
      </c>
      <c r="I88" s="1592" t="s">
        <v>247</v>
      </c>
      <c r="J88" s="1592"/>
      <c r="K88" s="1685">
        <v>2000000</v>
      </c>
      <c r="L88" s="1597"/>
      <c r="M88" s="1597"/>
      <c r="N88" s="1597">
        <f t="shared" si="21"/>
        <v>2000000</v>
      </c>
      <c r="O88" s="1597"/>
      <c r="P88" s="1597">
        <f t="shared" si="22"/>
        <v>2000000</v>
      </c>
      <c r="Q88" s="1597"/>
      <c r="R88" s="1597"/>
      <c r="S88" s="1597">
        <f>N88</f>
        <v>2000000</v>
      </c>
      <c r="T88" s="1610"/>
      <c r="X88" s="806">
        <f>900000-600000</f>
        <v>300000</v>
      </c>
    </row>
    <row r="89" spans="1:28" s="807" customFormat="1" ht="22.5" customHeight="1">
      <c r="A89" s="4376" t="s">
        <v>260</v>
      </c>
      <c r="B89" s="4376"/>
      <c r="C89" s="4376"/>
      <c r="D89" s="4376"/>
      <c r="E89" s="4376"/>
      <c r="F89" s="802"/>
      <c r="G89" s="812">
        <f>SUM(G85:G88)</f>
        <v>120</v>
      </c>
      <c r="H89" s="804"/>
      <c r="I89" s="799" t="s">
        <v>247</v>
      </c>
      <c r="J89" s="799"/>
      <c r="K89" s="1688">
        <f>SUM(K85:K88)</f>
        <v>8000000</v>
      </c>
      <c r="L89" s="804">
        <f>SUM(L85:L87)</f>
        <v>0</v>
      </c>
      <c r="M89" s="804">
        <f>SUM(M85:M87)</f>
        <v>0</v>
      </c>
      <c r="N89" s="804">
        <f>SUM(N85:N88)</f>
        <v>8000000</v>
      </c>
      <c r="O89" s="804">
        <f>SUM(O85:O87)</f>
        <v>0</v>
      </c>
      <c r="P89" s="804">
        <f>SUM(P85:R88)</f>
        <v>8000000</v>
      </c>
      <c r="Q89" s="804">
        <f>SUM(Q85:Q87)</f>
        <v>0</v>
      </c>
      <c r="R89" s="804">
        <f>SUM(R85:R87)</f>
        <v>0</v>
      </c>
      <c r="S89" s="804">
        <f>SUM(S85:S88)</f>
        <v>8000000</v>
      </c>
      <c r="T89" s="805"/>
      <c r="X89" s="806"/>
    </row>
    <row r="90" spans="1:28" s="807" customFormat="1" ht="22.5" customHeight="1">
      <c r="A90" s="1880">
        <v>1</v>
      </c>
      <c r="B90" s="805"/>
      <c r="C90" s="1880" t="e">
        <f>'CHẤM CÔNG BV'!#REF!</f>
        <v>#REF!</v>
      </c>
      <c r="D90" s="805"/>
      <c r="E90" s="1880" t="s">
        <v>654</v>
      </c>
      <c r="F90" s="1880" t="s">
        <v>854</v>
      </c>
      <c r="G90" s="809">
        <v>30</v>
      </c>
      <c r="H90" s="809">
        <f>K90/G90</f>
        <v>56666.666666666664</v>
      </c>
      <c r="I90" s="1880" t="s">
        <v>247</v>
      </c>
      <c r="J90" s="1881">
        <f>1500000*0.1*2</f>
        <v>300000</v>
      </c>
      <c r="K90" s="1689">
        <v>1700000</v>
      </c>
      <c r="L90" s="809"/>
      <c r="M90" s="809"/>
      <c r="N90" s="809">
        <f>SUM(K90:M90)</f>
        <v>1700000</v>
      </c>
      <c r="O90" s="809"/>
      <c r="P90" s="809">
        <f>N90</f>
        <v>1700000</v>
      </c>
      <c r="Q90" s="809"/>
      <c r="R90" s="809"/>
      <c r="S90" s="809">
        <f>P90</f>
        <v>1700000</v>
      </c>
      <c r="T90" s="805"/>
      <c r="X90" s="806"/>
      <c r="Z90" s="894" t="s">
        <v>719</v>
      </c>
      <c r="AA90" s="894" t="s">
        <v>717</v>
      </c>
      <c r="AB90" s="894" t="s">
        <v>718</v>
      </c>
    </row>
    <row r="91" spans="1:28" s="807" customFormat="1" ht="22.5" customHeight="1">
      <c r="A91" s="4376" t="s">
        <v>655</v>
      </c>
      <c r="B91" s="4376"/>
      <c r="C91" s="4376"/>
      <c r="D91" s="4376"/>
      <c r="E91" s="4376"/>
      <c r="F91" s="802"/>
      <c r="G91" s="812">
        <v>30</v>
      </c>
      <c r="H91" s="812"/>
      <c r="I91" s="799" t="s">
        <v>247</v>
      </c>
      <c r="J91" s="799"/>
      <c r="K91" s="1688">
        <f>K90</f>
        <v>1700000</v>
      </c>
      <c r="L91" s="804">
        <f>SUM(L90)</f>
        <v>0</v>
      </c>
      <c r="M91" s="804">
        <f>SUM(M87:M90)</f>
        <v>0</v>
      </c>
      <c r="N91" s="804">
        <f>N90</f>
        <v>1700000</v>
      </c>
      <c r="O91" s="804">
        <f>SUM(O87:O90)</f>
        <v>0</v>
      </c>
      <c r="P91" s="804">
        <f>P90</f>
        <v>1700000</v>
      </c>
      <c r="Q91" s="804">
        <f>SUM(Q87:Q90)</f>
        <v>0</v>
      </c>
      <c r="R91" s="804">
        <f>SUM(R87:R90)</f>
        <v>0</v>
      </c>
      <c r="S91" s="804">
        <f>S90</f>
        <v>1700000</v>
      </c>
      <c r="T91" s="805"/>
      <c r="V91" s="807">
        <f>9445210/25000</f>
        <v>377.80840000000001</v>
      </c>
      <c r="Z91" s="894">
        <v>1347</v>
      </c>
      <c r="AA91" s="894">
        <v>673</v>
      </c>
      <c r="AB91" s="894">
        <f>+Z91-AA91</f>
        <v>674</v>
      </c>
    </row>
    <row r="92" spans="1:28" s="807" customFormat="1" ht="22.5" customHeight="1">
      <c r="A92" s="3802" t="s">
        <v>41</v>
      </c>
      <c r="B92" s="3802"/>
      <c r="C92" s="3802"/>
      <c r="D92" s="3802"/>
      <c r="E92" s="3802"/>
      <c r="F92" s="799"/>
      <c r="G92" s="803" t="e">
        <f>+G89+#REF!+G84+G91</f>
        <v>#REF!</v>
      </c>
      <c r="H92" s="804"/>
      <c r="I92" s="804"/>
      <c r="J92" s="804"/>
      <c r="K92" s="1688">
        <f>+K89+K84+K91</f>
        <v>9700000</v>
      </c>
      <c r="L92" s="804" t="e">
        <f>+L89+L84+L91</f>
        <v>#REF!</v>
      </c>
      <c r="M92" s="804" t="e">
        <f>+M89+M84+M91</f>
        <v>#N/A</v>
      </c>
      <c r="N92" s="804" t="e">
        <f>+N89+N84+N91</f>
        <v>#N/A</v>
      </c>
      <c r="O92" s="804" t="e">
        <f>+O89+#REF!+O84+O91</f>
        <v>#REF!</v>
      </c>
      <c r="P92" s="804" t="e">
        <f>+P89+P84+P91</f>
        <v>#N/A</v>
      </c>
      <c r="Q92" s="804" t="e">
        <f>+Q89+#REF!+Q84+Q91</f>
        <v>#REF!</v>
      </c>
      <c r="R92" s="804" t="e">
        <f>+R89+#REF!+R84+R91</f>
        <v>#REF!</v>
      </c>
      <c r="S92" s="804" t="e">
        <f>+S89+S84+S91</f>
        <v>#N/A</v>
      </c>
      <c r="T92" s="804"/>
      <c r="U92" s="806"/>
      <c r="V92" s="813" t="e">
        <f>L92-'BẢNG PHÂN TOÁN'!H14</f>
        <v>#REF!</v>
      </c>
      <c r="Z92" s="894">
        <v>1198</v>
      </c>
      <c r="AA92" s="894">
        <v>569</v>
      </c>
      <c r="AB92" s="894">
        <f>+Z92-AA92</f>
        <v>629</v>
      </c>
    </row>
    <row r="93" spans="1:28" ht="18" customHeight="1">
      <c r="A93" s="4379" t="s">
        <v>1140</v>
      </c>
      <c r="B93" s="4379"/>
      <c r="C93" s="4379"/>
      <c r="D93" s="4379"/>
      <c r="E93" s="4379"/>
      <c r="F93" s="4379"/>
      <c r="G93" s="4379"/>
      <c r="H93" s="4379"/>
      <c r="I93" s="4379"/>
      <c r="J93" s="4379"/>
      <c r="K93" s="4379"/>
      <c r="L93" s="4379"/>
      <c r="M93" s="4379"/>
      <c r="N93" s="4379"/>
      <c r="O93" s="4379"/>
      <c r="P93" s="4379"/>
      <c r="Q93" s="4379"/>
      <c r="R93" s="4379"/>
      <c r="S93" s="4379"/>
      <c r="T93" s="4379"/>
      <c r="U93" s="684"/>
      <c r="W93" s="156" t="s">
        <v>720</v>
      </c>
      <c r="X93" s="798">
        <f>'CV KHAC'!M13</f>
        <v>500000</v>
      </c>
      <c r="Z93" s="895">
        <v>648</v>
      </c>
      <c r="AA93" s="895">
        <v>304</v>
      </c>
      <c r="AB93" s="894">
        <f>+Z93-AA93</f>
        <v>344</v>
      </c>
    </row>
    <row r="94" spans="1:28" ht="18" customHeight="1">
      <c r="A94" s="385"/>
      <c r="B94" s="385"/>
      <c r="C94" s="385"/>
      <c r="D94" s="385"/>
      <c r="E94" s="385"/>
      <c r="F94" s="385"/>
      <c r="G94" s="949"/>
      <c r="H94" s="385"/>
      <c r="I94" s="385"/>
      <c r="J94" s="385"/>
      <c r="K94" s="1627"/>
      <c r="L94" s="385"/>
      <c r="N94" s="1870"/>
      <c r="O94" s="1870"/>
      <c r="P94" s="3801" t="s">
        <v>1175</v>
      </c>
      <c r="Q94" s="3801"/>
      <c r="R94" s="3801"/>
      <c r="S94" s="3801"/>
      <c r="T94" s="3801"/>
      <c r="V94" s="684"/>
      <c r="W94" s="156" t="s">
        <v>721</v>
      </c>
      <c r="X94" s="798">
        <v>150000</v>
      </c>
      <c r="Z94" s="895">
        <v>875</v>
      </c>
      <c r="AA94" s="895">
        <v>395</v>
      </c>
      <c r="AB94" s="894">
        <f>+Z94-AA94</f>
        <v>480</v>
      </c>
    </row>
    <row r="95" spans="1:28" s="157" customFormat="1" ht="22.5" customHeight="1">
      <c r="C95" s="3666" t="s">
        <v>613</v>
      </c>
      <c r="D95" s="3666"/>
      <c r="E95" s="3666"/>
      <c r="F95" s="693"/>
      <c r="K95" s="157" t="s">
        <v>257</v>
      </c>
      <c r="O95" s="1333"/>
      <c r="P95" s="3750" t="s">
        <v>1107</v>
      </c>
      <c r="Q95" s="3750"/>
      <c r="R95" s="3750"/>
      <c r="S95" s="3750"/>
      <c r="T95" s="3750"/>
      <c r="U95" s="1333"/>
      <c r="W95" s="157" t="s">
        <v>722</v>
      </c>
      <c r="X95" s="897">
        <v>1500000</v>
      </c>
      <c r="Z95" s="896">
        <f>SUM(Z91:Z94)</f>
        <v>4068</v>
      </c>
      <c r="AA95" s="896">
        <f>SUM(AA91:AA94)</f>
        <v>1941</v>
      </c>
      <c r="AB95" s="894">
        <f>+Z95-AA95</f>
        <v>2127</v>
      </c>
    </row>
    <row r="97" spans="3:28">
      <c r="N97" s="684"/>
      <c r="T97" s="791"/>
      <c r="V97" s="684"/>
      <c r="AA97" s="156">
        <f>+Z95-AA95</f>
        <v>2127</v>
      </c>
    </row>
    <row r="98" spans="3:28">
      <c r="N98" s="798"/>
      <c r="Q98" s="684"/>
      <c r="W98" s="156" t="s">
        <v>724</v>
      </c>
      <c r="X98" s="684">
        <f>SUM(X84:X95)</f>
        <v>4450000</v>
      </c>
    </row>
    <row r="99" spans="3:28">
      <c r="L99" s="684"/>
      <c r="M99" s="684"/>
      <c r="N99" s="684"/>
      <c r="P99" s="684"/>
      <c r="Q99" s="684"/>
      <c r="T99" s="684"/>
      <c r="W99" s="156" t="s">
        <v>723</v>
      </c>
      <c r="X99" s="798">
        <v>6000000</v>
      </c>
      <c r="AA99" s="156">
        <f>100*20</f>
        <v>2000</v>
      </c>
    </row>
    <row r="100" spans="3:28">
      <c r="H100" s="4380"/>
      <c r="I100" s="4380"/>
      <c r="J100" s="1082"/>
      <c r="M100" s="157"/>
      <c r="N100" s="684"/>
      <c r="Y100" s="798"/>
      <c r="AA100" s="156">
        <f>100*20</f>
        <v>2000</v>
      </c>
    </row>
    <row r="101" spans="3:28">
      <c r="H101" s="4375"/>
      <c r="I101" s="3670"/>
      <c r="J101" s="280"/>
      <c r="M101" s="4027"/>
      <c r="N101" s="4027"/>
      <c r="O101" s="157"/>
      <c r="Q101" s="157"/>
      <c r="R101" s="3666"/>
      <c r="S101" s="3666"/>
      <c r="T101" s="3666"/>
      <c r="AA101" s="156">
        <f>40*20+200</f>
        <v>1000</v>
      </c>
    </row>
    <row r="102" spans="3:28">
      <c r="H102" s="4375"/>
      <c r="I102" s="3670"/>
      <c r="J102" s="280"/>
      <c r="M102" s="684"/>
    </row>
    <row r="103" spans="3:28">
      <c r="L103" s="1333"/>
      <c r="M103" s="1333"/>
      <c r="N103" s="1333"/>
      <c r="O103" s="1333"/>
      <c r="P103" s="1333"/>
      <c r="Q103" s="1333"/>
      <c r="R103" s="1333"/>
      <c r="X103" s="798">
        <v>244427</v>
      </c>
    </row>
    <row r="104" spans="3:28" ht="22.5">
      <c r="K104" s="1690"/>
      <c r="L104" s="684"/>
      <c r="X104" s="798">
        <v>14473</v>
      </c>
    </row>
    <row r="105" spans="3:28">
      <c r="L105" s="791"/>
      <c r="X105" s="814">
        <f>+X103+X104</f>
        <v>258900</v>
      </c>
      <c r="Y105" s="684"/>
      <c r="Z105" s="156">
        <v>3</v>
      </c>
      <c r="AA105" s="156">
        <v>50</v>
      </c>
      <c r="AB105" s="156">
        <f>+Z105*AA105</f>
        <v>150</v>
      </c>
    </row>
    <row r="106" spans="3:28">
      <c r="C106" s="156"/>
      <c r="E106" s="156"/>
      <c r="F106" s="156"/>
      <c r="K106" s="1623"/>
      <c r="M106" s="684"/>
      <c r="X106" s="156">
        <v>850</v>
      </c>
      <c r="Y106" s="814"/>
      <c r="AB106" s="156">
        <v>100</v>
      </c>
    </row>
    <row r="107" spans="3:28">
      <c r="C107" s="156"/>
      <c r="E107" s="156"/>
      <c r="F107" s="156"/>
      <c r="K107" s="1623"/>
      <c r="L107" s="684"/>
      <c r="N107" s="684"/>
      <c r="X107" s="814">
        <f>+X105-X106</f>
        <v>258050</v>
      </c>
    </row>
    <row r="108" spans="3:28">
      <c r="C108" s="156"/>
      <c r="E108" s="156"/>
      <c r="F108" s="156"/>
      <c r="K108" s="1623"/>
      <c r="L108" s="684"/>
      <c r="P108" s="684"/>
    </row>
    <row r="110" spans="3:28">
      <c r="C110" s="156"/>
      <c r="E110" s="156"/>
      <c r="F110" s="156"/>
      <c r="K110" s="1623"/>
      <c r="N110" s="798"/>
    </row>
    <row r="111" spans="3:28">
      <c r="C111" s="156"/>
      <c r="E111" s="156"/>
      <c r="F111" s="156"/>
      <c r="K111" s="1623"/>
      <c r="N111" s="684"/>
    </row>
  </sheetData>
  <mergeCells count="38">
    <mergeCell ref="E7:F7"/>
    <mergeCell ref="E8:F8"/>
    <mergeCell ref="A92:E92"/>
    <mergeCell ref="R101:T101"/>
    <mergeCell ref="M101:N101"/>
    <mergeCell ref="C95:E95"/>
    <mergeCell ref="H101:I101"/>
    <mergeCell ref="P95:T95"/>
    <mergeCell ref="P94:T94"/>
    <mergeCell ref="F9:F10"/>
    <mergeCell ref="Q9:Q10"/>
    <mergeCell ref="S9:S10"/>
    <mergeCell ref="O9:O10"/>
    <mergeCell ref="P9:P10"/>
    <mergeCell ref="N9:N10"/>
    <mergeCell ref="A91:E91"/>
    <mergeCell ref="H102:I102"/>
    <mergeCell ref="E9:E10"/>
    <mergeCell ref="A89:E89"/>
    <mergeCell ref="A9:A10"/>
    <mergeCell ref="A84:C84"/>
    <mergeCell ref="A50:B50"/>
    <mergeCell ref="B67:C67"/>
    <mergeCell ref="B12:C12"/>
    <mergeCell ref="C50:D50"/>
    <mergeCell ref="A93:T93"/>
    <mergeCell ref="H100:I100"/>
    <mergeCell ref="T9:T10"/>
    <mergeCell ref="R9:R10"/>
    <mergeCell ref="G9:M9"/>
    <mergeCell ref="B9:C9"/>
    <mergeCell ref="A1:F1"/>
    <mergeCell ref="A2:F2"/>
    <mergeCell ref="L1:T1"/>
    <mergeCell ref="L2:T2"/>
    <mergeCell ref="E6:F6"/>
    <mergeCell ref="A4:T4"/>
    <mergeCell ref="A5:T5"/>
  </mergeCells>
  <phoneticPr fontId="57" type="noConversion"/>
  <printOptions horizontalCentered="1"/>
  <pageMargins left="0.17" right="0.17" top="0.3" bottom="0.28999999999999998" header="0.3" footer="0.3"/>
  <pageSetup paperSize="9" scale="71" fitToHeight="0" orientation="landscape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M43"/>
  <sheetViews>
    <sheetView view="pageLayout" topLeftCell="A16" zoomScaleNormal="100" workbookViewId="0">
      <selection activeCell="Y13" sqref="Y13"/>
    </sheetView>
  </sheetViews>
  <sheetFormatPr defaultColWidth="8" defaultRowHeight="15"/>
  <cols>
    <col min="1" max="1" width="5.5" style="1629" customWidth="1"/>
    <col min="2" max="2" width="14" style="1629" customWidth="1"/>
    <col min="3" max="3" width="15.875" style="1629" customWidth="1"/>
    <col min="4" max="7" width="3.625" style="1629" customWidth="1"/>
    <col min="8" max="8" width="3.625" style="1644" customWidth="1"/>
    <col min="9" max="33" width="3.625" style="1629" customWidth="1"/>
    <col min="34" max="34" width="3.375" style="1629" customWidth="1"/>
    <col min="35" max="35" width="6.75" style="1629" customWidth="1"/>
    <col min="36" max="36" width="16.5" style="1629" customWidth="1"/>
    <col min="37" max="37" width="8.75" style="1629" bestFit="1" customWidth="1"/>
    <col min="38" max="38" width="13.25" style="1629" bestFit="1" customWidth="1"/>
    <col min="39" max="39" width="8.125" style="1629" bestFit="1" customWidth="1"/>
    <col min="40" max="43" width="8" style="1629"/>
    <col min="44" max="44" width="13.875" style="1629" customWidth="1"/>
    <col min="45" max="16384" width="8" style="1629"/>
  </cols>
  <sheetData>
    <row r="1" spans="1:39" ht="16.5">
      <c r="A1" s="4152" t="s">
        <v>165</v>
      </c>
      <c r="B1" s="4152"/>
      <c r="C1" s="4152"/>
      <c r="D1" s="4152"/>
      <c r="E1" s="4152"/>
      <c r="F1" s="4152"/>
      <c r="G1" s="4152"/>
      <c r="H1" s="4152"/>
      <c r="I1" s="4152"/>
      <c r="J1" s="4152"/>
      <c r="K1" s="4152"/>
      <c r="L1" s="4152"/>
      <c r="M1" s="4152"/>
      <c r="N1" s="4152"/>
      <c r="O1" s="4152"/>
      <c r="P1" s="4152"/>
      <c r="Q1" s="4152"/>
      <c r="R1" s="4152"/>
      <c r="S1" s="4152"/>
      <c r="T1" s="4152"/>
      <c r="U1" s="4152"/>
      <c r="V1" s="4152"/>
      <c r="W1" s="4152"/>
      <c r="X1" s="4152"/>
      <c r="Y1" s="4152"/>
      <c r="Z1" s="4152"/>
      <c r="AA1" s="4152"/>
      <c r="AB1" s="4152"/>
      <c r="AC1" s="4152"/>
      <c r="AD1" s="4152"/>
      <c r="AE1" s="4152"/>
      <c r="AF1" s="4152"/>
      <c r="AG1" s="4152"/>
      <c r="AH1" s="4152"/>
      <c r="AI1" s="4152"/>
      <c r="AJ1" s="4152"/>
    </row>
    <row r="2" spans="1:39" ht="16.5">
      <c r="A2" s="4152" t="s">
        <v>994</v>
      </c>
      <c r="B2" s="4152"/>
      <c r="C2" s="4152"/>
      <c r="D2" s="4152"/>
      <c r="E2" s="4152"/>
      <c r="F2" s="4152"/>
      <c r="G2" s="4152"/>
      <c r="H2" s="4152"/>
      <c r="I2" s="4152"/>
      <c r="J2" s="4152"/>
      <c r="K2" s="4152"/>
      <c r="L2" s="4152"/>
      <c r="M2" s="4152"/>
      <c r="N2" s="4152"/>
      <c r="O2" s="4152"/>
      <c r="P2" s="4152"/>
      <c r="Q2" s="4152"/>
      <c r="R2" s="4152"/>
      <c r="S2" s="4152"/>
      <c r="T2" s="4152"/>
      <c r="U2" s="4152"/>
      <c r="V2" s="4152"/>
      <c r="W2" s="4152"/>
      <c r="X2" s="4152"/>
      <c r="Y2" s="4152"/>
      <c r="Z2" s="4152"/>
      <c r="AA2" s="4152"/>
      <c r="AB2" s="4152"/>
      <c r="AC2" s="4152"/>
      <c r="AD2" s="4152"/>
      <c r="AE2" s="4152"/>
      <c r="AF2" s="4152"/>
      <c r="AG2" s="4152"/>
      <c r="AH2" s="4152"/>
      <c r="AI2" s="4152"/>
      <c r="AJ2" s="4152"/>
    </row>
    <row r="3" spans="1:39" ht="16.5">
      <c r="A3" s="4391" t="s">
        <v>995</v>
      </c>
      <c r="B3" s="4391"/>
      <c r="C3" s="4391"/>
      <c r="D3" s="4391"/>
      <c r="E3" s="4391"/>
      <c r="F3" s="4391"/>
      <c r="G3" s="4391"/>
      <c r="H3" s="4391"/>
      <c r="I3" s="4391"/>
      <c r="J3" s="4391"/>
      <c r="K3" s="4391"/>
      <c r="L3" s="4391"/>
      <c r="M3" s="4391"/>
      <c r="N3" s="4391"/>
      <c r="O3" s="4391"/>
      <c r="P3" s="4391"/>
      <c r="Q3" s="4391"/>
      <c r="R3" s="4391"/>
      <c r="S3" s="4391"/>
      <c r="T3" s="4391"/>
      <c r="U3" s="4391"/>
      <c r="V3" s="4391"/>
      <c r="W3" s="4391"/>
      <c r="X3" s="4391"/>
      <c r="Y3" s="4391"/>
      <c r="Z3" s="4391"/>
      <c r="AA3" s="4391"/>
      <c r="AB3" s="4391"/>
      <c r="AC3" s="4391"/>
      <c r="AD3" s="4391"/>
      <c r="AE3" s="4391"/>
      <c r="AF3" s="4391"/>
      <c r="AG3" s="4391"/>
      <c r="AH3" s="4391"/>
      <c r="AI3" s="4391"/>
      <c r="AJ3" s="4391"/>
    </row>
    <row r="4" spans="1:39" ht="16.5">
      <c r="A4" s="1630"/>
      <c r="B4" s="1630"/>
      <c r="C4" s="1630"/>
      <c r="D4" s="1630"/>
      <c r="E4" s="1630"/>
      <c r="F4" s="1630"/>
      <c r="G4" s="1630"/>
      <c r="H4" s="1630"/>
      <c r="I4" s="1630"/>
      <c r="J4" s="1630"/>
      <c r="K4" s="1630"/>
      <c r="L4" s="1630"/>
      <c r="M4" s="1630"/>
      <c r="N4" s="1630"/>
      <c r="O4" s="1630"/>
      <c r="P4" s="1630"/>
      <c r="Q4" s="1630"/>
      <c r="R4" s="1630"/>
      <c r="S4" s="1630"/>
      <c r="T4" s="1630"/>
      <c r="U4" s="1630"/>
      <c r="V4" s="1630"/>
      <c r="W4" s="1630"/>
      <c r="X4" s="1630"/>
      <c r="Y4" s="1630"/>
      <c r="Z4" s="1630"/>
      <c r="AA4" s="1630"/>
      <c r="AB4" s="1630"/>
      <c r="AC4" s="1630"/>
      <c r="AD4" s="1630"/>
      <c r="AE4" s="1630"/>
      <c r="AF4" s="1630"/>
      <c r="AG4" s="1630"/>
      <c r="AH4" s="1630"/>
      <c r="AI4" s="1630"/>
      <c r="AJ4" s="1630"/>
    </row>
    <row r="5" spans="1:39" ht="16.5">
      <c r="A5" s="4392" t="s">
        <v>1330</v>
      </c>
      <c r="B5" s="4392"/>
      <c r="C5" s="4392"/>
      <c r="D5" s="4392"/>
      <c r="E5" s="4392"/>
      <c r="F5" s="4392"/>
      <c r="G5" s="4392"/>
      <c r="H5" s="4392"/>
      <c r="I5" s="4392"/>
      <c r="J5" s="4392"/>
      <c r="K5" s="4392"/>
      <c r="L5" s="4392"/>
      <c r="M5" s="4392"/>
      <c r="N5" s="4392"/>
      <c r="O5" s="4392"/>
      <c r="P5" s="1630"/>
      <c r="Q5" s="1630"/>
      <c r="R5" s="1630"/>
      <c r="S5" s="1630"/>
      <c r="T5" s="1630"/>
      <c r="U5" s="1630"/>
      <c r="V5" s="1630"/>
      <c r="W5" s="1630"/>
      <c r="X5" s="1630"/>
      <c r="Y5" s="1630"/>
      <c r="Z5" s="1630"/>
      <c r="AA5" s="1630"/>
      <c r="AB5" s="1630"/>
      <c r="AC5" s="1630"/>
      <c r="AD5" s="1630"/>
      <c r="AE5" s="1630"/>
      <c r="AF5" s="1630"/>
      <c r="AG5" s="1630"/>
      <c r="AH5" s="1630"/>
      <c r="AI5" s="1630"/>
      <c r="AJ5" s="1630"/>
    </row>
    <row r="6" spans="1:39" ht="16.5">
      <c r="A6" s="4151" t="s">
        <v>1009</v>
      </c>
      <c r="B6" s="4151"/>
      <c r="C6" s="4151"/>
      <c r="D6" s="4151"/>
      <c r="E6" s="4151"/>
      <c r="F6" s="4151"/>
      <c r="G6" s="4151"/>
      <c r="H6" s="4151"/>
      <c r="I6" s="4151"/>
      <c r="J6" s="4151"/>
      <c r="K6" s="4151"/>
      <c r="L6" s="1630"/>
      <c r="M6" s="1630"/>
      <c r="N6" s="1630"/>
      <c r="O6" s="1630"/>
      <c r="P6" s="1630"/>
      <c r="Q6" s="1630"/>
      <c r="R6" s="1630"/>
      <c r="S6" s="1630"/>
      <c r="T6" s="1630"/>
      <c r="U6" s="1630"/>
      <c r="V6" s="1630"/>
      <c r="W6" s="1630"/>
      <c r="X6" s="1630"/>
      <c r="Y6" s="1630"/>
      <c r="Z6" s="1630"/>
      <c r="AA6" s="1630"/>
      <c r="AB6" s="1630"/>
      <c r="AC6" s="1630"/>
      <c r="AD6" s="1630"/>
      <c r="AE6" s="1630"/>
      <c r="AF6" s="1630"/>
      <c r="AG6" s="1630"/>
      <c r="AH6" s="1630"/>
      <c r="AI6" s="1630"/>
      <c r="AJ6" s="1630"/>
    </row>
    <row r="7" spans="1:39" ht="23.25" customHeight="1">
      <c r="A7" s="1631"/>
      <c r="B7" s="1631"/>
      <c r="C7" s="1631"/>
      <c r="D7" s="1631"/>
      <c r="E7" s="1631"/>
      <c r="F7" s="1631"/>
      <c r="G7" s="1631"/>
      <c r="H7" s="1631"/>
      <c r="I7" s="1631"/>
      <c r="J7" s="1631"/>
      <c r="K7" s="1631"/>
      <c r="L7" s="1632"/>
      <c r="M7" s="1632"/>
      <c r="N7" s="1632"/>
      <c r="O7" s="1632"/>
      <c r="P7" s="1632"/>
      <c r="Q7" s="1632"/>
      <c r="R7" s="1632"/>
      <c r="S7" s="1632"/>
      <c r="T7" s="1632"/>
      <c r="U7" s="1632"/>
      <c r="V7" s="1632"/>
      <c r="W7" s="1632"/>
      <c r="X7" s="1632"/>
      <c r="Y7" s="1632"/>
      <c r="Z7" s="1632"/>
      <c r="AA7" s="1632"/>
      <c r="AB7" s="1632"/>
      <c r="AC7" s="1632"/>
      <c r="AD7" s="1632"/>
      <c r="AE7" s="1632"/>
      <c r="AF7" s="1632"/>
      <c r="AG7" s="1632"/>
      <c r="AH7" s="1632"/>
      <c r="AI7" s="1632"/>
      <c r="AJ7" s="1632"/>
    </row>
    <row r="8" spans="1:39" ht="20.25">
      <c r="A8" s="4387" t="s">
        <v>1180</v>
      </c>
      <c r="B8" s="4387"/>
      <c r="C8" s="4387"/>
      <c r="D8" s="4387"/>
      <c r="E8" s="4387"/>
      <c r="F8" s="4387"/>
      <c r="G8" s="4387"/>
      <c r="H8" s="4387"/>
      <c r="I8" s="4387"/>
      <c r="J8" s="4387"/>
      <c r="K8" s="4387"/>
      <c r="L8" s="4387"/>
      <c r="M8" s="4387"/>
      <c r="N8" s="4387"/>
      <c r="O8" s="4387"/>
      <c r="P8" s="4387"/>
      <c r="Q8" s="4387"/>
      <c r="R8" s="4387"/>
      <c r="S8" s="4387"/>
      <c r="T8" s="4387"/>
      <c r="U8" s="4387"/>
      <c r="V8" s="4387"/>
      <c r="W8" s="4387"/>
      <c r="X8" s="4387"/>
      <c r="Y8" s="4387"/>
      <c r="Z8" s="4387"/>
      <c r="AA8" s="4387"/>
      <c r="AB8" s="4387"/>
      <c r="AC8" s="4387"/>
      <c r="AD8" s="4387"/>
      <c r="AE8" s="4387"/>
      <c r="AF8" s="4387"/>
      <c r="AG8" s="4387"/>
      <c r="AH8" s="4387"/>
      <c r="AI8" s="4387"/>
      <c r="AJ8" s="4387"/>
    </row>
    <row r="9" spans="1:39" ht="18.75">
      <c r="A9" s="4390" t="s">
        <v>1813</v>
      </c>
      <c r="B9" s="4390"/>
      <c r="C9" s="4390"/>
      <c r="D9" s="4390"/>
      <c r="E9" s="4390"/>
      <c r="F9" s="4390"/>
      <c r="G9" s="4390"/>
      <c r="H9" s="4390"/>
      <c r="I9" s="4390"/>
      <c r="J9" s="4390"/>
      <c r="K9" s="4390"/>
      <c r="L9" s="4390"/>
      <c r="M9" s="4390"/>
      <c r="N9" s="4390"/>
      <c r="O9" s="4390"/>
      <c r="P9" s="4390"/>
      <c r="Q9" s="4390"/>
      <c r="R9" s="4390"/>
      <c r="S9" s="4390"/>
      <c r="T9" s="4390"/>
      <c r="U9" s="4390"/>
      <c r="V9" s="4390"/>
      <c r="W9" s="4390"/>
      <c r="X9" s="4390"/>
      <c r="Y9" s="4390"/>
      <c r="Z9" s="4390"/>
      <c r="AA9" s="4390"/>
      <c r="AB9" s="4390"/>
      <c r="AC9" s="4390"/>
      <c r="AD9" s="4390"/>
      <c r="AE9" s="4390"/>
      <c r="AF9" s="4390"/>
      <c r="AG9" s="4390"/>
      <c r="AH9" s="4390"/>
      <c r="AI9" s="4390"/>
      <c r="AJ9" s="4390"/>
    </row>
    <row r="10" spans="1:39">
      <c r="A10" s="4388" t="s">
        <v>1</v>
      </c>
      <c r="B10" s="4388" t="s">
        <v>318</v>
      </c>
      <c r="C10" s="4388" t="s">
        <v>993</v>
      </c>
      <c r="D10" s="4389" t="s">
        <v>829</v>
      </c>
      <c r="E10" s="4389"/>
      <c r="F10" s="4389"/>
      <c r="G10" s="4389"/>
      <c r="H10" s="4389"/>
      <c r="I10" s="4389"/>
      <c r="J10" s="4389"/>
      <c r="K10" s="4389"/>
      <c r="L10" s="4389"/>
      <c r="M10" s="4389"/>
      <c r="N10" s="4389"/>
      <c r="O10" s="4389"/>
      <c r="P10" s="4389"/>
      <c r="Q10" s="4389"/>
      <c r="R10" s="4389"/>
      <c r="S10" s="4389"/>
      <c r="T10" s="4389"/>
      <c r="U10" s="4389"/>
      <c r="V10" s="4389"/>
      <c r="W10" s="4389"/>
      <c r="X10" s="4389"/>
      <c r="Y10" s="4389"/>
      <c r="Z10" s="4389"/>
      <c r="AA10" s="4389"/>
      <c r="AB10" s="4389"/>
      <c r="AC10" s="4389"/>
      <c r="AD10" s="4389"/>
      <c r="AE10" s="4389"/>
      <c r="AF10" s="4389"/>
      <c r="AG10" s="4389"/>
      <c r="AH10" s="2149"/>
      <c r="AI10" s="4382" t="s">
        <v>50</v>
      </c>
      <c r="AJ10" s="4382" t="s">
        <v>215</v>
      </c>
      <c r="AK10" s="1628">
        <v>27</v>
      </c>
    </row>
    <row r="11" spans="1:39" s="1630" customFormat="1" ht="22.5" customHeight="1">
      <c r="A11" s="4388"/>
      <c r="B11" s="4388"/>
      <c r="C11" s="4388"/>
      <c r="D11" s="2152">
        <v>1</v>
      </c>
      <c r="E11" s="2152">
        <v>2</v>
      </c>
      <c r="F11" s="2152">
        <v>3</v>
      </c>
      <c r="G11" s="2152">
        <v>4</v>
      </c>
      <c r="H11" s="2152">
        <v>5</v>
      </c>
      <c r="I11" s="2152">
        <v>6</v>
      </c>
      <c r="J11" s="2152">
        <v>7</v>
      </c>
      <c r="K11" s="2152">
        <v>8</v>
      </c>
      <c r="L11" s="2152">
        <v>9</v>
      </c>
      <c r="M11" s="2152">
        <v>10</v>
      </c>
      <c r="N11" s="2152">
        <v>11</v>
      </c>
      <c r="O11" s="2152">
        <v>12</v>
      </c>
      <c r="P11" s="2152">
        <v>13</v>
      </c>
      <c r="Q11" s="2152">
        <v>14</v>
      </c>
      <c r="R11" s="2152">
        <v>15</v>
      </c>
      <c r="S11" s="2152">
        <v>16</v>
      </c>
      <c r="T11" s="2152">
        <v>17</v>
      </c>
      <c r="U11" s="2152">
        <v>18</v>
      </c>
      <c r="V11" s="2152">
        <v>19</v>
      </c>
      <c r="W11" s="2152">
        <v>20</v>
      </c>
      <c r="X11" s="2152">
        <v>21</v>
      </c>
      <c r="Y11" s="2152">
        <v>22</v>
      </c>
      <c r="Z11" s="2152">
        <v>23</v>
      </c>
      <c r="AA11" s="2152">
        <v>24</v>
      </c>
      <c r="AB11" s="2152">
        <v>25</v>
      </c>
      <c r="AC11" s="2152">
        <v>26</v>
      </c>
      <c r="AD11" s="2152">
        <v>27</v>
      </c>
      <c r="AE11" s="2152">
        <v>28</v>
      </c>
      <c r="AF11" s="2152">
        <v>29</v>
      </c>
      <c r="AG11" s="2152">
        <v>30</v>
      </c>
      <c r="AH11" s="2152">
        <v>31</v>
      </c>
      <c r="AI11" s="4382"/>
      <c r="AJ11" s="4382"/>
    </row>
    <row r="12" spans="1:39" s="2159" customFormat="1" ht="30.75" customHeight="1">
      <c r="A12" s="2153">
        <v>1</v>
      </c>
      <c r="B12" s="2154" t="s">
        <v>275</v>
      </c>
      <c r="C12" s="1710" t="s">
        <v>1835</v>
      </c>
      <c r="D12" s="2153" t="s">
        <v>142</v>
      </c>
      <c r="E12" s="2153" t="s">
        <v>142</v>
      </c>
      <c r="F12" s="2153" t="s">
        <v>142</v>
      </c>
      <c r="G12" s="2153" t="s">
        <v>142</v>
      </c>
      <c r="H12" s="2153" t="s">
        <v>142</v>
      </c>
      <c r="I12" s="2153" t="s">
        <v>142</v>
      </c>
      <c r="J12" s="2153" t="s">
        <v>142</v>
      </c>
      <c r="K12" s="2153" t="s">
        <v>142</v>
      </c>
      <c r="L12" s="2153" t="s">
        <v>142</v>
      </c>
      <c r="M12" s="2153" t="s">
        <v>142</v>
      </c>
      <c r="N12" s="2153" t="s">
        <v>142</v>
      </c>
      <c r="O12" s="2153" t="s">
        <v>142</v>
      </c>
      <c r="P12" s="2153" t="s">
        <v>142</v>
      </c>
      <c r="Q12" s="2153" t="s">
        <v>142</v>
      </c>
      <c r="R12" s="2153" t="s">
        <v>142</v>
      </c>
      <c r="S12" s="2153" t="s">
        <v>142</v>
      </c>
      <c r="T12" s="2153" t="s">
        <v>142</v>
      </c>
      <c r="U12" s="2153" t="s">
        <v>142</v>
      </c>
      <c r="V12" s="2153" t="s">
        <v>142</v>
      </c>
      <c r="W12" s="2153" t="s">
        <v>142</v>
      </c>
      <c r="X12" s="2153" t="s">
        <v>142</v>
      </c>
      <c r="Y12" s="2153" t="s">
        <v>142</v>
      </c>
      <c r="Z12" s="2153" t="s">
        <v>142</v>
      </c>
      <c r="AA12" s="2153" t="s">
        <v>142</v>
      </c>
      <c r="AB12" s="2153" t="s">
        <v>142</v>
      </c>
      <c r="AC12" s="2153" t="s">
        <v>142</v>
      </c>
      <c r="AD12" s="2153" t="s">
        <v>142</v>
      </c>
      <c r="AE12" s="2153" t="s">
        <v>142</v>
      </c>
      <c r="AF12" s="2153" t="s">
        <v>142</v>
      </c>
      <c r="AG12" s="2153" t="s">
        <v>142</v>
      </c>
      <c r="AH12" s="2153" t="s">
        <v>142</v>
      </c>
      <c r="AI12" s="2155">
        <f t="shared" ref="AI12:AI24" si="0">COUNTIF(D12:AH12,"x")+ COUNTIF(D12:AH12,"p")+COUNTIF(D12:AH12,"mn")+COUNTIF(D12:AH12,"T")+COUNTIF(D12:AH12,"VN")</f>
        <v>31</v>
      </c>
      <c r="AJ12" s="2155"/>
      <c r="AK12" s="2156">
        <f>1200000/30</f>
        <v>40000</v>
      </c>
      <c r="AL12" s="2157">
        <f>AI12*AK12</f>
        <v>1240000</v>
      </c>
      <c r="AM12" s="2158">
        <f>AL12/25000</f>
        <v>49.6</v>
      </c>
    </row>
    <row r="13" spans="1:39" s="2159" customFormat="1" ht="30.75" customHeight="1">
      <c r="A13" s="2153">
        <v>2</v>
      </c>
      <c r="B13" s="2154" t="s">
        <v>713</v>
      </c>
      <c r="C13" s="1710" t="s">
        <v>1835</v>
      </c>
      <c r="D13" s="2153" t="s">
        <v>142</v>
      </c>
      <c r="E13" s="2153" t="s">
        <v>142</v>
      </c>
      <c r="F13" s="2153" t="s">
        <v>142</v>
      </c>
      <c r="G13" s="2153" t="s">
        <v>142</v>
      </c>
      <c r="H13" s="2153" t="s">
        <v>142</v>
      </c>
      <c r="I13" s="2153" t="s">
        <v>142</v>
      </c>
      <c r="J13" s="2153" t="s">
        <v>142</v>
      </c>
      <c r="K13" s="2153" t="s">
        <v>142</v>
      </c>
      <c r="L13" s="2153" t="s">
        <v>142</v>
      </c>
      <c r="M13" s="2153" t="s">
        <v>142</v>
      </c>
      <c r="N13" s="2153" t="s">
        <v>142</v>
      </c>
      <c r="O13" s="2153" t="s">
        <v>142</v>
      </c>
      <c r="P13" s="2153" t="s">
        <v>142</v>
      </c>
      <c r="Q13" s="2153" t="s">
        <v>142</v>
      </c>
      <c r="R13" s="2153" t="s">
        <v>142</v>
      </c>
      <c r="S13" s="2153" t="s">
        <v>142</v>
      </c>
      <c r="T13" s="2153" t="s">
        <v>142</v>
      </c>
      <c r="U13" s="2153" t="s">
        <v>142</v>
      </c>
      <c r="V13" s="2153" t="s">
        <v>142</v>
      </c>
      <c r="W13" s="2153" t="s">
        <v>142</v>
      </c>
      <c r="X13" s="2153" t="s">
        <v>142</v>
      </c>
      <c r="Y13" s="2153" t="s">
        <v>142</v>
      </c>
      <c r="Z13" s="2153" t="s">
        <v>142</v>
      </c>
      <c r="AA13" s="2153" t="s">
        <v>142</v>
      </c>
      <c r="AB13" s="2153" t="s">
        <v>142</v>
      </c>
      <c r="AC13" s="2153" t="s">
        <v>142</v>
      </c>
      <c r="AD13" s="2153" t="s">
        <v>142</v>
      </c>
      <c r="AE13" s="2153" t="s">
        <v>142</v>
      </c>
      <c r="AF13" s="2153" t="s">
        <v>142</v>
      </c>
      <c r="AG13" s="2153" t="s">
        <v>142</v>
      </c>
      <c r="AH13" s="2153" t="s">
        <v>142</v>
      </c>
      <c r="AI13" s="2155">
        <f t="shared" si="0"/>
        <v>31</v>
      </c>
      <c r="AJ13" s="2155"/>
      <c r="AK13" s="2156"/>
      <c r="AL13" s="2157"/>
      <c r="AM13" s="2158"/>
    </row>
    <row r="14" spans="1:39" s="2159" customFormat="1" ht="30.75" customHeight="1">
      <c r="A14" s="2153">
        <v>3</v>
      </c>
      <c r="B14" s="2154" t="s">
        <v>274</v>
      </c>
      <c r="C14" s="1710" t="s">
        <v>1835</v>
      </c>
      <c r="D14" s="2153" t="s">
        <v>142</v>
      </c>
      <c r="E14" s="2153" t="s">
        <v>142</v>
      </c>
      <c r="F14" s="2153" t="s">
        <v>142</v>
      </c>
      <c r="G14" s="2153" t="s">
        <v>142</v>
      </c>
      <c r="H14" s="2153" t="s">
        <v>142</v>
      </c>
      <c r="I14" s="2153" t="s">
        <v>142</v>
      </c>
      <c r="J14" s="2153" t="s">
        <v>142</v>
      </c>
      <c r="K14" s="2153" t="s">
        <v>142</v>
      </c>
      <c r="L14" s="2153" t="s">
        <v>142</v>
      </c>
      <c r="M14" s="2153" t="s">
        <v>142</v>
      </c>
      <c r="N14" s="2153" t="s">
        <v>142</v>
      </c>
      <c r="O14" s="2153" t="s">
        <v>142</v>
      </c>
      <c r="P14" s="2153" t="s">
        <v>142</v>
      </c>
      <c r="Q14" s="2153" t="s">
        <v>142</v>
      </c>
      <c r="R14" s="2153" t="s">
        <v>142</v>
      </c>
      <c r="S14" s="2153" t="s">
        <v>142</v>
      </c>
      <c r="T14" s="2153" t="s">
        <v>142</v>
      </c>
      <c r="U14" s="2153" t="s">
        <v>142</v>
      </c>
      <c r="V14" s="2153" t="s">
        <v>142</v>
      </c>
      <c r="W14" s="2153" t="s">
        <v>142</v>
      </c>
      <c r="X14" s="2153" t="s">
        <v>142</v>
      </c>
      <c r="Y14" s="2153" t="s">
        <v>142</v>
      </c>
      <c r="Z14" s="2153" t="s">
        <v>142</v>
      </c>
      <c r="AA14" s="2153" t="s">
        <v>142</v>
      </c>
      <c r="AB14" s="2153" t="s">
        <v>142</v>
      </c>
      <c r="AC14" s="2153" t="s">
        <v>142</v>
      </c>
      <c r="AD14" s="2153" t="s">
        <v>142</v>
      </c>
      <c r="AE14" s="2153" t="s">
        <v>142</v>
      </c>
      <c r="AF14" s="2153" t="s">
        <v>142</v>
      </c>
      <c r="AG14" s="2153" t="s">
        <v>142</v>
      </c>
      <c r="AH14" s="2153" t="s">
        <v>142</v>
      </c>
      <c r="AI14" s="2155">
        <f t="shared" si="0"/>
        <v>31</v>
      </c>
      <c r="AJ14" s="2155"/>
      <c r="AK14" s="2156">
        <f>1200000/30</f>
        <v>40000</v>
      </c>
      <c r="AL14" s="2157">
        <f>AI14*AK14</f>
        <v>1240000</v>
      </c>
      <c r="AM14" s="2158">
        <f>AL14/25000</f>
        <v>49.6</v>
      </c>
    </row>
    <row r="15" spans="1:39" s="2159" customFormat="1" ht="30.75" customHeight="1">
      <c r="A15" s="2153">
        <v>4</v>
      </c>
      <c r="B15" s="2154" t="s">
        <v>276</v>
      </c>
      <c r="C15" s="1710" t="s">
        <v>1835</v>
      </c>
      <c r="D15" s="2153" t="s">
        <v>142</v>
      </c>
      <c r="E15" s="2153" t="s">
        <v>142</v>
      </c>
      <c r="F15" s="2153" t="s">
        <v>142</v>
      </c>
      <c r="G15" s="2153" t="s">
        <v>142</v>
      </c>
      <c r="H15" s="2153" t="s">
        <v>142</v>
      </c>
      <c r="I15" s="2153" t="s">
        <v>142</v>
      </c>
      <c r="J15" s="2153" t="s">
        <v>142</v>
      </c>
      <c r="K15" s="2153" t="s">
        <v>142</v>
      </c>
      <c r="L15" s="2153" t="s">
        <v>142</v>
      </c>
      <c r="M15" s="2153" t="s">
        <v>142</v>
      </c>
      <c r="N15" s="2153" t="s">
        <v>142</v>
      </c>
      <c r="O15" s="2153" t="s">
        <v>142</v>
      </c>
      <c r="P15" s="2153" t="s">
        <v>142</v>
      </c>
      <c r="Q15" s="2153" t="s">
        <v>142</v>
      </c>
      <c r="R15" s="2153" t="s">
        <v>142</v>
      </c>
      <c r="S15" s="2153" t="s">
        <v>142</v>
      </c>
      <c r="T15" s="2153" t="s">
        <v>142</v>
      </c>
      <c r="U15" s="2153" t="s">
        <v>142</v>
      </c>
      <c r="V15" s="2153" t="s">
        <v>142</v>
      </c>
      <c r="W15" s="2153" t="s">
        <v>142</v>
      </c>
      <c r="X15" s="2153" t="s">
        <v>142</v>
      </c>
      <c r="Y15" s="2153" t="s">
        <v>142</v>
      </c>
      <c r="Z15" s="2153" t="s">
        <v>142</v>
      </c>
      <c r="AA15" s="2153" t="s">
        <v>142</v>
      </c>
      <c r="AB15" s="2153" t="s">
        <v>142</v>
      </c>
      <c r="AC15" s="2153" t="s">
        <v>142</v>
      </c>
      <c r="AD15" s="2153" t="s">
        <v>142</v>
      </c>
      <c r="AE15" s="2153" t="s">
        <v>142</v>
      </c>
      <c r="AF15" s="2153" t="s">
        <v>142</v>
      </c>
      <c r="AG15" s="2153" t="s">
        <v>142</v>
      </c>
      <c r="AH15" s="2153" t="s">
        <v>142</v>
      </c>
      <c r="AI15" s="2155">
        <f t="shared" si="0"/>
        <v>31</v>
      </c>
      <c r="AJ15" s="2155"/>
      <c r="AK15" s="2156">
        <f>1200000/30</f>
        <v>40000</v>
      </c>
      <c r="AL15" s="2157">
        <f>AI15*AK15</f>
        <v>1240000</v>
      </c>
      <c r="AM15" s="2158">
        <f>AL15/25000</f>
        <v>49.6</v>
      </c>
    </row>
    <row r="16" spans="1:39" s="2159" customFormat="1" ht="30.75" customHeight="1">
      <c r="A16" s="2153">
        <v>5</v>
      </c>
      <c r="B16" s="2154" t="s">
        <v>925</v>
      </c>
      <c r="C16" s="1710" t="s">
        <v>1834</v>
      </c>
      <c r="D16" s="2153"/>
      <c r="E16" s="2153"/>
      <c r="F16" s="2153" t="s">
        <v>142</v>
      </c>
      <c r="G16" s="2153" t="s">
        <v>142</v>
      </c>
      <c r="H16" s="2153" t="s">
        <v>142</v>
      </c>
      <c r="I16" s="2153" t="s">
        <v>142</v>
      </c>
      <c r="J16" s="2153" t="s">
        <v>142</v>
      </c>
      <c r="K16" s="2153" t="s">
        <v>142</v>
      </c>
      <c r="L16" s="2153" t="s">
        <v>142</v>
      </c>
      <c r="M16" s="2153" t="s">
        <v>142</v>
      </c>
      <c r="N16" s="2153" t="s">
        <v>142</v>
      </c>
      <c r="O16" s="2153" t="s">
        <v>142</v>
      </c>
      <c r="P16" s="2153" t="s">
        <v>142</v>
      </c>
      <c r="Q16" s="2153" t="s">
        <v>142</v>
      </c>
      <c r="R16" s="2153" t="s">
        <v>142</v>
      </c>
      <c r="S16" s="2153" t="s">
        <v>142</v>
      </c>
      <c r="T16" s="2153" t="s">
        <v>142</v>
      </c>
      <c r="U16" s="2153" t="s">
        <v>142</v>
      </c>
      <c r="V16" s="2153" t="s">
        <v>142</v>
      </c>
      <c r="W16" s="2153" t="s">
        <v>142</v>
      </c>
      <c r="X16" s="2153" t="s">
        <v>142</v>
      </c>
      <c r="Y16" s="2153" t="s">
        <v>142</v>
      </c>
      <c r="Z16" s="2153" t="s">
        <v>142</v>
      </c>
      <c r="AA16" s="2153" t="s">
        <v>142</v>
      </c>
      <c r="AB16" s="2153" t="s">
        <v>142</v>
      </c>
      <c r="AC16" s="2153" t="s">
        <v>142</v>
      </c>
      <c r="AD16" s="2153" t="s">
        <v>142</v>
      </c>
      <c r="AE16" s="2153" t="s">
        <v>142</v>
      </c>
      <c r="AF16" s="2153" t="s">
        <v>142</v>
      </c>
      <c r="AG16" s="2153" t="s">
        <v>142</v>
      </c>
      <c r="AH16" s="2153" t="s">
        <v>142</v>
      </c>
      <c r="AI16" s="2155">
        <f t="shared" si="0"/>
        <v>29</v>
      </c>
      <c r="AJ16" s="2155"/>
      <c r="AK16" s="2156"/>
      <c r="AL16" s="2157"/>
      <c r="AM16" s="2158"/>
    </row>
    <row r="17" spans="1:39" s="2159" customFormat="1" ht="30.75" customHeight="1">
      <c r="A17" s="2153">
        <v>6</v>
      </c>
      <c r="B17" s="2154" t="s">
        <v>1814</v>
      </c>
      <c r="C17" s="1710" t="s">
        <v>1834</v>
      </c>
      <c r="D17" s="2153"/>
      <c r="E17" s="2153"/>
      <c r="F17" s="2153" t="s">
        <v>142</v>
      </c>
      <c r="G17" s="2153" t="s">
        <v>142</v>
      </c>
      <c r="H17" s="2153" t="s">
        <v>142</v>
      </c>
      <c r="I17" s="2153" t="s">
        <v>142</v>
      </c>
      <c r="J17" s="2153" t="s">
        <v>142</v>
      </c>
      <c r="K17" s="2153" t="s">
        <v>142</v>
      </c>
      <c r="L17" s="2153" t="s">
        <v>142</v>
      </c>
      <c r="M17" s="2153" t="s">
        <v>142</v>
      </c>
      <c r="N17" s="2153" t="s">
        <v>142</v>
      </c>
      <c r="O17" s="2153" t="s">
        <v>142</v>
      </c>
      <c r="P17" s="2153" t="s">
        <v>142</v>
      </c>
      <c r="Q17" s="2153" t="s">
        <v>142</v>
      </c>
      <c r="R17" s="2153" t="s">
        <v>142</v>
      </c>
      <c r="S17" s="2153" t="s">
        <v>142</v>
      </c>
      <c r="T17" s="2153" t="s">
        <v>142</v>
      </c>
      <c r="U17" s="2153" t="s">
        <v>142</v>
      </c>
      <c r="V17" s="2153" t="s">
        <v>142</v>
      </c>
      <c r="W17" s="2153" t="s">
        <v>142</v>
      </c>
      <c r="X17" s="2153" t="s">
        <v>142</v>
      </c>
      <c r="Y17" s="2153" t="s">
        <v>142</v>
      </c>
      <c r="Z17" s="2153" t="s">
        <v>142</v>
      </c>
      <c r="AA17" s="2153" t="s">
        <v>142</v>
      </c>
      <c r="AB17" s="2153" t="s">
        <v>142</v>
      </c>
      <c r="AC17" s="2153" t="s">
        <v>142</v>
      </c>
      <c r="AD17" s="2153" t="s">
        <v>142</v>
      </c>
      <c r="AE17" s="2153" t="s">
        <v>142</v>
      </c>
      <c r="AF17" s="2153" t="s">
        <v>142</v>
      </c>
      <c r="AG17" s="2153" t="s">
        <v>142</v>
      </c>
      <c r="AH17" s="2153" t="s">
        <v>142</v>
      </c>
      <c r="AI17" s="2155">
        <f t="shared" si="0"/>
        <v>29</v>
      </c>
      <c r="AJ17" s="2155"/>
      <c r="AK17" s="2156"/>
      <c r="AL17" s="2157"/>
      <c r="AM17" s="2158"/>
    </row>
    <row r="18" spans="1:39" s="2159" customFormat="1" ht="30.75" customHeight="1">
      <c r="A18" s="2153">
        <v>7</v>
      </c>
      <c r="B18" s="2154" t="s">
        <v>1815</v>
      </c>
      <c r="C18" s="1710" t="s">
        <v>1834</v>
      </c>
      <c r="D18" s="2153"/>
      <c r="E18" s="2153"/>
      <c r="F18" s="2153" t="s">
        <v>142</v>
      </c>
      <c r="G18" s="2153" t="s">
        <v>142</v>
      </c>
      <c r="H18" s="2153" t="s">
        <v>142</v>
      </c>
      <c r="I18" s="2153" t="s">
        <v>142</v>
      </c>
      <c r="J18" s="2153" t="s">
        <v>142</v>
      </c>
      <c r="K18" s="2153" t="s">
        <v>142</v>
      </c>
      <c r="L18" s="2153" t="s">
        <v>142</v>
      </c>
      <c r="M18" s="2153" t="s">
        <v>142</v>
      </c>
      <c r="N18" s="2153" t="s">
        <v>142</v>
      </c>
      <c r="O18" s="2153" t="s">
        <v>142</v>
      </c>
      <c r="P18" s="2153" t="s">
        <v>142</v>
      </c>
      <c r="Q18" s="2153" t="s">
        <v>142</v>
      </c>
      <c r="R18" s="2153" t="s">
        <v>142</v>
      </c>
      <c r="S18" s="2153" t="s">
        <v>142</v>
      </c>
      <c r="T18" s="2153" t="s">
        <v>142</v>
      </c>
      <c r="U18" s="2153" t="s">
        <v>142</v>
      </c>
      <c r="V18" s="2153" t="s">
        <v>142</v>
      </c>
      <c r="W18" s="2153" t="s">
        <v>142</v>
      </c>
      <c r="X18" s="2153" t="s">
        <v>142</v>
      </c>
      <c r="Y18" s="2153" t="s">
        <v>142</v>
      </c>
      <c r="Z18" s="2153" t="s">
        <v>142</v>
      </c>
      <c r="AA18" s="2153" t="s">
        <v>142</v>
      </c>
      <c r="AB18" s="2153" t="s">
        <v>142</v>
      </c>
      <c r="AC18" s="2153" t="s">
        <v>142</v>
      </c>
      <c r="AD18" s="2153" t="s">
        <v>142</v>
      </c>
      <c r="AE18" s="2153" t="s">
        <v>142</v>
      </c>
      <c r="AF18" s="2153" t="s">
        <v>142</v>
      </c>
      <c r="AG18" s="2153" t="s">
        <v>142</v>
      </c>
      <c r="AH18" s="2153" t="s">
        <v>142</v>
      </c>
      <c r="AI18" s="2155">
        <f t="shared" si="0"/>
        <v>29</v>
      </c>
      <c r="AJ18" s="2155"/>
      <c r="AK18" s="2156"/>
      <c r="AL18" s="2157"/>
      <c r="AM18" s="2158"/>
    </row>
    <row r="19" spans="1:39" s="2159" customFormat="1" ht="30.75" customHeight="1">
      <c r="A19" s="2153">
        <v>8</v>
      </c>
      <c r="B19" s="2154" t="s">
        <v>1816</v>
      </c>
      <c r="C19" s="1710" t="s">
        <v>1834</v>
      </c>
      <c r="D19" s="2153"/>
      <c r="E19" s="2153"/>
      <c r="F19" s="2153" t="s">
        <v>142</v>
      </c>
      <c r="G19" s="2153" t="s">
        <v>142</v>
      </c>
      <c r="H19" s="2153" t="s">
        <v>142</v>
      </c>
      <c r="I19" s="2153" t="s">
        <v>142</v>
      </c>
      <c r="J19" s="2153" t="s">
        <v>142</v>
      </c>
      <c r="K19" s="2153" t="s">
        <v>142</v>
      </c>
      <c r="L19" s="2153" t="s">
        <v>142</v>
      </c>
      <c r="M19" s="2153" t="s">
        <v>142</v>
      </c>
      <c r="N19" s="2153" t="s">
        <v>142</v>
      </c>
      <c r="O19" s="2153" t="s">
        <v>142</v>
      </c>
      <c r="P19" s="2153" t="s">
        <v>142</v>
      </c>
      <c r="Q19" s="2153" t="s">
        <v>142</v>
      </c>
      <c r="R19" s="2153" t="s">
        <v>142</v>
      </c>
      <c r="S19" s="2153" t="s">
        <v>142</v>
      </c>
      <c r="T19" s="2153" t="s">
        <v>142</v>
      </c>
      <c r="U19" s="2153" t="s">
        <v>142</v>
      </c>
      <c r="V19" s="2153" t="s">
        <v>142</v>
      </c>
      <c r="W19" s="2153" t="s">
        <v>142</v>
      </c>
      <c r="X19" s="2153" t="s">
        <v>142</v>
      </c>
      <c r="Y19" s="2153" t="s">
        <v>142</v>
      </c>
      <c r="Z19" s="2153" t="s">
        <v>142</v>
      </c>
      <c r="AA19" s="2153" t="s">
        <v>142</v>
      </c>
      <c r="AB19" s="2153" t="s">
        <v>142</v>
      </c>
      <c r="AC19" s="2153" t="s">
        <v>142</v>
      </c>
      <c r="AD19" s="2153" t="s">
        <v>142</v>
      </c>
      <c r="AE19" s="2153" t="s">
        <v>142</v>
      </c>
      <c r="AF19" s="2153" t="s">
        <v>142</v>
      </c>
      <c r="AG19" s="2153" t="s">
        <v>142</v>
      </c>
      <c r="AH19" s="2153" t="s">
        <v>142</v>
      </c>
      <c r="AI19" s="2155">
        <f t="shared" si="0"/>
        <v>29</v>
      </c>
      <c r="AJ19" s="2155"/>
      <c r="AK19" s="2156"/>
      <c r="AL19" s="2157"/>
      <c r="AM19" s="2158"/>
    </row>
    <row r="20" spans="1:39" s="2159" customFormat="1" ht="30.75" customHeight="1">
      <c r="A20" s="2153">
        <v>9</v>
      </c>
      <c r="B20" s="2154" t="s">
        <v>1817</v>
      </c>
      <c r="C20" s="1710" t="s">
        <v>1834</v>
      </c>
      <c r="D20" s="2153"/>
      <c r="E20" s="2153"/>
      <c r="F20" s="2153" t="s">
        <v>142</v>
      </c>
      <c r="G20" s="2153" t="s">
        <v>142</v>
      </c>
      <c r="H20" s="2153" t="s">
        <v>142</v>
      </c>
      <c r="I20" s="2153" t="s">
        <v>142</v>
      </c>
      <c r="J20" s="2153" t="s">
        <v>142</v>
      </c>
      <c r="K20" s="2153" t="s">
        <v>142</v>
      </c>
      <c r="L20" s="2153" t="s">
        <v>142</v>
      </c>
      <c r="M20" s="2153" t="s">
        <v>142</v>
      </c>
      <c r="N20" s="2153" t="s">
        <v>142</v>
      </c>
      <c r="O20" s="2153" t="s">
        <v>142</v>
      </c>
      <c r="P20" s="2153" t="s">
        <v>142</v>
      </c>
      <c r="Q20" s="2153" t="s">
        <v>142</v>
      </c>
      <c r="R20" s="2153" t="s">
        <v>142</v>
      </c>
      <c r="S20" s="2153" t="s">
        <v>142</v>
      </c>
      <c r="T20" s="2153" t="s">
        <v>142</v>
      </c>
      <c r="U20" s="2153" t="s">
        <v>142</v>
      </c>
      <c r="V20" s="2153" t="s">
        <v>142</v>
      </c>
      <c r="W20" s="2153" t="s">
        <v>142</v>
      </c>
      <c r="X20" s="2153" t="s">
        <v>142</v>
      </c>
      <c r="Y20" s="2153" t="s">
        <v>142</v>
      </c>
      <c r="Z20" s="2153" t="s">
        <v>142</v>
      </c>
      <c r="AA20" s="2153" t="s">
        <v>142</v>
      </c>
      <c r="AB20" s="2153" t="s">
        <v>142</v>
      </c>
      <c r="AC20" s="2153" t="s">
        <v>142</v>
      </c>
      <c r="AD20" s="2153" t="s">
        <v>142</v>
      </c>
      <c r="AE20" s="2153" t="s">
        <v>142</v>
      </c>
      <c r="AF20" s="2153" t="s">
        <v>142</v>
      </c>
      <c r="AG20" s="2153" t="s">
        <v>142</v>
      </c>
      <c r="AH20" s="2153" t="s">
        <v>142</v>
      </c>
      <c r="AI20" s="2155">
        <f t="shared" si="0"/>
        <v>29</v>
      </c>
      <c r="AJ20" s="2155"/>
      <c r="AK20" s="2156"/>
      <c r="AL20" s="2157"/>
      <c r="AM20" s="2158"/>
    </row>
    <row r="21" spans="1:39" s="2159" customFormat="1" ht="30.75" customHeight="1">
      <c r="A21" s="2153">
        <v>10</v>
      </c>
      <c r="B21" s="2154" t="s">
        <v>1467</v>
      </c>
      <c r="C21" s="1710" t="s">
        <v>1834</v>
      </c>
      <c r="D21" s="2153"/>
      <c r="E21" s="2153"/>
      <c r="F21" s="2153"/>
      <c r="G21" s="2153"/>
      <c r="H21" s="2153"/>
      <c r="I21" s="2153"/>
      <c r="J21" s="2153"/>
      <c r="K21" s="2153"/>
      <c r="L21" s="2153"/>
      <c r="M21" s="2153"/>
      <c r="N21" s="2153"/>
      <c r="O21" s="2153"/>
      <c r="P21" s="2153"/>
      <c r="Q21" s="2153"/>
      <c r="R21" s="2153"/>
      <c r="S21" s="2153"/>
      <c r="T21" s="2153"/>
      <c r="U21" s="2153"/>
      <c r="V21" s="2153" t="s">
        <v>142</v>
      </c>
      <c r="W21" s="2153" t="s">
        <v>142</v>
      </c>
      <c r="X21" s="2153" t="s">
        <v>142</v>
      </c>
      <c r="Y21" s="2153" t="s">
        <v>142</v>
      </c>
      <c r="Z21" s="2153" t="s">
        <v>142</v>
      </c>
      <c r="AA21" s="2153" t="s">
        <v>142</v>
      </c>
      <c r="AB21" s="2153" t="s">
        <v>142</v>
      </c>
      <c r="AC21" s="2153" t="s">
        <v>142</v>
      </c>
      <c r="AD21" s="2153" t="s">
        <v>142</v>
      </c>
      <c r="AE21" s="2153" t="s">
        <v>142</v>
      </c>
      <c r="AF21" s="2153" t="s">
        <v>142</v>
      </c>
      <c r="AG21" s="2153" t="s">
        <v>142</v>
      </c>
      <c r="AH21" s="2153" t="s">
        <v>142</v>
      </c>
      <c r="AI21" s="2155">
        <f t="shared" si="0"/>
        <v>13</v>
      </c>
      <c r="AJ21" s="2155"/>
      <c r="AK21" s="2156"/>
      <c r="AL21" s="2157"/>
      <c r="AM21" s="2158"/>
    </row>
    <row r="22" spans="1:39" s="2159" customFormat="1" ht="30.75" customHeight="1">
      <c r="A22" s="2153">
        <v>11</v>
      </c>
      <c r="B22" s="2154" t="s">
        <v>926</v>
      </c>
      <c r="C22" s="1710" t="s">
        <v>1834</v>
      </c>
      <c r="D22" s="2153"/>
      <c r="E22" s="2153"/>
      <c r="F22" s="2153" t="s">
        <v>142</v>
      </c>
      <c r="G22" s="2153" t="s">
        <v>142</v>
      </c>
      <c r="H22" s="2153" t="s">
        <v>142</v>
      </c>
      <c r="I22" s="2153" t="s">
        <v>142</v>
      </c>
      <c r="J22" s="2153" t="s">
        <v>142</v>
      </c>
      <c r="K22" s="2153" t="s">
        <v>142</v>
      </c>
      <c r="L22" s="2153" t="s">
        <v>142</v>
      </c>
      <c r="M22" s="2153" t="s">
        <v>142</v>
      </c>
      <c r="N22" s="2153" t="s">
        <v>142</v>
      </c>
      <c r="O22" s="2153" t="s">
        <v>142</v>
      </c>
      <c r="P22" s="2153" t="s">
        <v>142</v>
      </c>
      <c r="Q22" s="2153" t="s">
        <v>142</v>
      </c>
      <c r="R22" s="2153" t="s">
        <v>142</v>
      </c>
      <c r="S22" s="2153" t="s">
        <v>142</v>
      </c>
      <c r="T22" s="2153" t="s">
        <v>142</v>
      </c>
      <c r="U22" s="2153" t="s">
        <v>142</v>
      </c>
      <c r="V22" s="2153" t="s">
        <v>142</v>
      </c>
      <c r="W22" s="2153" t="s">
        <v>142</v>
      </c>
      <c r="X22" s="2153" t="s">
        <v>142</v>
      </c>
      <c r="Y22" s="2153" t="s">
        <v>142</v>
      </c>
      <c r="Z22" s="2153" t="s">
        <v>142</v>
      </c>
      <c r="AA22" s="2153" t="s">
        <v>142</v>
      </c>
      <c r="AB22" s="2153" t="s">
        <v>142</v>
      </c>
      <c r="AC22" s="2153" t="s">
        <v>142</v>
      </c>
      <c r="AD22" s="2153" t="s">
        <v>142</v>
      </c>
      <c r="AE22" s="2153" t="s">
        <v>142</v>
      </c>
      <c r="AF22" s="2153" t="s">
        <v>142</v>
      </c>
      <c r="AG22" s="2153" t="s">
        <v>142</v>
      </c>
      <c r="AH22" s="2153" t="s">
        <v>142</v>
      </c>
      <c r="AI22" s="2155">
        <f t="shared" si="0"/>
        <v>29</v>
      </c>
      <c r="AJ22" s="2155"/>
      <c r="AK22" s="2156"/>
      <c r="AL22" s="2157"/>
      <c r="AM22" s="2158"/>
    </row>
    <row r="23" spans="1:39" s="2159" customFormat="1" ht="30.75" customHeight="1">
      <c r="A23" s="2153">
        <v>12</v>
      </c>
      <c r="B23" s="2154" t="s">
        <v>747</v>
      </c>
      <c r="C23" s="1710" t="s">
        <v>1834</v>
      </c>
      <c r="D23" s="2153"/>
      <c r="E23" s="2153"/>
      <c r="F23" s="2153" t="s">
        <v>142</v>
      </c>
      <c r="G23" s="2153" t="s">
        <v>142</v>
      </c>
      <c r="H23" s="2153" t="s">
        <v>142</v>
      </c>
      <c r="I23" s="2153" t="s">
        <v>142</v>
      </c>
      <c r="J23" s="2153" t="s">
        <v>142</v>
      </c>
      <c r="K23" s="2153" t="s">
        <v>142</v>
      </c>
      <c r="L23" s="2153" t="s">
        <v>142</v>
      </c>
      <c r="M23" s="2153" t="s">
        <v>142</v>
      </c>
      <c r="N23" s="2153" t="s">
        <v>142</v>
      </c>
      <c r="O23" s="2153" t="s">
        <v>142</v>
      </c>
      <c r="P23" s="2153" t="s">
        <v>142</v>
      </c>
      <c r="Q23" s="2153" t="s">
        <v>142</v>
      </c>
      <c r="R23" s="2153" t="s">
        <v>142</v>
      </c>
      <c r="S23" s="2153" t="s">
        <v>142</v>
      </c>
      <c r="T23" s="2153" t="s">
        <v>142</v>
      </c>
      <c r="U23" s="2153" t="s">
        <v>142</v>
      </c>
      <c r="V23" s="2153" t="s">
        <v>142</v>
      </c>
      <c r="W23" s="2153" t="s">
        <v>142</v>
      </c>
      <c r="X23" s="2153" t="s">
        <v>142</v>
      </c>
      <c r="Y23" s="2153" t="s">
        <v>142</v>
      </c>
      <c r="Z23" s="2153" t="s">
        <v>142</v>
      </c>
      <c r="AA23" s="2153" t="s">
        <v>142</v>
      </c>
      <c r="AB23" s="2153" t="s">
        <v>142</v>
      </c>
      <c r="AC23" s="2153" t="s">
        <v>142</v>
      </c>
      <c r="AD23" s="2153" t="s">
        <v>142</v>
      </c>
      <c r="AE23" s="2153" t="s">
        <v>142</v>
      </c>
      <c r="AF23" s="2153" t="s">
        <v>142</v>
      </c>
      <c r="AG23" s="2153" t="s">
        <v>142</v>
      </c>
      <c r="AH23" s="2153" t="s">
        <v>142</v>
      </c>
      <c r="AI23" s="2155">
        <f t="shared" si="0"/>
        <v>29</v>
      </c>
      <c r="AJ23" s="2155"/>
      <c r="AK23" s="2156"/>
      <c r="AL23" s="2157"/>
      <c r="AM23" s="2158"/>
    </row>
    <row r="24" spans="1:39" s="2159" customFormat="1" ht="30.75" customHeight="1">
      <c r="A24" s="2153">
        <v>13</v>
      </c>
      <c r="B24" s="2154" t="s">
        <v>1818</v>
      </c>
      <c r="C24" s="1710" t="s">
        <v>1834</v>
      </c>
      <c r="D24" s="2153"/>
      <c r="E24" s="2153"/>
      <c r="F24" s="2153" t="s">
        <v>142</v>
      </c>
      <c r="G24" s="2153" t="s">
        <v>142</v>
      </c>
      <c r="H24" s="2153" t="s">
        <v>142</v>
      </c>
      <c r="I24" s="2153" t="s">
        <v>142</v>
      </c>
      <c r="J24" s="2153" t="s">
        <v>142</v>
      </c>
      <c r="K24" s="2153" t="s">
        <v>142</v>
      </c>
      <c r="L24" s="2153" t="s">
        <v>142</v>
      </c>
      <c r="M24" s="2153" t="s">
        <v>142</v>
      </c>
      <c r="N24" s="2153" t="s">
        <v>142</v>
      </c>
      <c r="O24" s="2153" t="s">
        <v>142</v>
      </c>
      <c r="P24" s="2153" t="s">
        <v>142</v>
      </c>
      <c r="Q24" s="2153" t="s">
        <v>142</v>
      </c>
      <c r="R24" s="2153" t="s">
        <v>142</v>
      </c>
      <c r="S24" s="2153" t="s">
        <v>142</v>
      </c>
      <c r="T24" s="2153" t="s">
        <v>142</v>
      </c>
      <c r="U24" s="2153" t="s">
        <v>142</v>
      </c>
      <c r="V24" s="2153" t="s">
        <v>142</v>
      </c>
      <c r="W24" s="2153" t="s">
        <v>142</v>
      </c>
      <c r="X24" s="2153" t="s">
        <v>142</v>
      </c>
      <c r="Y24" s="2153" t="s">
        <v>142</v>
      </c>
      <c r="Z24" s="2153" t="s">
        <v>142</v>
      </c>
      <c r="AA24" s="2153" t="s">
        <v>142</v>
      </c>
      <c r="AB24" s="2153" t="s">
        <v>142</v>
      </c>
      <c r="AC24" s="2153" t="s">
        <v>142</v>
      </c>
      <c r="AD24" s="2153" t="s">
        <v>142</v>
      </c>
      <c r="AE24" s="2153" t="s">
        <v>142</v>
      </c>
      <c r="AF24" s="2153" t="s">
        <v>142</v>
      </c>
      <c r="AG24" s="2153" t="s">
        <v>142</v>
      </c>
      <c r="AH24" s="2153" t="s">
        <v>142</v>
      </c>
      <c r="AI24" s="2155">
        <f t="shared" si="0"/>
        <v>29</v>
      </c>
      <c r="AJ24" s="2155"/>
      <c r="AK24" s="2156"/>
      <c r="AL24" s="2157"/>
      <c r="AM24" s="2158"/>
    </row>
    <row r="25" spans="1:39" s="2159" customFormat="1" ht="27.75" customHeight="1">
      <c r="A25" s="4384" t="s">
        <v>187</v>
      </c>
      <c r="B25" s="4385"/>
      <c r="C25" s="4386"/>
      <c r="D25" s="2160">
        <f>COUNTIF(D12:D24,"x")</f>
        <v>4</v>
      </c>
      <c r="E25" s="2160">
        <f t="shared" ref="E25:AH25" si="1">COUNTIF(E12:E24,"x")</f>
        <v>4</v>
      </c>
      <c r="F25" s="2160">
        <f t="shared" si="1"/>
        <v>12</v>
      </c>
      <c r="G25" s="2160">
        <f t="shared" si="1"/>
        <v>12</v>
      </c>
      <c r="H25" s="2160">
        <f t="shared" si="1"/>
        <v>12</v>
      </c>
      <c r="I25" s="2160">
        <f t="shared" si="1"/>
        <v>12</v>
      </c>
      <c r="J25" s="2160">
        <f t="shared" si="1"/>
        <v>12</v>
      </c>
      <c r="K25" s="2160">
        <f t="shared" si="1"/>
        <v>12</v>
      </c>
      <c r="L25" s="2160">
        <f t="shared" si="1"/>
        <v>12</v>
      </c>
      <c r="M25" s="2160">
        <f t="shared" si="1"/>
        <v>12</v>
      </c>
      <c r="N25" s="2160">
        <f t="shared" si="1"/>
        <v>12</v>
      </c>
      <c r="O25" s="2160">
        <f t="shared" si="1"/>
        <v>12</v>
      </c>
      <c r="P25" s="2160">
        <f t="shared" si="1"/>
        <v>12</v>
      </c>
      <c r="Q25" s="2160">
        <f t="shared" si="1"/>
        <v>12</v>
      </c>
      <c r="R25" s="2160">
        <f t="shared" si="1"/>
        <v>12</v>
      </c>
      <c r="S25" s="2160">
        <f t="shared" si="1"/>
        <v>12</v>
      </c>
      <c r="T25" s="2160">
        <f t="shared" si="1"/>
        <v>12</v>
      </c>
      <c r="U25" s="2160">
        <f t="shared" si="1"/>
        <v>12</v>
      </c>
      <c r="V25" s="2160">
        <f t="shared" si="1"/>
        <v>13</v>
      </c>
      <c r="W25" s="2160">
        <f t="shared" si="1"/>
        <v>13</v>
      </c>
      <c r="X25" s="2160">
        <f t="shared" si="1"/>
        <v>13</v>
      </c>
      <c r="Y25" s="2160">
        <f t="shared" si="1"/>
        <v>13</v>
      </c>
      <c r="Z25" s="2160">
        <f t="shared" si="1"/>
        <v>13</v>
      </c>
      <c r="AA25" s="2160">
        <f t="shared" si="1"/>
        <v>13</v>
      </c>
      <c r="AB25" s="2160">
        <f t="shared" si="1"/>
        <v>13</v>
      </c>
      <c r="AC25" s="2160">
        <f t="shared" si="1"/>
        <v>13</v>
      </c>
      <c r="AD25" s="2160">
        <f t="shared" si="1"/>
        <v>13</v>
      </c>
      <c r="AE25" s="2160">
        <f t="shared" si="1"/>
        <v>13</v>
      </c>
      <c r="AF25" s="2160">
        <f t="shared" si="1"/>
        <v>13</v>
      </c>
      <c r="AG25" s="2160">
        <f t="shared" si="1"/>
        <v>13</v>
      </c>
      <c r="AH25" s="2160">
        <f t="shared" si="1"/>
        <v>13</v>
      </c>
      <c r="AI25" s="2161">
        <f>SUM(AI12:AI24)</f>
        <v>369</v>
      </c>
      <c r="AJ25" s="2161"/>
    </row>
    <row r="26" spans="1:39">
      <c r="B26" s="1633"/>
      <c r="C26" s="1633"/>
      <c r="D26" s="1633"/>
      <c r="E26" s="1633"/>
      <c r="F26" s="1633"/>
      <c r="G26" s="1633"/>
      <c r="H26" s="1633"/>
      <c r="I26" s="1633"/>
      <c r="J26" s="1633"/>
      <c r="K26" s="1633"/>
      <c r="L26" s="1633"/>
      <c r="M26" s="1633"/>
      <c r="N26" s="1633"/>
      <c r="O26" s="1633"/>
      <c r="P26" s="1633"/>
      <c r="Q26" s="1633"/>
      <c r="R26" s="1633"/>
      <c r="S26" s="1633"/>
      <c r="U26" s="1958"/>
      <c r="V26" s="1958"/>
      <c r="W26" s="1958"/>
      <c r="X26" s="1958"/>
      <c r="Y26" s="1958"/>
      <c r="Z26" s="1958"/>
      <c r="AA26" s="1958"/>
      <c r="AB26" s="1958"/>
      <c r="AC26" s="1958"/>
      <c r="AD26" s="1958"/>
      <c r="AE26" s="4383" t="s">
        <v>1770</v>
      </c>
      <c r="AF26" s="4383"/>
      <c r="AG26" s="4383"/>
      <c r="AH26" s="4383"/>
      <c r="AI26" s="4383"/>
      <c r="AJ26" s="4383"/>
    </row>
    <row r="27" spans="1:39" s="2151" customFormat="1" ht="24" customHeight="1">
      <c r="A27" s="3678" t="s">
        <v>44</v>
      </c>
      <c r="B27" s="3678"/>
      <c r="C27" s="3678"/>
      <c r="D27" s="3678"/>
      <c r="E27" s="3678"/>
      <c r="F27" s="3678"/>
      <c r="G27" s="3678"/>
      <c r="H27" s="3678"/>
      <c r="I27" s="3678"/>
      <c r="J27" s="3678"/>
      <c r="K27" s="3678"/>
      <c r="L27" s="3678"/>
      <c r="M27" s="3678"/>
      <c r="N27" s="3678"/>
      <c r="O27" s="3678"/>
      <c r="P27" s="3678"/>
      <c r="Q27" s="3678"/>
      <c r="R27" s="3678"/>
      <c r="S27" s="3678"/>
      <c r="T27" s="3678"/>
      <c r="U27" s="3678"/>
      <c r="V27" s="3678"/>
      <c r="AB27" s="2225"/>
      <c r="AC27" s="2225"/>
      <c r="AD27" s="2225" t="s">
        <v>1107</v>
      </c>
      <c r="AE27" s="2225"/>
      <c r="AG27" s="2225"/>
      <c r="AH27" s="2225"/>
      <c r="AI27" s="2225"/>
      <c r="AJ27" s="2225"/>
    </row>
    <row r="28" spans="1:39" ht="15.75">
      <c r="A28" s="1632"/>
      <c r="B28" s="1635"/>
      <c r="C28" s="1636"/>
      <c r="D28" s="1632"/>
      <c r="E28" s="1632"/>
      <c r="F28" s="1632"/>
      <c r="G28" s="1632"/>
      <c r="H28" s="1632"/>
      <c r="I28" s="1637"/>
      <c r="J28" s="1637"/>
      <c r="K28" s="1637"/>
      <c r="L28" s="1638"/>
      <c r="M28" s="1638"/>
      <c r="N28" s="1638"/>
      <c r="O28" s="1638"/>
      <c r="P28" s="1638"/>
      <c r="Q28" s="1638"/>
      <c r="R28" s="1638"/>
      <c r="S28" s="1638"/>
      <c r="T28" s="1638"/>
      <c r="U28" s="1638"/>
      <c r="V28" s="1638"/>
      <c r="W28" s="1638"/>
      <c r="X28" s="1638"/>
      <c r="Y28" s="1638"/>
      <c r="Z28" s="1638"/>
      <c r="AA28" s="1638"/>
      <c r="AB28" s="1638"/>
      <c r="AC28" s="1638"/>
      <c r="AD28" s="1638"/>
      <c r="AE28" s="1638"/>
      <c r="AF28" s="1638"/>
      <c r="AG28" s="1638"/>
      <c r="AH28" s="1638"/>
      <c r="AI28" s="1638"/>
      <c r="AJ28" s="1638"/>
    </row>
    <row r="29" spans="1:39" ht="15.75">
      <c r="A29" s="1632"/>
      <c r="B29" s="1639"/>
      <c r="C29" s="1636"/>
      <c r="D29" s="1632"/>
      <c r="E29" s="1632"/>
      <c r="F29" s="1632"/>
      <c r="G29" s="1632"/>
      <c r="H29" s="1632"/>
      <c r="I29" s="1632"/>
      <c r="J29" s="1632"/>
      <c r="K29" s="1632"/>
      <c r="L29" s="1632"/>
      <c r="M29" s="1632"/>
      <c r="N29" s="1638"/>
      <c r="O29" s="1638"/>
      <c r="P29" s="1638"/>
      <c r="Q29" s="1637"/>
      <c r="R29" s="1637"/>
      <c r="S29" s="1637"/>
      <c r="T29" s="1637"/>
      <c r="U29" s="1637"/>
      <c r="V29" s="1637"/>
      <c r="W29" s="1638"/>
      <c r="X29" s="1638"/>
      <c r="Y29" s="1638"/>
      <c r="Z29" s="1638"/>
      <c r="AA29" s="1638"/>
      <c r="AB29" s="1638"/>
      <c r="AC29" s="1638"/>
      <c r="AD29" s="1638"/>
      <c r="AE29" s="1638"/>
      <c r="AF29" s="1638"/>
      <c r="AG29" s="1638"/>
      <c r="AH29" s="1638"/>
      <c r="AI29" s="1637"/>
      <c r="AJ29" s="1637"/>
    </row>
    <row r="30" spans="1:39" ht="15.75">
      <c r="A30" s="1632"/>
      <c r="B30" s="1639"/>
      <c r="C30" s="1636"/>
      <c r="D30" s="1632"/>
      <c r="E30" s="1632"/>
      <c r="F30" s="1632"/>
      <c r="G30" s="1632"/>
      <c r="H30" s="1632"/>
      <c r="I30" s="1637"/>
      <c r="J30" s="1637"/>
      <c r="K30" s="1640"/>
      <c r="L30" s="1632"/>
      <c r="M30" s="1632"/>
      <c r="N30" s="1638"/>
      <c r="O30" s="1638"/>
      <c r="P30" s="1638"/>
      <c r="Q30" s="1638"/>
      <c r="R30" s="1638"/>
      <c r="S30" s="1638"/>
      <c r="T30" s="1638"/>
      <c r="U30" s="1638"/>
      <c r="V30" s="1638"/>
      <c r="W30" s="1638"/>
      <c r="X30" s="1638"/>
      <c r="Y30" s="1638"/>
      <c r="Z30" s="1638"/>
      <c r="AA30" s="1638"/>
      <c r="AB30" s="1638"/>
      <c r="AC30" s="1638"/>
      <c r="AD30" s="1638"/>
      <c r="AE30" s="1638"/>
      <c r="AF30" s="1638"/>
      <c r="AG30" s="1638"/>
      <c r="AH30" s="1638"/>
      <c r="AI30" s="1638"/>
      <c r="AJ30" s="1638"/>
    </row>
    <row r="31" spans="1:39" ht="15.75">
      <c r="A31" s="1632"/>
      <c r="B31" s="1639"/>
      <c r="C31" s="1636"/>
      <c r="D31" s="1632"/>
      <c r="E31" s="1632"/>
      <c r="F31" s="1632"/>
      <c r="G31" s="1632"/>
      <c r="H31" s="1632"/>
      <c r="I31" s="1632"/>
      <c r="J31" s="1632"/>
      <c r="K31" s="1640"/>
      <c r="L31" s="1632"/>
      <c r="M31" s="1632"/>
      <c r="N31" s="1638"/>
      <c r="O31" s="1638"/>
      <c r="P31" s="1638"/>
      <c r="Q31" s="1637"/>
      <c r="R31" s="1637"/>
      <c r="S31" s="1637"/>
      <c r="T31" s="1637"/>
      <c r="U31" s="1637"/>
      <c r="V31" s="1637"/>
      <c r="W31" s="1637"/>
      <c r="X31" s="1637"/>
      <c r="Y31" s="1637"/>
      <c r="Z31" s="1637"/>
      <c r="AA31" s="1637"/>
      <c r="AB31" s="1637"/>
      <c r="AC31" s="1637"/>
      <c r="AD31" s="1637"/>
      <c r="AE31" s="1637"/>
      <c r="AF31" s="1637"/>
      <c r="AG31" s="1637"/>
      <c r="AH31" s="1637"/>
      <c r="AI31" s="1637"/>
      <c r="AJ31" s="1637"/>
    </row>
    <row r="32" spans="1:39" ht="15.75">
      <c r="A32" s="1632"/>
      <c r="B32" s="1639"/>
      <c r="C32" s="1641"/>
      <c r="D32" s="1632"/>
      <c r="E32" s="1632"/>
      <c r="F32" s="1632"/>
      <c r="G32" s="1632"/>
      <c r="H32" s="1632"/>
      <c r="I32" s="1632"/>
      <c r="J32" s="1632"/>
      <c r="K32" s="1640"/>
      <c r="L32" s="1632"/>
      <c r="M32" s="1632"/>
      <c r="N32" s="1638"/>
      <c r="O32" s="1638"/>
      <c r="P32" s="1638"/>
      <c r="Q32" s="1637"/>
      <c r="R32" s="1637"/>
      <c r="S32" s="1637"/>
      <c r="T32" s="1637"/>
      <c r="U32" s="1637"/>
      <c r="V32" s="1637"/>
      <c r="W32" s="1637"/>
      <c r="X32" s="1637"/>
      <c r="Y32" s="1637"/>
      <c r="Z32" s="1637"/>
      <c r="AA32" s="1637"/>
      <c r="AB32" s="1637"/>
      <c r="AC32" s="1637"/>
      <c r="AD32" s="1637"/>
      <c r="AE32" s="1637"/>
      <c r="AF32" s="1637"/>
      <c r="AG32" s="1637"/>
      <c r="AH32" s="1637"/>
      <c r="AI32" s="1637"/>
      <c r="AJ32" s="1637"/>
    </row>
    <row r="33" spans="1:36" ht="15.75">
      <c r="A33" s="1632"/>
      <c r="B33" s="1639"/>
      <c r="C33" s="1632"/>
      <c r="D33" s="1632"/>
      <c r="E33" s="1632"/>
      <c r="F33" s="1632"/>
      <c r="G33" s="1632"/>
      <c r="H33" s="1632"/>
      <c r="I33" s="1632"/>
      <c r="J33" s="1632"/>
      <c r="L33" s="1632"/>
      <c r="M33" s="4381"/>
      <c r="N33" s="4381"/>
      <c r="O33" s="4381"/>
      <c r="P33" s="4381"/>
      <c r="Q33" s="4381"/>
      <c r="R33" s="4381"/>
      <c r="S33" s="4381"/>
      <c r="T33" s="4381"/>
      <c r="U33" s="4381"/>
      <c r="V33" s="4381"/>
      <c r="W33" s="1638"/>
      <c r="X33" s="4381"/>
      <c r="Y33" s="4381"/>
      <c r="Z33" s="4381"/>
      <c r="AA33" s="4381"/>
      <c r="AB33" s="4381"/>
      <c r="AC33" s="4381"/>
      <c r="AD33" s="4381"/>
      <c r="AE33" s="4381"/>
      <c r="AF33" s="4381"/>
      <c r="AG33" s="4381"/>
      <c r="AH33" s="4381"/>
      <c r="AI33" s="4381"/>
      <c r="AJ33" s="2150"/>
    </row>
    <row r="34" spans="1:36">
      <c r="A34" s="1632"/>
      <c r="C34" s="1642"/>
      <c r="D34" s="1642"/>
      <c r="E34" s="1642"/>
      <c r="F34" s="1642"/>
      <c r="G34" s="1642"/>
      <c r="H34" s="1642"/>
      <c r="I34" s="1642"/>
      <c r="J34" s="1642"/>
      <c r="K34" s="1642"/>
      <c r="L34" s="1632"/>
      <c r="M34" s="1632"/>
      <c r="N34" s="1632"/>
      <c r="O34" s="1632"/>
      <c r="P34" s="1632"/>
      <c r="Q34" s="1632"/>
      <c r="R34" s="1632"/>
      <c r="S34" s="1632"/>
      <c r="T34" s="1632"/>
      <c r="U34" s="1632"/>
      <c r="V34" s="1632"/>
      <c r="W34" s="1632"/>
      <c r="X34" s="1632"/>
      <c r="Y34" s="1632"/>
      <c r="Z34" s="1632"/>
      <c r="AA34" s="1632"/>
      <c r="AB34" s="1632"/>
      <c r="AC34" s="1632"/>
      <c r="AD34" s="1632"/>
      <c r="AE34" s="1632"/>
      <c r="AF34" s="1632"/>
      <c r="AG34" s="1632"/>
      <c r="AH34" s="1632"/>
      <c r="AI34" s="1632"/>
      <c r="AJ34" s="1632"/>
    </row>
    <row r="35" spans="1:36">
      <c r="A35" s="1632"/>
      <c r="D35" s="1641"/>
      <c r="E35" s="1641"/>
      <c r="F35" s="1641"/>
      <c r="G35" s="1641"/>
      <c r="H35" s="1641"/>
      <c r="I35" s="1632"/>
      <c r="J35" s="1632"/>
      <c r="K35" s="1632"/>
      <c r="L35" s="1632"/>
      <c r="M35" s="1632"/>
      <c r="N35" s="1632"/>
      <c r="O35" s="1632"/>
      <c r="P35" s="1632"/>
      <c r="Q35" s="1632"/>
      <c r="R35" s="1632"/>
      <c r="S35" s="1632"/>
      <c r="T35" s="1632"/>
      <c r="U35" s="1632"/>
      <c r="V35" s="1632"/>
      <c r="W35" s="1632"/>
      <c r="X35" s="1632"/>
      <c r="Y35" s="1632"/>
      <c r="Z35" s="1632"/>
      <c r="AA35" s="1632"/>
      <c r="AB35" s="1632"/>
      <c r="AC35" s="1632"/>
      <c r="AD35" s="1632"/>
      <c r="AE35" s="1632"/>
      <c r="AF35" s="1632"/>
      <c r="AG35" s="1632"/>
      <c r="AH35" s="1632"/>
      <c r="AI35" s="1632"/>
      <c r="AJ35" s="1632"/>
    </row>
    <row r="36" spans="1:36" ht="16.5">
      <c r="A36" s="1634" t="s">
        <v>996</v>
      </c>
      <c r="B36" s="1632"/>
      <c r="C36" s="1643"/>
      <c r="D36" s="1643"/>
      <c r="E36" s="1632"/>
      <c r="F36" s="1632"/>
      <c r="G36" s="1632"/>
      <c r="H36" s="1632"/>
      <c r="I36" s="1630"/>
      <c r="J36" s="1630"/>
      <c r="K36" s="1632"/>
    </row>
    <row r="37" spans="1:36" ht="15.75">
      <c r="A37" s="1632"/>
      <c r="B37" s="1635" t="s">
        <v>997</v>
      </c>
      <c r="C37" s="1636" t="s">
        <v>998</v>
      </c>
      <c r="D37" s="1632"/>
      <c r="E37" s="1632"/>
      <c r="F37" s="1632"/>
      <c r="G37" s="1632"/>
      <c r="H37" s="1632"/>
      <c r="I37" s="1637"/>
      <c r="J37" s="1637"/>
      <c r="K37" s="1637"/>
    </row>
    <row r="38" spans="1:36">
      <c r="A38" s="1632"/>
      <c r="B38" s="1639" t="s">
        <v>920</v>
      </c>
      <c r="C38" s="1636" t="s">
        <v>999</v>
      </c>
      <c r="D38" s="1632"/>
      <c r="E38" s="1632"/>
      <c r="F38" s="1632"/>
      <c r="G38" s="1632"/>
      <c r="H38" s="1632"/>
      <c r="I38" s="1632"/>
      <c r="J38" s="1632"/>
      <c r="K38" s="1632"/>
    </row>
    <row r="39" spans="1:36" ht="15.75">
      <c r="A39" s="1632"/>
      <c r="B39" s="1639" t="s">
        <v>983</v>
      </c>
      <c r="C39" s="1636" t="s">
        <v>1000</v>
      </c>
      <c r="D39" s="1632"/>
      <c r="E39" s="1632"/>
      <c r="F39" s="1632"/>
      <c r="G39" s="1632"/>
      <c r="H39" s="1632"/>
      <c r="I39" s="1637"/>
      <c r="J39" s="1637"/>
      <c r="K39" s="1640"/>
    </row>
    <row r="40" spans="1:36" ht="15.75">
      <c r="A40" s="1632"/>
      <c r="B40" s="1639" t="s">
        <v>1001</v>
      </c>
      <c r="C40" s="1636" t="s">
        <v>1002</v>
      </c>
      <c r="D40" s="1632"/>
      <c r="E40" s="1632"/>
      <c r="F40" s="1632"/>
      <c r="G40" s="1632"/>
      <c r="H40" s="1632"/>
      <c r="I40" s="1632"/>
      <c r="J40" s="1632"/>
      <c r="K40" s="1640"/>
    </row>
    <row r="41" spans="1:36" ht="15.75">
      <c r="A41" s="1632"/>
      <c r="B41" s="1639" t="s">
        <v>1003</v>
      </c>
      <c r="C41" s="1641" t="s">
        <v>1004</v>
      </c>
      <c r="D41" s="1632"/>
      <c r="E41" s="1632"/>
      <c r="F41" s="1632"/>
      <c r="G41" s="1632"/>
      <c r="H41" s="1632"/>
      <c r="I41" s="1632"/>
      <c r="J41" s="1632"/>
      <c r="K41" s="1640"/>
    </row>
    <row r="42" spans="1:36">
      <c r="A42" s="1632"/>
      <c r="B42" s="1639" t="s">
        <v>1005</v>
      </c>
      <c r="C42" s="1632" t="s">
        <v>1006</v>
      </c>
      <c r="D42" s="1632"/>
      <c r="E42" s="1632"/>
      <c r="F42" s="1632"/>
      <c r="G42" s="1632"/>
      <c r="H42" s="1632"/>
      <c r="I42" s="1632"/>
      <c r="J42" s="1632"/>
    </row>
    <row r="43" spans="1:36">
      <c r="A43" s="1632"/>
      <c r="B43" s="1629" t="s">
        <v>1007</v>
      </c>
      <c r="C43" s="1642" t="s">
        <v>1008</v>
      </c>
      <c r="D43" s="1642"/>
      <c r="E43" s="1642"/>
      <c r="F43" s="1642"/>
      <c r="G43" s="1642"/>
      <c r="H43" s="1642"/>
      <c r="I43" s="1642"/>
      <c r="J43" s="1642"/>
      <c r="K43" s="1642"/>
    </row>
  </sheetData>
  <mergeCells count="19">
    <mergeCell ref="A1:AJ1"/>
    <mergeCell ref="A2:AJ2"/>
    <mergeCell ref="A3:AJ3"/>
    <mergeCell ref="A5:O5"/>
    <mergeCell ref="A6:K6"/>
    <mergeCell ref="A8:AJ8"/>
    <mergeCell ref="A10:A11"/>
    <mergeCell ref="B10:B11"/>
    <mergeCell ref="C10:C11"/>
    <mergeCell ref="D10:AG10"/>
    <mergeCell ref="AI10:AI11"/>
    <mergeCell ref="A9:AJ9"/>
    <mergeCell ref="A27:L27"/>
    <mergeCell ref="M27:V27"/>
    <mergeCell ref="M33:V33"/>
    <mergeCell ref="X33:AI33"/>
    <mergeCell ref="AJ10:AJ11"/>
    <mergeCell ref="AE26:AJ26"/>
    <mergeCell ref="A25:C25"/>
  </mergeCells>
  <pageMargins left="0.59055118110236227" right="0.59055118110236227" top="0.39370078740157483" bottom="0.39370078740157483" header="0.39370078740157483" footer="0.39370078740157483"/>
  <pageSetup paperSize="9" scale="72" orientation="landscape" r:id="rId1"/>
  <rowBreaks count="1" manualBreakCount="1">
    <brk id="35" max="16383" man="1"/>
  </rowBreaks>
  <colBreaks count="1" manualBreakCount="1">
    <brk id="36" max="1048575" man="1"/>
  </colBreaks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V23"/>
  <sheetViews>
    <sheetView zoomScaleNormal="100" workbookViewId="0">
      <selection activeCell="Q12" sqref="Q12"/>
    </sheetView>
  </sheetViews>
  <sheetFormatPr defaultColWidth="9.375" defaultRowHeight="16.5"/>
  <cols>
    <col min="1" max="1" width="4.875" style="698" customWidth="1"/>
    <col min="2" max="2" width="6.375" style="698" hidden="1" customWidth="1"/>
    <col min="3" max="3" width="14.375" style="698" customWidth="1"/>
    <col min="4" max="4" width="13" style="698" customWidth="1"/>
    <col min="5" max="5" width="11.375" style="698" customWidth="1"/>
    <col min="6" max="6" width="10.375" style="698" customWidth="1"/>
    <col min="7" max="7" width="12" style="698" customWidth="1"/>
    <col min="8" max="8" width="5.375" style="698" hidden="1" customWidth="1"/>
    <col min="9" max="9" width="7.875" style="698" customWidth="1"/>
    <col min="10" max="10" width="10.375" style="698" customWidth="1"/>
    <col min="11" max="11" width="9.375" style="698" customWidth="1"/>
    <col min="12" max="12" width="15" style="698" customWidth="1"/>
    <col min="13" max="13" width="16.375" style="698" customWidth="1"/>
    <col min="14" max="14" width="17.375" style="698" customWidth="1"/>
    <col min="15" max="16384" width="9.375" style="698"/>
  </cols>
  <sheetData>
    <row r="1" spans="1:15">
      <c r="A1" s="3666" t="s">
        <v>165</v>
      </c>
      <c r="B1" s="3666"/>
      <c r="C1" s="3666"/>
      <c r="D1" s="3666"/>
      <c r="E1" s="3666"/>
      <c r="F1" s="3666"/>
      <c r="G1" s="3666"/>
      <c r="H1" s="3666"/>
      <c r="I1" s="3666"/>
      <c r="J1" s="3666"/>
      <c r="K1" s="3666"/>
      <c r="L1" s="3666"/>
      <c r="M1" s="3666"/>
      <c r="N1" s="3666"/>
    </row>
    <row r="2" spans="1:15">
      <c r="A2" s="3666" t="s">
        <v>171</v>
      </c>
      <c r="B2" s="3666"/>
      <c r="C2" s="3666"/>
      <c r="D2" s="3666"/>
      <c r="E2" s="3666"/>
      <c r="F2" s="3666"/>
      <c r="G2" s="3666"/>
      <c r="H2" s="3666"/>
      <c r="I2" s="3666"/>
      <c r="J2" s="3666"/>
      <c r="K2" s="3666"/>
      <c r="L2" s="3666"/>
      <c r="M2" s="3666"/>
      <c r="N2" s="3666"/>
    </row>
    <row r="3" spans="1:15">
      <c r="A3" s="4087" t="s">
        <v>726</v>
      </c>
      <c r="B3" s="4081"/>
      <c r="C3" s="4081"/>
      <c r="D3" s="4081"/>
      <c r="E3" s="4081"/>
      <c r="F3" s="4081"/>
      <c r="G3" s="4081"/>
      <c r="H3" s="4081"/>
      <c r="I3" s="4081"/>
      <c r="J3" s="4081"/>
      <c r="K3" s="4081"/>
      <c r="L3" s="4081"/>
      <c r="M3" s="4081"/>
      <c r="N3" s="4081"/>
    </row>
    <row r="4" spans="1:15" ht="20.25" customHeight="1">
      <c r="A4" s="4077" t="s">
        <v>574</v>
      </c>
      <c r="B4" s="4077"/>
      <c r="C4" s="4077"/>
      <c r="D4" s="4077"/>
      <c r="E4" s="4077"/>
      <c r="F4" s="4077"/>
      <c r="G4" s="697"/>
      <c r="I4" s="157"/>
      <c r="J4" s="157"/>
      <c r="K4" s="157"/>
      <c r="L4" s="157"/>
      <c r="M4" s="157"/>
      <c r="N4" s="157"/>
      <c r="O4" s="156"/>
    </row>
    <row r="5" spans="1:15">
      <c r="A5" s="3899" t="s">
        <v>541</v>
      </c>
      <c r="B5" s="3899"/>
      <c r="C5" s="3899"/>
      <c r="D5" s="3899"/>
      <c r="E5" s="3899"/>
      <c r="F5" s="3899"/>
      <c r="G5" s="697"/>
      <c r="I5" s="157"/>
      <c r="J5" s="157"/>
      <c r="K5" s="157"/>
      <c r="L5" s="157"/>
      <c r="M5" s="157"/>
      <c r="N5" s="157"/>
      <c r="O5" s="710"/>
    </row>
    <row r="6" spans="1:15">
      <c r="A6" s="699"/>
      <c r="B6" s="699"/>
      <c r="C6" s="699"/>
      <c r="D6" s="699"/>
      <c r="E6" s="699"/>
      <c r="F6" s="699"/>
      <c r="G6" s="697"/>
      <c r="H6" s="693"/>
      <c r="I6" s="693"/>
      <c r="J6" s="693"/>
      <c r="K6" s="693"/>
      <c r="L6" s="693"/>
      <c r="M6" s="693"/>
      <c r="N6" s="693"/>
      <c r="O6" s="693"/>
    </row>
    <row r="7" spans="1:15" ht="18.75">
      <c r="A7" s="4074" t="s">
        <v>1811</v>
      </c>
      <c r="B7" s="4074"/>
      <c r="C7" s="4074"/>
      <c r="D7" s="4074"/>
      <c r="E7" s="4074"/>
      <c r="F7" s="4074"/>
      <c r="G7" s="4074"/>
      <c r="H7" s="4074"/>
      <c r="I7" s="4074"/>
      <c r="J7" s="4074"/>
      <c r="K7" s="4074"/>
      <c r="L7" s="4074"/>
      <c r="M7" s="4074"/>
      <c r="N7" s="4074"/>
      <c r="O7" s="815"/>
    </row>
    <row r="8" spans="1:15" ht="10.5" customHeight="1">
      <c r="A8" s="4074"/>
      <c r="B8" s="4074"/>
      <c r="C8" s="4074"/>
      <c r="D8" s="4074"/>
      <c r="E8" s="4074"/>
      <c r="F8" s="4074"/>
      <c r="G8" s="4074"/>
      <c r="H8" s="4074"/>
      <c r="I8" s="4074"/>
      <c r="J8" s="4074"/>
      <c r="K8" s="4074"/>
      <c r="L8" s="4074"/>
      <c r="M8" s="4074"/>
      <c r="N8" s="4074"/>
      <c r="O8" s="815"/>
    </row>
    <row r="10" spans="1:15" ht="30" customHeight="1">
      <c r="A10" s="4401" t="s">
        <v>19</v>
      </c>
      <c r="B10" s="4397" t="s">
        <v>2</v>
      </c>
      <c r="C10" s="4398"/>
      <c r="D10" s="3905" t="s">
        <v>5</v>
      </c>
      <c r="E10" s="4397" t="s">
        <v>657</v>
      </c>
      <c r="F10" s="4403"/>
      <c r="G10" s="4403"/>
      <c r="H10" s="4398"/>
      <c r="I10" s="4401" t="s">
        <v>623</v>
      </c>
      <c r="J10" s="3905" t="s">
        <v>811</v>
      </c>
      <c r="K10" s="3905" t="s">
        <v>658</v>
      </c>
      <c r="L10" s="3905" t="s">
        <v>659</v>
      </c>
      <c r="M10" s="3905" t="s">
        <v>16</v>
      </c>
      <c r="N10" s="3905" t="s">
        <v>17</v>
      </c>
    </row>
    <row r="11" spans="1:15" ht="28.5" customHeight="1">
      <c r="A11" s="4402"/>
      <c r="B11" s="4399"/>
      <c r="C11" s="4400"/>
      <c r="D11" s="4396"/>
      <c r="E11" s="4399"/>
      <c r="F11" s="4404"/>
      <c r="G11" s="4404"/>
      <c r="H11" s="4400"/>
      <c r="I11" s="4402"/>
      <c r="J11" s="4396"/>
      <c r="K11" s="4396"/>
      <c r="L11" s="4396"/>
      <c r="M11" s="4396"/>
      <c r="N11" s="4396"/>
    </row>
    <row r="12" spans="1:15" ht="28.5" customHeight="1">
      <c r="A12" s="1563">
        <v>1</v>
      </c>
      <c r="B12" s="1563"/>
      <c r="C12" s="808" t="s">
        <v>1141</v>
      </c>
      <c r="D12" s="1479" t="s">
        <v>263</v>
      </c>
      <c r="E12" s="4393" t="s">
        <v>1795</v>
      </c>
      <c r="F12" s="4394"/>
      <c r="G12" s="4394"/>
      <c r="H12" s="4395"/>
      <c r="I12" s="1564" t="s">
        <v>362</v>
      </c>
      <c r="J12" s="1567">
        <v>20</v>
      </c>
      <c r="K12" s="1565">
        <v>25000</v>
      </c>
      <c r="L12" s="1565">
        <f>J12*K12</f>
        <v>500000</v>
      </c>
      <c r="M12" s="1480">
        <f>L12</f>
        <v>500000</v>
      </c>
      <c r="N12" s="1566"/>
    </row>
    <row r="13" spans="1:15" ht="25.5" customHeight="1">
      <c r="A13" s="4078" t="s">
        <v>184</v>
      </c>
      <c r="B13" s="4078"/>
      <c r="C13" s="4078"/>
      <c r="D13" s="4078"/>
      <c r="E13" s="4405"/>
      <c r="F13" s="4406"/>
      <c r="G13" s="4406"/>
      <c r="H13" s="4407"/>
      <c r="I13" s="702"/>
      <c r="J13" s="1568"/>
      <c r="K13" s="1568"/>
      <c r="L13" s="2330">
        <f>SUM(L12:L12)</f>
        <v>500000</v>
      </c>
      <c r="M13" s="2964">
        <f>SUM(M12:M12)</f>
        <v>500000</v>
      </c>
      <c r="N13" s="700"/>
    </row>
    <row r="14" spans="1:15" ht="17.25" hidden="1">
      <c r="A14" s="4079"/>
      <c r="B14" s="4079"/>
      <c r="C14" s="4079"/>
      <c r="D14" s="4079"/>
      <c r="E14" s="4079"/>
      <c r="F14" s="4079"/>
      <c r="G14" s="4079"/>
      <c r="H14" s="4079"/>
      <c r="I14" s="4079"/>
      <c r="J14" s="4079"/>
      <c r="K14" s="4079"/>
      <c r="L14" s="4079"/>
      <c r="M14" s="4079"/>
      <c r="N14" s="4079"/>
    </row>
    <row r="15" spans="1:15" ht="17.25">
      <c r="A15" s="4408" t="s">
        <v>1812</v>
      </c>
      <c r="B15" s="4408"/>
      <c r="C15" s="4408"/>
      <c r="D15" s="4408"/>
      <c r="E15" s="4408"/>
      <c r="F15" s="4408"/>
      <c r="G15" s="4408"/>
      <c r="H15" s="4408"/>
      <c r="I15" s="4408"/>
      <c r="J15" s="4408"/>
      <c r="K15" s="4408"/>
      <c r="L15" s="4408"/>
      <c r="M15" s="4408"/>
      <c r="N15" s="4408"/>
    </row>
    <row r="16" spans="1:15">
      <c r="A16" s="280"/>
      <c r="B16" s="156"/>
      <c r="C16" s="703"/>
      <c r="D16" s="156"/>
      <c r="E16" s="704"/>
      <c r="F16" s="156"/>
      <c r="G16" s="156"/>
      <c r="H16" s="705"/>
      <c r="I16" s="705"/>
      <c r="J16" s="156"/>
      <c r="K16" s="4080" t="s">
        <v>1783</v>
      </c>
      <c r="L16" s="4080"/>
      <c r="M16" s="4080"/>
      <c r="N16" s="4080"/>
      <c r="O16" s="706"/>
    </row>
    <row r="17" spans="1:22" ht="21" customHeight="1">
      <c r="A17" s="3666" t="s">
        <v>45</v>
      </c>
      <c r="B17" s="3666"/>
      <c r="C17" s="3666"/>
      <c r="D17" s="3666"/>
      <c r="E17" s="3666" t="s">
        <v>44</v>
      </c>
      <c r="F17" s="3666"/>
      <c r="G17" s="3666"/>
      <c r="H17" s="3666"/>
      <c r="I17" s="3666"/>
      <c r="J17" s="3666"/>
      <c r="K17" s="3666"/>
      <c r="L17" s="3666"/>
      <c r="M17" s="3666" t="s">
        <v>1107</v>
      </c>
      <c r="N17" s="3666"/>
      <c r="O17" s="1536"/>
      <c r="P17" s="1536"/>
      <c r="T17" s="698">
        <f>3075-1700</f>
        <v>1375</v>
      </c>
      <c r="V17" s="698">
        <f>630/20</f>
        <v>31.5</v>
      </c>
    </row>
    <row r="18" spans="1:22">
      <c r="A18" s="697"/>
      <c r="B18" s="697"/>
      <c r="C18" s="697"/>
      <c r="D18" s="697"/>
      <c r="E18" s="697"/>
      <c r="F18" s="697"/>
      <c r="G18" s="697"/>
      <c r="H18" s="707"/>
      <c r="I18" s="697"/>
      <c r="J18" s="697"/>
      <c r="K18" s="697"/>
      <c r="L18" s="697"/>
      <c r="M18" s="697"/>
      <c r="N18" s="697"/>
      <c r="O18" s="697"/>
    </row>
    <row r="19" spans="1:22">
      <c r="A19" s="697"/>
      <c r="B19" s="697"/>
      <c r="C19" s="697"/>
      <c r="D19" s="697"/>
      <c r="E19" s="697"/>
      <c r="F19" s="697"/>
      <c r="G19" s="697"/>
      <c r="H19" s="707"/>
      <c r="I19" s="697"/>
      <c r="J19" s="697"/>
      <c r="K19" s="697"/>
      <c r="L19" s="697"/>
      <c r="M19" s="697"/>
      <c r="N19" s="697"/>
      <c r="O19" s="697"/>
      <c r="V19" s="698">
        <f>30*20</f>
        <v>600</v>
      </c>
    </row>
    <row r="20" spans="1:22">
      <c r="A20" s="697"/>
      <c r="B20" s="697"/>
      <c r="C20" s="697"/>
      <c r="D20" s="697"/>
      <c r="E20" s="697"/>
      <c r="F20" s="697"/>
      <c r="G20" s="697"/>
      <c r="H20" s="707"/>
      <c r="I20" s="697"/>
      <c r="J20" s="697"/>
      <c r="K20" s="697"/>
      <c r="L20" s="697"/>
      <c r="M20" s="697"/>
      <c r="N20" s="697"/>
      <c r="O20" s="697"/>
      <c r="V20" s="698">
        <f>19*20</f>
        <v>380</v>
      </c>
    </row>
    <row r="21" spans="1:22">
      <c r="A21" s="697"/>
      <c r="B21" s="697"/>
      <c r="C21" s="697"/>
      <c r="D21" s="697"/>
      <c r="E21" s="697"/>
      <c r="F21" s="697"/>
      <c r="G21" s="697"/>
      <c r="H21" s="707"/>
      <c r="I21" s="697"/>
      <c r="J21" s="697"/>
      <c r="K21" s="697"/>
      <c r="L21" s="697"/>
      <c r="M21" s="697"/>
      <c r="N21" s="697"/>
      <c r="O21" s="697"/>
      <c r="V21" s="698">
        <f>1000-380</f>
        <v>620</v>
      </c>
    </row>
    <row r="22" spans="1:22">
      <c r="A22" s="697"/>
      <c r="B22" s="697"/>
      <c r="C22" s="697"/>
      <c r="D22" s="697"/>
      <c r="E22" s="697"/>
      <c r="F22" s="697"/>
      <c r="G22" s="697"/>
      <c r="H22" s="707"/>
      <c r="I22" s="697"/>
      <c r="J22" s="697"/>
      <c r="K22" s="697"/>
      <c r="L22" s="697"/>
      <c r="M22" s="697"/>
      <c r="N22" s="697"/>
      <c r="O22" s="697"/>
      <c r="V22" s="698" t="s">
        <v>725</v>
      </c>
    </row>
    <row r="23" spans="1:22">
      <c r="A23" s="708"/>
      <c r="B23" s="708"/>
      <c r="C23" s="708"/>
      <c r="D23" s="708"/>
      <c r="E23" s="708"/>
      <c r="F23" s="708"/>
      <c r="G23" s="708"/>
      <c r="H23" s="709"/>
      <c r="I23" s="3666"/>
      <c r="J23" s="3666"/>
      <c r="K23" s="3666"/>
      <c r="L23" s="157"/>
      <c r="M23" s="3666"/>
      <c r="N23" s="3666"/>
      <c r="O23" s="157"/>
    </row>
  </sheetData>
  <mergeCells count="28">
    <mergeCell ref="A2:N2"/>
    <mergeCell ref="A1:N1"/>
    <mergeCell ref="A3:N3"/>
    <mergeCell ref="A4:F4"/>
    <mergeCell ref="A5:F5"/>
    <mergeCell ref="A8:N8"/>
    <mergeCell ref="A7:N7"/>
    <mergeCell ref="N10:N11"/>
    <mergeCell ref="A10:A11"/>
    <mergeCell ref="I23:K23"/>
    <mergeCell ref="M17:N17"/>
    <mergeCell ref="M23:N23"/>
    <mergeCell ref="K16:N16"/>
    <mergeCell ref="A17:D17"/>
    <mergeCell ref="M10:M11"/>
    <mergeCell ref="I10:I11"/>
    <mergeCell ref="K10:K11"/>
    <mergeCell ref="D10:D11"/>
    <mergeCell ref="E10:H11"/>
    <mergeCell ref="E13:H13"/>
    <mergeCell ref="A15:N15"/>
    <mergeCell ref="E12:H12"/>
    <mergeCell ref="E17:L17"/>
    <mergeCell ref="L10:L11"/>
    <mergeCell ref="J10:J11"/>
    <mergeCell ref="A13:D13"/>
    <mergeCell ref="A14:N14"/>
    <mergeCell ref="B10:C11"/>
  </mergeCells>
  <pageMargins left="0.35" right="0.19685039370078741" top="0.51181102362204722" bottom="0.74803149606299213" header="0.31496062992125984" footer="0.31496062992125984"/>
  <pageSetup paperSize="9" scale="90" orientation="landscape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05"/>
  <sheetViews>
    <sheetView workbookViewId="0">
      <selection activeCell="E20" sqref="E20"/>
    </sheetView>
  </sheetViews>
  <sheetFormatPr defaultColWidth="9.375" defaultRowHeight="15"/>
  <cols>
    <col min="1" max="1" width="4.375" style="36" bestFit="1" customWidth="1"/>
    <col min="2" max="2" width="24" style="36" bestFit="1" customWidth="1"/>
    <col min="3" max="3" width="8.75" style="730" bestFit="1" customWidth="1"/>
    <col min="4" max="4" width="10.375" style="36" bestFit="1" customWidth="1"/>
    <col min="5" max="5" width="12.25" style="36" bestFit="1" customWidth="1"/>
    <col min="6" max="6" width="32.75" style="36" customWidth="1"/>
    <col min="7" max="7" width="29.375" style="29" customWidth="1"/>
    <col min="8" max="9" width="9.375" style="29"/>
    <col min="10" max="10" width="21.125" style="29" customWidth="1"/>
    <col min="11" max="13" width="9.375" style="29"/>
    <col min="14" max="14" width="12.75" style="29" customWidth="1"/>
    <col min="15" max="16384" width="9.375" style="29"/>
  </cols>
  <sheetData>
    <row r="1" spans="1:14" s="10" customFormat="1" thickTop="1">
      <c r="A1" s="6" t="s">
        <v>19</v>
      </c>
      <c r="B1" s="7" t="s">
        <v>20</v>
      </c>
      <c r="C1" s="7" t="s">
        <v>21</v>
      </c>
      <c r="D1" s="7" t="s">
        <v>22</v>
      </c>
      <c r="E1" s="8" t="s">
        <v>23</v>
      </c>
      <c r="F1" s="9" t="s">
        <v>24</v>
      </c>
      <c r="G1" s="725">
        <v>3070000</v>
      </c>
    </row>
    <row r="2" spans="1:14" s="16" customFormat="1" ht="15.75">
      <c r="A2" s="11"/>
      <c r="B2" s="678" t="s">
        <v>97</v>
      </c>
      <c r="C2" s="731">
        <v>1.22</v>
      </c>
      <c r="D2" s="735">
        <v>1.22</v>
      </c>
      <c r="E2" s="14"/>
      <c r="F2" s="734">
        <v>3965000</v>
      </c>
      <c r="G2" s="235">
        <f t="shared" ref="G2:G8" si="0">(F2*10.5%)*0.3751</f>
        <v>156163.50750000001</v>
      </c>
      <c r="H2" s="726">
        <f t="shared" ref="H2:H7" si="1">+F2/$G$1</f>
        <v>1.2915309446254071</v>
      </c>
      <c r="I2" s="726"/>
      <c r="J2" s="737">
        <f t="shared" ref="J2:J7" si="2">F2-K2</f>
        <v>219600</v>
      </c>
      <c r="K2" s="16">
        <v>3745400</v>
      </c>
    </row>
    <row r="3" spans="1:14" s="19" customFormat="1">
      <c r="A3" s="11"/>
      <c r="B3" s="20" t="s">
        <v>337</v>
      </c>
      <c r="C3" s="731">
        <v>2.5</v>
      </c>
      <c r="D3" s="735">
        <v>2.84</v>
      </c>
      <c r="E3" s="18"/>
      <c r="F3" s="734">
        <v>9230000</v>
      </c>
      <c r="G3" s="235">
        <f t="shared" si="0"/>
        <v>363528.16499999998</v>
      </c>
      <c r="H3" s="726">
        <f t="shared" si="1"/>
        <v>3.006514657980456</v>
      </c>
      <c r="I3" s="726"/>
      <c r="J3" s="737">
        <f t="shared" si="2"/>
        <v>511200</v>
      </c>
      <c r="K3" s="19">
        <v>8718800</v>
      </c>
    </row>
    <row r="4" spans="1:14" s="19" customFormat="1">
      <c r="A4" s="11"/>
      <c r="B4" s="12" t="s">
        <v>372</v>
      </c>
      <c r="C4" s="731">
        <v>1.17</v>
      </c>
      <c r="D4" s="735">
        <v>1.17</v>
      </c>
      <c r="E4" s="18"/>
      <c r="F4" s="734">
        <v>3802500</v>
      </c>
      <c r="G4" s="235">
        <f t="shared" si="0"/>
        <v>149763.36374999999</v>
      </c>
      <c r="H4" s="726">
        <f t="shared" si="1"/>
        <v>1.2385993485342019</v>
      </c>
      <c r="I4" s="726"/>
      <c r="J4" s="737">
        <f t="shared" si="2"/>
        <v>210600</v>
      </c>
      <c r="K4" s="19">
        <v>3591900</v>
      </c>
      <c r="N4" s="732">
        <v>3070000</v>
      </c>
    </row>
    <row r="5" spans="1:14" s="19" customFormat="1">
      <c r="A5" s="11"/>
      <c r="B5" s="12" t="s">
        <v>341</v>
      </c>
      <c r="C5" s="731">
        <v>1.41</v>
      </c>
      <c r="D5" s="735">
        <v>1.41</v>
      </c>
      <c r="E5" s="14"/>
      <c r="F5" s="734">
        <v>4582500</v>
      </c>
      <c r="G5" s="235">
        <f t="shared" si="0"/>
        <v>180484.05374999999</v>
      </c>
      <c r="H5" s="726">
        <f t="shared" si="1"/>
        <v>1.4926710097719871</v>
      </c>
      <c r="I5" s="726"/>
      <c r="J5" s="737">
        <f t="shared" si="2"/>
        <v>253800</v>
      </c>
      <c r="K5" s="19">
        <v>4328700</v>
      </c>
    </row>
    <row r="6" spans="1:14" s="16" customFormat="1">
      <c r="A6" s="11"/>
      <c r="B6" s="12" t="s">
        <v>96</v>
      </c>
      <c r="C6" s="728">
        <v>1.17</v>
      </c>
      <c r="D6" s="735">
        <v>1.17</v>
      </c>
      <c r="E6" s="14"/>
      <c r="F6" s="734">
        <v>4225000</v>
      </c>
      <c r="G6" s="235">
        <f t="shared" si="0"/>
        <v>166403.73749999999</v>
      </c>
      <c r="H6" s="726">
        <f t="shared" si="1"/>
        <v>1.3762214983713354</v>
      </c>
      <c r="I6" s="726"/>
      <c r="J6" s="737">
        <f t="shared" si="2"/>
        <v>633100</v>
      </c>
      <c r="K6" s="16">
        <v>3591900</v>
      </c>
    </row>
    <row r="7" spans="1:14" s="16" customFormat="1">
      <c r="A7" s="11"/>
      <c r="B7" s="23" t="s">
        <v>685</v>
      </c>
      <c r="C7" s="731">
        <v>1.62</v>
      </c>
      <c r="D7" s="736">
        <v>1.62</v>
      </c>
      <c r="E7" s="18"/>
      <c r="F7" s="734">
        <v>5265000</v>
      </c>
      <c r="G7" s="235">
        <f t="shared" si="0"/>
        <v>207364.6575</v>
      </c>
      <c r="H7" s="733">
        <f t="shared" si="1"/>
        <v>1.714983713355049</v>
      </c>
      <c r="I7" s="733"/>
      <c r="J7" s="737">
        <f t="shared" si="2"/>
        <v>793800</v>
      </c>
      <c r="K7" s="16">
        <v>4471200</v>
      </c>
    </row>
    <row r="8" spans="1:14" s="19" customFormat="1">
      <c r="A8" s="11"/>
      <c r="B8" s="12" t="s">
        <v>638</v>
      </c>
      <c r="C8" s="727"/>
      <c r="D8" s="17"/>
      <c r="E8" s="14"/>
      <c r="F8" s="734">
        <v>4127500</v>
      </c>
      <c r="G8" s="945">
        <f t="shared" si="0"/>
        <v>162563.65125</v>
      </c>
      <c r="H8" s="726">
        <f>+F8/$G$1</f>
        <v>1.3444625407166124</v>
      </c>
      <c r="I8" s="16"/>
      <c r="J8" s="16"/>
    </row>
    <row r="9" spans="1:14" s="16" customFormat="1">
      <c r="A9" s="11"/>
      <c r="B9" s="12"/>
      <c r="C9" s="727"/>
      <c r="D9" s="17"/>
      <c r="E9" s="14"/>
      <c r="F9" s="15"/>
      <c r="J9" s="16" t="s">
        <v>705</v>
      </c>
    </row>
    <row r="10" spans="1:14" s="16" customFormat="1">
      <c r="A10" s="11"/>
      <c r="B10" s="12"/>
      <c r="C10" s="727"/>
      <c r="D10" s="17"/>
      <c r="E10" s="14"/>
      <c r="F10" s="15"/>
    </row>
    <row r="11" spans="1:14" s="16" customFormat="1">
      <c r="A11" s="11"/>
      <c r="B11" s="24"/>
      <c r="C11" s="727"/>
      <c r="D11" s="17"/>
      <c r="E11" s="14"/>
      <c r="F11" s="15"/>
      <c r="H11" s="726"/>
    </row>
    <row r="12" spans="1:14" s="16" customFormat="1">
      <c r="A12" s="11"/>
      <c r="B12" s="12"/>
      <c r="C12" s="727"/>
      <c r="D12" s="17"/>
      <c r="E12" s="14"/>
      <c r="F12" s="15"/>
      <c r="G12" s="945"/>
      <c r="H12" s="726"/>
    </row>
    <row r="13" spans="1:14" s="16" customFormat="1">
      <c r="A13" s="11"/>
      <c r="B13" s="12"/>
      <c r="C13" s="727"/>
      <c r="D13" s="17"/>
      <c r="E13" s="14"/>
      <c r="F13" s="15"/>
    </row>
    <row r="14" spans="1:14" s="16" customFormat="1">
      <c r="A14" s="11"/>
      <c r="B14" s="20"/>
      <c r="C14" s="727"/>
      <c r="D14" s="17"/>
      <c r="E14" s="18"/>
      <c r="F14" s="15"/>
      <c r="G14" s="19"/>
      <c r="H14" s="19"/>
      <c r="I14" s="19"/>
      <c r="J14" s="19"/>
    </row>
    <row r="15" spans="1:14" s="19" customFormat="1">
      <c r="A15" s="11"/>
      <c r="B15" s="20"/>
      <c r="C15" s="727"/>
      <c r="D15" s="17"/>
      <c r="E15" s="18"/>
      <c r="F15" s="15"/>
      <c r="G15" s="16"/>
      <c r="H15" s="16"/>
    </row>
    <row r="16" spans="1:14" s="19" customFormat="1">
      <c r="A16" s="11"/>
      <c r="B16" s="25"/>
      <c r="C16" s="727"/>
      <c r="D16" s="17"/>
      <c r="E16" s="21"/>
      <c r="F16" s="15"/>
      <c r="G16" s="19" t="s">
        <v>690</v>
      </c>
    </row>
    <row r="17" spans="1:14" s="19" customFormat="1">
      <c r="A17" s="11"/>
      <c r="B17" s="12"/>
      <c r="C17" s="727"/>
      <c r="D17" s="17"/>
      <c r="E17" s="18"/>
      <c r="F17" s="15"/>
      <c r="G17" s="19" t="s">
        <v>691</v>
      </c>
    </row>
    <row r="18" spans="1:14" s="19" customFormat="1">
      <c r="A18" s="11"/>
      <c r="B18" s="12"/>
      <c r="C18" s="727"/>
      <c r="D18" s="17"/>
      <c r="E18" s="18"/>
      <c r="F18" s="15"/>
    </row>
    <row r="19" spans="1:14" s="19" customFormat="1">
      <c r="A19" s="11"/>
      <c r="B19" s="12"/>
      <c r="C19" s="727"/>
      <c r="D19" s="17"/>
      <c r="E19" s="18"/>
      <c r="F19" s="15"/>
    </row>
    <row r="20" spans="1:14" s="19" customFormat="1">
      <c r="A20" s="11"/>
      <c r="B20" s="12"/>
      <c r="C20" s="727"/>
      <c r="D20" s="17"/>
      <c r="E20" s="18"/>
      <c r="F20" s="15"/>
    </row>
    <row r="21" spans="1:14" s="19" customFormat="1">
      <c r="A21" s="11"/>
      <c r="B21" s="12"/>
      <c r="C21" s="727"/>
      <c r="D21" s="17"/>
      <c r="E21" s="18"/>
      <c r="F21" s="15"/>
    </row>
    <row r="22" spans="1:14" s="19" customFormat="1">
      <c r="A22" s="11"/>
      <c r="B22" s="12"/>
      <c r="C22" s="727"/>
      <c r="D22" s="17"/>
      <c r="E22" s="18"/>
      <c r="F22" s="15"/>
    </row>
    <row r="23" spans="1:14" s="19" customFormat="1">
      <c r="A23" s="11"/>
      <c r="B23" s="20"/>
      <c r="C23" s="727"/>
      <c r="D23" s="17"/>
      <c r="E23" s="18"/>
      <c r="F23" s="15"/>
    </row>
    <row r="24" spans="1:14" s="19" customFormat="1">
      <c r="A24" s="11"/>
      <c r="B24" s="20"/>
      <c r="C24" s="727"/>
      <c r="D24" s="17"/>
      <c r="E24" s="18"/>
      <c r="F24" s="15"/>
    </row>
    <row r="25" spans="1:14" s="19" customFormat="1">
      <c r="A25" s="11"/>
      <c r="B25" s="26"/>
      <c r="C25" s="727"/>
      <c r="D25" s="17"/>
      <c r="E25" s="18"/>
      <c r="F25" s="15"/>
    </row>
    <row r="26" spans="1:14" s="19" customFormat="1">
      <c r="A26" s="11"/>
      <c r="B26" s="26"/>
      <c r="C26" s="727"/>
      <c r="D26" s="17"/>
      <c r="E26" s="18"/>
      <c r="F26" s="15"/>
      <c r="J26" s="29"/>
    </row>
    <row r="27" spans="1:14" s="19" customFormat="1">
      <c r="A27" s="11"/>
      <c r="B27" s="27"/>
      <c r="C27" s="727"/>
      <c r="D27" s="17"/>
      <c r="E27" s="18"/>
      <c r="F27" s="15"/>
      <c r="J27" s="29"/>
      <c r="K27" s="29"/>
      <c r="L27" s="29"/>
      <c r="M27" s="29"/>
      <c r="N27" s="29"/>
    </row>
    <row r="28" spans="1:14" s="19" customFormat="1">
      <c r="A28" s="11"/>
      <c r="B28" s="28"/>
      <c r="C28" s="727"/>
      <c r="D28" s="17"/>
      <c r="E28" s="18"/>
      <c r="F28" s="15"/>
      <c r="J28" s="29"/>
      <c r="K28" s="29"/>
      <c r="L28" s="29"/>
      <c r="M28" s="29"/>
      <c r="N28" s="29"/>
    </row>
    <row r="29" spans="1:14" s="19" customFormat="1">
      <c r="A29" s="11"/>
      <c r="B29" s="12"/>
      <c r="C29" s="727"/>
      <c r="D29" s="13"/>
      <c r="E29" s="21"/>
      <c r="F29" s="15"/>
      <c r="G29" s="29"/>
      <c r="H29" s="29"/>
      <c r="I29" s="29"/>
      <c r="J29" s="16"/>
      <c r="K29" s="29"/>
      <c r="L29" s="29"/>
      <c r="M29" s="29"/>
      <c r="N29" s="29"/>
    </row>
    <row r="30" spans="1:14">
      <c r="A30" s="11"/>
      <c r="B30" s="30"/>
      <c r="C30" s="727"/>
      <c r="D30" s="13"/>
      <c r="E30" s="21"/>
      <c r="F30" s="15"/>
      <c r="J30" s="16"/>
      <c r="K30" s="16"/>
      <c r="L30" s="16"/>
      <c r="M30" s="16"/>
      <c r="N30" s="16"/>
    </row>
    <row r="31" spans="1:14">
      <c r="A31" s="11"/>
      <c r="B31" s="12"/>
      <c r="C31" s="727"/>
      <c r="D31" s="17"/>
      <c r="E31" s="21"/>
      <c r="F31" s="15"/>
      <c r="J31" s="19"/>
      <c r="K31" s="16"/>
      <c r="L31" s="16"/>
      <c r="M31" s="16"/>
      <c r="N31" s="16"/>
    </row>
    <row r="32" spans="1:14">
      <c r="A32" s="11"/>
      <c r="B32" s="24"/>
      <c r="C32" s="727"/>
      <c r="D32" s="22"/>
      <c r="E32" s="14"/>
      <c r="F32" s="15"/>
      <c r="G32" s="16"/>
      <c r="H32" s="16"/>
      <c r="I32" s="16"/>
      <c r="J32" s="16"/>
      <c r="K32" s="19"/>
      <c r="L32" s="19"/>
      <c r="M32" s="19"/>
      <c r="N32" s="19"/>
    </row>
    <row r="33" spans="1:14" s="16" customFormat="1">
      <c r="A33" s="11"/>
      <c r="B33" s="12"/>
      <c r="C33" s="727"/>
      <c r="D33" s="22"/>
      <c r="E33" s="14"/>
      <c r="F33" s="15"/>
      <c r="J33" s="19"/>
    </row>
    <row r="34" spans="1:14" s="16" customFormat="1">
      <c r="A34" s="11"/>
      <c r="B34" s="20"/>
      <c r="C34" s="727"/>
      <c r="D34" s="22"/>
      <c r="E34" s="18"/>
      <c r="F34" s="15"/>
      <c r="G34" s="19"/>
      <c r="H34" s="19"/>
      <c r="I34" s="19"/>
      <c r="J34" s="19"/>
      <c r="K34" s="19"/>
      <c r="L34" s="19"/>
      <c r="M34" s="19"/>
      <c r="N34" s="19"/>
    </row>
    <row r="35" spans="1:14" s="19" customFormat="1">
      <c r="A35" s="11"/>
      <c r="B35" s="12"/>
      <c r="C35" s="727"/>
      <c r="D35" s="22"/>
      <c r="E35" s="14"/>
      <c r="F35" s="15"/>
      <c r="G35" s="16"/>
      <c r="H35" s="16"/>
      <c r="I35" s="16"/>
      <c r="J35" s="29"/>
    </row>
    <row r="36" spans="1:14" s="16" customFormat="1">
      <c r="A36" s="11"/>
      <c r="B36" s="20"/>
      <c r="C36" s="727"/>
      <c r="D36" s="22"/>
      <c r="E36" s="18"/>
      <c r="F36" s="15"/>
      <c r="G36" s="19"/>
      <c r="H36" s="19"/>
      <c r="I36" s="19"/>
      <c r="J36" s="29"/>
      <c r="K36" s="29"/>
      <c r="L36" s="29"/>
      <c r="M36" s="29"/>
      <c r="N36" s="29"/>
    </row>
    <row r="37" spans="1:14" s="19" customFormat="1">
      <c r="A37" s="11"/>
      <c r="B37" s="20"/>
      <c r="C37" s="727"/>
      <c r="D37" s="22"/>
      <c r="E37" s="18"/>
      <c r="F37" s="15"/>
      <c r="J37" s="29"/>
      <c r="K37" s="29"/>
      <c r="L37" s="29"/>
      <c r="M37" s="29"/>
      <c r="N37" s="29"/>
    </row>
    <row r="38" spans="1:14" s="19" customFormat="1" ht="15.75" thickBot="1">
      <c r="A38" s="31"/>
      <c r="B38" s="32"/>
      <c r="C38" s="729">
        <f>SUM(C2:C37)</f>
        <v>9.09</v>
      </c>
      <c r="D38" s="33">
        <f>SUM(D2:D37)</f>
        <v>9.43</v>
      </c>
      <c r="E38" s="34">
        <f>SUM(E2:E37)</f>
        <v>0</v>
      </c>
      <c r="F38" s="35">
        <f>SUM(F2:F37)</f>
        <v>35197500</v>
      </c>
      <c r="G38" s="681">
        <f>+F38/27*'Lương USD'!D9</f>
        <v>1226437.3333333333</v>
      </c>
      <c r="H38" s="29"/>
      <c r="I38" s="29"/>
      <c r="J38" s="29"/>
      <c r="K38" s="29"/>
      <c r="L38" s="29"/>
      <c r="M38" s="29"/>
      <c r="N38" s="29"/>
    </row>
    <row r="39" spans="1:14" ht="15.75" thickTop="1">
      <c r="F39" s="37">
        <f>F38*[19]Luong!C8</f>
        <v>13058272.5</v>
      </c>
    </row>
    <row r="101" ht="14.45" customHeight="1"/>
    <row r="103" ht="14.45" customHeight="1"/>
    <row r="105" ht="14.45" customHeight="1"/>
  </sheetData>
  <phoneticPr fontId="57" type="noConversion"/>
  <pageMargins left="0.7" right="0.7" top="0.75" bottom="0.75" header="0.3" footer="0.3"/>
  <pageSetup paperSize="9" orientation="portrait" verticalDpi="0" r:id="rId1"/>
  <legacy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AM153"/>
  <sheetViews>
    <sheetView workbookViewId="0">
      <selection activeCell="L40" sqref="L40"/>
    </sheetView>
  </sheetViews>
  <sheetFormatPr defaultColWidth="9.375" defaultRowHeight="15"/>
  <cols>
    <col min="1" max="1" width="4.25" style="301" customWidth="1"/>
    <col min="2" max="2" width="5.375" style="301" hidden="1" customWidth="1"/>
    <col min="3" max="3" width="10" style="301" customWidth="1"/>
    <col min="4" max="4" width="6.125" style="301" customWidth="1"/>
    <col min="5" max="5" width="7.125" style="301" customWidth="1"/>
    <col min="6" max="6" width="5.125" style="301" customWidth="1"/>
    <col min="7" max="7" width="6.25" style="301" customWidth="1"/>
    <col min="8" max="8" width="5.25" style="301" customWidth="1"/>
    <col min="9" max="9" width="4.875" style="301" customWidth="1"/>
    <col min="10" max="10" width="5.375" style="301" customWidth="1"/>
    <col min="11" max="11" width="7" style="301" customWidth="1"/>
    <col min="12" max="12" width="5.75" style="301" customWidth="1"/>
    <col min="13" max="14" width="7" style="301" customWidth="1"/>
    <col min="15" max="15" width="5.25" style="301" customWidth="1"/>
    <col min="16" max="17" width="6.625" style="301" customWidth="1"/>
    <col min="18" max="16384" width="9.375" style="301"/>
  </cols>
  <sheetData>
    <row r="1" spans="1:39" ht="15.75"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2"/>
      <c r="M1" s="302"/>
      <c r="N1" s="302"/>
      <c r="O1" s="302"/>
      <c r="P1" s="302"/>
      <c r="Q1" s="302"/>
      <c r="R1" s="303"/>
    </row>
    <row r="2" spans="1:39" ht="15.75">
      <c r="A2" s="4409" t="s">
        <v>164</v>
      </c>
      <c r="B2" s="4409"/>
      <c r="C2" s="4409"/>
      <c r="D2" s="4409"/>
      <c r="E2" s="4409"/>
      <c r="F2" s="305"/>
      <c r="G2" s="305"/>
      <c r="H2" s="4410" t="s">
        <v>165</v>
      </c>
      <c r="I2" s="4410"/>
      <c r="J2" s="4410"/>
      <c r="K2" s="4410"/>
      <c r="L2" s="4410"/>
      <c r="M2" s="4410"/>
      <c r="N2" s="4410"/>
      <c r="O2" s="4410"/>
      <c r="P2" s="4410"/>
      <c r="Q2" s="4410"/>
      <c r="R2" s="304"/>
    </row>
    <row r="3" spans="1:39" ht="15.75">
      <c r="A3" s="4410" t="s">
        <v>324</v>
      </c>
      <c r="B3" s="4410"/>
      <c r="C3" s="4410"/>
      <c r="D3" s="4410"/>
      <c r="E3" s="4410"/>
      <c r="F3" s="305"/>
      <c r="G3" s="305"/>
      <c r="H3" s="4409" t="s">
        <v>299</v>
      </c>
      <c r="I3" s="4409"/>
      <c r="J3" s="4409"/>
      <c r="K3" s="4409"/>
      <c r="L3" s="4409"/>
      <c r="M3" s="4409"/>
      <c r="N3" s="4409"/>
      <c r="O3" s="4409"/>
      <c r="P3" s="4409"/>
      <c r="Q3" s="4409"/>
      <c r="R3" s="306"/>
    </row>
    <row r="4" spans="1:39" ht="15.75" customHeight="1">
      <c r="B4" s="302"/>
      <c r="C4" s="302"/>
      <c r="D4" s="302"/>
      <c r="E4" s="302"/>
      <c r="F4" s="302"/>
      <c r="G4" s="302"/>
      <c r="H4" s="302"/>
      <c r="I4" s="302"/>
      <c r="J4" s="305"/>
      <c r="K4" s="305"/>
      <c r="L4" s="305"/>
      <c r="M4" s="305"/>
      <c r="N4" s="305"/>
      <c r="O4" s="305"/>
      <c r="P4" s="305"/>
      <c r="Q4" s="305"/>
      <c r="R4" s="305"/>
    </row>
    <row r="5" spans="1:39" ht="8.25" customHeight="1">
      <c r="A5" s="304"/>
      <c r="B5" s="304"/>
      <c r="C5" s="304"/>
      <c r="D5" s="304"/>
      <c r="E5" s="304"/>
      <c r="F5" s="304"/>
      <c r="G5" s="304"/>
      <c r="H5" s="304"/>
      <c r="I5" s="305"/>
      <c r="J5" s="305"/>
      <c r="K5" s="305"/>
      <c r="L5" s="305"/>
      <c r="M5" s="305"/>
      <c r="N5" s="305"/>
      <c r="O5" s="305"/>
      <c r="P5" s="305"/>
      <c r="Q5" s="305"/>
      <c r="R5" s="305"/>
    </row>
    <row r="6" spans="1:39" ht="20.25" customHeight="1">
      <c r="A6" s="4415" t="s">
        <v>359</v>
      </c>
      <c r="B6" s="4415"/>
      <c r="C6" s="4415"/>
      <c r="D6" s="4415"/>
      <c r="E6" s="4415"/>
      <c r="F6" s="4415"/>
      <c r="G6" s="4415"/>
      <c r="H6" s="4415"/>
      <c r="I6" s="4415"/>
      <c r="J6" s="4415"/>
      <c r="K6" s="4415"/>
      <c r="L6" s="4415"/>
      <c r="M6" s="4415"/>
      <c r="N6" s="4415"/>
      <c r="O6" s="4415"/>
      <c r="P6" s="4415"/>
      <c r="Q6" s="4415"/>
      <c r="R6" s="307"/>
    </row>
    <row r="7" spans="1:39" ht="9.75" customHeight="1">
      <c r="A7" s="304"/>
      <c r="B7" s="304"/>
      <c r="C7" s="304"/>
      <c r="D7" s="304"/>
      <c r="E7" s="304"/>
      <c r="F7" s="304"/>
      <c r="G7" s="304"/>
      <c r="H7" s="304"/>
      <c r="I7" s="305"/>
      <c r="J7" s="305"/>
      <c r="K7" s="305"/>
      <c r="L7" s="305"/>
      <c r="M7" s="305"/>
      <c r="N7" s="305"/>
      <c r="O7" s="305"/>
      <c r="P7" s="305"/>
      <c r="Q7" s="305"/>
      <c r="R7" s="305"/>
    </row>
    <row r="8" spans="1:39" ht="17.25" customHeight="1">
      <c r="A8" s="304"/>
      <c r="B8" s="304"/>
      <c r="C8" s="304"/>
      <c r="D8" s="304"/>
      <c r="F8" s="304"/>
      <c r="G8" s="304"/>
      <c r="H8" s="304"/>
      <c r="I8" s="305"/>
      <c r="J8" s="305"/>
      <c r="K8" s="305"/>
      <c r="L8" s="305"/>
      <c r="M8" s="305"/>
      <c r="N8" s="305"/>
      <c r="O8" s="305"/>
      <c r="P8" s="305"/>
      <c r="Q8" s="305"/>
      <c r="R8" s="305"/>
    </row>
    <row r="9" spans="1:39" ht="60" customHeight="1">
      <c r="A9" s="308" t="s">
        <v>19</v>
      </c>
      <c r="B9" s="308" t="s">
        <v>239</v>
      </c>
      <c r="C9" s="308" t="s">
        <v>20</v>
      </c>
      <c r="D9" s="309" t="s">
        <v>325</v>
      </c>
      <c r="E9" s="310" t="s">
        <v>360</v>
      </c>
      <c r="F9" s="310" t="s">
        <v>361</v>
      </c>
      <c r="G9" s="310" t="s">
        <v>362</v>
      </c>
      <c r="H9" s="310" t="s">
        <v>363</v>
      </c>
      <c r="I9" s="310" t="s">
        <v>361</v>
      </c>
      <c r="J9" s="310" t="s">
        <v>362</v>
      </c>
      <c r="K9" s="310" t="s">
        <v>364</v>
      </c>
      <c r="L9" s="310" t="s">
        <v>361</v>
      </c>
      <c r="M9" s="310" t="s">
        <v>362</v>
      </c>
      <c r="N9" s="310" t="s">
        <v>365</v>
      </c>
      <c r="O9" s="310" t="s">
        <v>361</v>
      </c>
      <c r="P9" s="310" t="s">
        <v>362</v>
      </c>
      <c r="Q9" s="309" t="s">
        <v>366</v>
      </c>
      <c r="R9" s="311"/>
      <c r="T9" s="312"/>
    </row>
    <row r="10" spans="1:39" ht="15" customHeight="1">
      <c r="A10" s="313" t="s">
        <v>147</v>
      </c>
      <c r="B10" s="314" t="s">
        <v>272</v>
      </c>
      <c r="C10" s="315"/>
      <c r="D10" s="315"/>
      <c r="E10" s="315"/>
      <c r="F10" s="315"/>
      <c r="G10" s="315"/>
      <c r="H10" s="315"/>
      <c r="I10" s="315"/>
      <c r="J10" s="315"/>
      <c r="K10" s="315"/>
      <c r="L10" s="315"/>
      <c r="M10" s="315"/>
      <c r="N10" s="315"/>
      <c r="O10" s="315"/>
      <c r="P10" s="315"/>
      <c r="Q10" s="316"/>
      <c r="R10" s="311"/>
    </row>
    <row r="11" spans="1:39" s="328" customFormat="1" ht="15" customHeight="1">
      <c r="A11" s="317">
        <v>1</v>
      </c>
      <c r="B11" s="318" t="str">
        <f>VLOOKUP(C11,'[20]Tổng NT'!$C$18:$D$55,2,0)</f>
        <v>00483</v>
      </c>
      <c r="C11" s="319" t="str">
        <f>[20]C.Công!C10</f>
        <v>Văn Ma</v>
      </c>
      <c r="D11" s="320" t="s">
        <v>40</v>
      </c>
      <c r="E11" s="321">
        <v>4</v>
      </c>
      <c r="F11" s="322">
        <v>3</v>
      </c>
      <c r="G11" s="323">
        <f t="shared" ref="G11:G29" si="0">ROUND(E11/$F$11,2)</f>
        <v>1.33</v>
      </c>
      <c r="H11" s="321"/>
      <c r="I11" s="324">
        <v>0.5</v>
      </c>
      <c r="J11" s="323">
        <f t="shared" ref="J11:J29" si="1">ROUND(H11/$I$11,2)</f>
        <v>0</v>
      </c>
      <c r="K11" s="325"/>
      <c r="L11" s="326">
        <v>0.67</v>
      </c>
      <c r="M11" s="323">
        <f t="shared" ref="M11:M29" si="2">ROUND(K11/$L$11,2)</f>
        <v>0</v>
      </c>
      <c r="N11" s="325"/>
      <c r="O11" s="326">
        <v>0.67</v>
      </c>
      <c r="P11" s="323">
        <f t="shared" ref="P11:P29" si="3">ROUND(N11/$L$11,2)</f>
        <v>0</v>
      </c>
      <c r="Q11" s="327">
        <f t="shared" ref="Q11:Q29" si="4">G11+J11+M11</f>
        <v>1.33</v>
      </c>
      <c r="R11" s="311"/>
      <c r="S11" s="301"/>
      <c r="T11" s="301"/>
      <c r="U11" s="301"/>
      <c r="V11" s="301"/>
      <c r="W11" s="301"/>
      <c r="X11" s="301"/>
      <c r="Y11" s="301"/>
      <c r="Z11" s="301"/>
      <c r="AA11" s="301"/>
      <c r="AB11" s="301"/>
      <c r="AC11" s="301"/>
      <c r="AD11" s="301"/>
      <c r="AE11" s="301"/>
      <c r="AF11" s="301"/>
      <c r="AG11" s="301"/>
      <c r="AH11" s="301"/>
      <c r="AI11" s="301"/>
      <c r="AJ11" s="301"/>
      <c r="AK11" s="301"/>
      <c r="AL11" s="301"/>
      <c r="AM11" s="301"/>
    </row>
    <row r="12" spans="1:39" s="328" customFormat="1" ht="15" customHeight="1">
      <c r="A12" s="329">
        <v>2</v>
      </c>
      <c r="B12" s="124" t="e">
        <f>VLOOKUP(C12,'[20]Tổng NT'!$C$18:$D$55,2,0)</f>
        <v>#REF!</v>
      </c>
      <c r="C12" s="319" t="e">
        <f>#REF!</f>
        <v>#REF!</v>
      </c>
      <c r="D12" s="330" t="s">
        <v>40</v>
      </c>
      <c r="E12" s="331">
        <v>4</v>
      </c>
      <c r="F12" s="331"/>
      <c r="G12" s="332">
        <f t="shared" si="0"/>
        <v>1.33</v>
      </c>
      <c r="H12" s="331"/>
      <c r="I12" s="333"/>
      <c r="J12" s="334">
        <f t="shared" si="1"/>
        <v>0</v>
      </c>
      <c r="K12" s="335"/>
      <c r="L12" s="336"/>
      <c r="M12" s="334">
        <f t="shared" si="2"/>
        <v>0</v>
      </c>
      <c r="N12" s="335"/>
      <c r="O12" s="336"/>
      <c r="P12" s="334">
        <f t="shared" si="3"/>
        <v>0</v>
      </c>
      <c r="Q12" s="337">
        <f t="shared" si="4"/>
        <v>1.33</v>
      </c>
      <c r="R12" s="311"/>
      <c r="S12" s="301"/>
      <c r="T12" s="301"/>
      <c r="U12" s="301"/>
      <c r="V12" s="301"/>
      <c r="W12" s="301"/>
      <c r="X12" s="301"/>
      <c r="Y12" s="301"/>
      <c r="Z12" s="301"/>
      <c r="AA12" s="301"/>
      <c r="AB12" s="301"/>
      <c r="AC12" s="301"/>
      <c r="AD12" s="301"/>
      <c r="AE12" s="301"/>
      <c r="AF12" s="301"/>
      <c r="AG12" s="301"/>
      <c r="AH12" s="301"/>
      <c r="AI12" s="301"/>
      <c r="AJ12" s="301"/>
      <c r="AK12" s="301"/>
      <c r="AL12" s="301"/>
      <c r="AM12" s="301"/>
    </row>
    <row r="13" spans="1:39" s="328" customFormat="1" ht="15" customHeight="1">
      <c r="A13" s="317">
        <v>3</v>
      </c>
      <c r="B13" s="124" t="str">
        <f>VLOOKUP(C13,'[20]Tổng NT'!$C$18:$D$55,2,0)</f>
        <v>00493</v>
      </c>
      <c r="C13" s="319" t="str">
        <f>[20]C.Công!C12</f>
        <v>Stoong</v>
      </c>
      <c r="D13" s="330" t="s">
        <v>40</v>
      </c>
      <c r="E13" s="331">
        <v>4</v>
      </c>
      <c r="F13" s="331"/>
      <c r="G13" s="332">
        <f t="shared" si="0"/>
        <v>1.33</v>
      </c>
      <c r="H13" s="331"/>
      <c r="I13" s="333"/>
      <c r="J13" s="334">
        <f t="shared" si="1"/>
        <v>0</v>
      </c>
      <c r="K13" s="335"/>
      <c r="L13" s="336"/>
      <c r="M13" s="334">
        <f t="shared" si="2"/>
        <v>0</v>
      </c>
      <c r="N13" s="335"/>
      <c r="O13" s="336"/>
      <c r="P13" s="334">
        <f t="shared" si="3"/>
        <v>0</v>
      </c>
      <c r="Q13" s="337">
        <f t="shared" si="4"/>
        <v>1.33</v>
      </c>
      <c r="R13" s="311"/>
      <c r="S13" s="301"/>
      <c r="T13" s="301"/>
      <c r="U13" s="301"/>
      <c r="V13" s="301"/>
      <c r="W13" s="301"/>
      <c r="X13" s="301"/>
      <c r="Y13" s="301"/>
      <c r="Z13" s="301"/>
      <c r="AA13" s="301"/>
      <c r="AB13" s="301"/>
      <c r="AC13" s="301"/>
      <c r="AD13" s="301"/>
      <c r="AE13" s="301"/>
      <c r="AF13" s="301"/>
      <c r="AG13" s="301"/>
      <c r="AH13" s="301"/>
      <c r="AI13" s="301"/>
      <c r="AJ13" s="301"/>
      <c r="AK13" s="301"/>
      <c r="AL13" s="301"/>
      <c r="AM13" s="301"/>
    </row>
    <row r="14" spans="1:39" s="328" customFormat="1" ht="15" customHeight="1">
      <c r="A14" s="329">
        <v>4</v>
      </c>
      <c r="B14" s="124" t="str">
        <f>VLOOKUP(C14,'[20]Tổng NT'!$C$18:$D$55,2,0)</f>
        <v>00742</v>
      </c>
      <c r="C14" s="319" t="str">
        <f>[20]C.Công!C13</f>
        <v>May</v>
      </c>
      <c r="D14" s="330" t="s">
        <v>40</v>
      </c>
      <c r="E14" s="331">
        <v>4</v>
      </c>
      <c r="F14" s="331"/>
      <c r="G14" s="332">
        <f t="shared" si="0"/>
        <v>1.33</v>
      </c>
      <c r="H14" s="331"/>
      <c r="I14" s="333"/>
      <c r="J14" s="334">
        <f t="shared" si="1"/>
        <v>0</v>
      </c>
      <c r="K14" s="335"/>
      <c r="L14" s="336"/>
      <c r="M14" s="334">
        <f t="shared" si="2"/>
        <v>0</v>
      </c>
      <c r="N14" s="335"/>
      <c r="O14" s="336"/>
      <c r="P14" s="334">
        <f t="shared" si="3"/>
        <v>0</v>
      </c>
      <c r="Q14" s="337">
        <f t="shared" si="4"/>
        <v>1.33</v>
      </c>
      <c r="R14" s="311"/>
      <c r="S14" s="301"/>
      <c r="T14" s="301"/>
      <c r="U14" s="301"/>
      <c r="V14" s="301"/>
      <c r="W14" s="301"/>
      <c r="X14" s="301"/>
      <c r="Y14" s="301"/>
      <c r="Z14" s="301"/>
      <c r="AA14" s="301"/>
      <c r="AB14" s="301"/>
      <c r="AC14" s="301"/>
      <c r="AD14" s="301"/>
      <c r="AE14" s="301"/>
      <c r="AF14" s="301"/>
      <c r="AG14" s="301"/>
      <c r="AH14" s="301"/>
      <c r="AI14" s="301"/>
      <c r="AJ14" s="301"/>
      <c r="AK14" s="301"/>
      <c r="AL14" s="301"/>
      <c r="AM14" s="301"/>
    </row>
    <row r="15" spans="1:39" s="328" customFormat="1" ht="15" customHeight="1">
      <c r="A15" s="317">
        <v>5</v>
      </c>
      <c r="B15" s="124" t="str">
        <f>VLOOKUP(C15,'[20]Tổng NT'!$C$18:$D$55,2,0)</f>
        <v>00896</v>
      </c>
      <c r="C15" s="319" t="str">
        <f>[20]C.Công!C14</f>
        <v>Nàng Phất</v>
      </c>
      <c r="D15" s="330" t="s">
        <v>40</v>
      </c>
      <c r="E15" s="331">
        <v>4</v>
      </c>
      <c r="F15" s="331"/>
      <c r="G15" s="332">
        <f t="shared" si="0"/>
        <v>1.33</v>
      </c>
      <c r="H15" s="331"/>
      <c r="I15" s="333"/>
      <c r="J15" s="334">
        <f t="shared" si="1"/>
        <v>0</v>
      </c>
      <c r="K15" s="335"/>
      <c r="L15" s="336"/>
      <c r="M15" s="334">
        <f t="shared" si="2"/>
        <v>0</v>
      </c>
      <c r="N15" s="335"/>
      <c r="O15" s="336"/>
      <c r="P15" s="334">
        <f t="shared" si="3"/>
        <v>0</v>
      </c>
      <c r="Q15" s="337">
        <f t="shared" si="4"/>
        <v>1.33</v>
      </c>
      <c r="R15" s="311"/>
      <c r="S15" s="301"/>
      <c r="T15" s="301"/>
      <c r="U15" s="301"/>
      <c r="V15" s="301"/>
      <c r="W15" s="301"/>
      <c r="X15" s="301"/>
      <c r="Y15" s="301"/>
      <c r="Z15" s="301"/>
      <c r="AA15" s="301"/>
      <c r="AB15" s="301"/>
      <c r="AC15" s="301"/>
      <c r="AD15" s="301"/>
      <c r="AE15" s="301"/>
      <c r="AF15" s="301"/>
      <c r="AG15" s="301"/>
      <c r="AH15" s="301"/>
      <c r="AI15" s="301"/>
      <c r="AJ15" s="301"/>
      <c r="AK15" s="301"/>
      <c r="AL15" s="301"/>
      <c r="AM15" s="301"/>
    </row>
    <row r="16" spans="1:39" s="328" customFormat="1" ht="15" customHeight="1">
      <c r="A16" s="329">
        <v>6</v>
      </c>
      <c r="B16" s="124" t="str">
        <f>VLOOKUP(C16,'[20]Tổng NT'!$C$18:$D$55,2,0)</f>
        <v>00480</v>
      </c>
      <c r="C16" s="319" t="str">
        <f>[20]C.Công!C15</f>
        <v>Ngăn</v>
      </c>
      <c r="D16" s="330" t="s">
        <v>40</v>
      </c>
      <c r="E16" s="331">
        <v>4</v>
      </c>
      <c r="F16" s="331"/>
      <c r="G16" s="332">
        <f t="shared" si="0"/>
        <v>1.33</v>
      </c>
      <c r="H16" s="331"/>
      <c r="I16" s="333"/>
      <c r="J16" s="332">
        <f t="shared" si="1"/>
        <v>0</v>
      </c>
      <c r="K16" s="335"/>
      <c r="L16" s="336"/>
      <c r="M16" s="334">
        <f t="shared" si="2"/>
        <v>0</v>
      </c>
      <c r="N16" s="335"/>
      <c r="O16" s="336"/>
      <c r="P16" s="334">
        <f t="shared" si="3"/>
        <v>0</v>
      </c>
      <c r="Q16" s="337">
        <f t="shared" si="4"/>
        <v>1.33</v>
      </c>
      <c r="R16" s="311"/>
      <c r="S16" s="301"/>
      <c r="T16" s="301"/>
      <c r="U16" s="301"/>
      <c r="V16" s="301"/>
      <c r="W16" s="301"/>
      <c r="X16" s="301"/>
      <c r="Y16" s="301"/>
      <c r="Z16" s="301"/>
      <c r="AA16" s="301"/>
      <c r="AB16" s="301"/>
      <c r="AC16" s="301"/>
      <c r="AD16" s="301"/>
      <c r="AE16" s="301"/>
      <c r="AF16" s="301"/>
      <c r="AG16" s="301"/>
      <c r="AH16" s="301"/>
      <c r="AI16" s="301"/>
      <c r="AJ16" s="301"/>
      <c r="AK16" s="301"/>
      <c r="AL16" s="301"/>
      <c r="AM16" s="301"/>
    </row>
    <row r="17" spans="1:39" s="328" customFormat="1" ht="15" customHeight="1">
      <c r="A17" s="317">
        <v>7</v>
      </c>
      <c r="B17" s="124"/>
      <c r="C17" s="319" t="str">
        <f>[20]C.Công!C16</f>
        <v>Đăm</v>
      </c>
      <c r="D17" s="330" t="s">
        <v>40</v>
      </c>
      <c r="E17" s="331">
        <v>4</v>
      </c>
      <c r="F17" s="331"/>
      <c r="G17" s="332">
        <f t="shared" si="0"/>
        <v>1.33</v>
      </c>
      <c r="H17" s="331"/>
      <c r="I17" s="333"/>
      <c r="J17" s="334">
        <f t="shared" si="1"/>
        <v>0</v>
      </c>
      <c r="K17" s="335"/>
      <c r="L17" s="336"/>
      <c r="M17" s="334">
        <f t="shared" si="2"/>
        <v>0</v>
      </c>
      <c r="N17" s="335"/>
      <c r="O17" s="336"/>
      <c r="P17" s="334">
        <f t="shared" si="3"/>
        <v>0</v>
      </c>
      <c r="Q17" s="337">
        <f t="shared" si="4"/>
        <v>1.33</v>
      </c>
      <c r="R17" s="311"/>
      <c r="S17" s="301"/>
      <c r="T17" s="301"/>
      <c r="U17" s="301"/>
      <c r="V17" s="301"/>
      <c r="W17" s="301"/>
      <c r="X17" s="301"/>
      <c r="Y17" s="301"/>
      <c r="Z17" s="301"/>
      <c r="AA17" s="301"/>
      <c r="AB17" s="301"/>
      <c r="AC17" s="301"/>
      <c r="AD17" s="301"/>
      <c r="AE17" s="301"/>
      <c r="AF17" s="301"/>
      <c r="AG17" s="301"/>
      <c r="AH17" s="301"/>
      <c r="AI17" s="301"/>
      <c r="AJ17" s="301"/>
      <c r="AK17" s="301"/>
      <c r="AL17" s="301"/>
      <c r="AM17" s="301"/>
    </row>
    <row r="18" spans="1:39" s="328" customFormat="1" ht="15" customHeight="1">
      <c r="A18" s="329">
        <v>8</v>
      </c>
      <c r="B18" s="124"/>
      <c r="C18" s="319" t="str">
        <f>[20]C.Công!C17</f>
        <v>Lọn</v>
      </c>
      <c r="D18" s="330" t="s">
        <v>40</v>
      </c>
      <c r="E18" s="331">
        <v>4</v>
      </c>
      <c r="F18" s="331"/>
      <c r="G18" s="332">
        <f t="shared" si="0"/>
        <v>1.33</v>
      </c>
      <c r="H18" s="331"/>
      <c r="I18" s="333"/>
      <c r="J18" s="334">
        <f t="shared" si="1"/>
        <v>0</v>
      </c>
      <c r="K18" s="335"/>
      <c r="L18" s="336"/>
      <c r="M18" s="334">
        <f t="shared" si="2"/>
        <v>0</v>
      </c>
      <c r="N18" s="335"/>
      <c r="O18" s="336"/>
      <c r="P18" s="334">
        <f t="shared" si="3"/>
        <v>0</v>
      </c>
      <c r="Q18" s="337">
        <f t="shared" si="4"/>
        <v>1.33</v>
      </c>
      <c r="R18" s="311"/>
      <c r="S18" s="301"/>
      <c r="T18" s="301"/>
      <c r="U18" s="301"/>
      <c r="V18" s="301"/>
      <c r="W18" s="301"/>
      <c r="X18" s="301"/>
      <c r="Y18" s="301"/>
      <c r="Z18" s="301"/>
      <c r="AA18" s="301"/>
      <c r="AB18" s="301"/>
      <c r="AC18" s="301"/>
      <c r="AD18" s="301"/>
      <c r="AE18" s="301"/>
      <c r="AF18" s="301"/>
      <c r="AG18" s="301"/>
      <c r="AH18" s="301"/>
      <c r="AI18" s="301"/>
      <c r="AJ18" s="301"/>
      <c r="AK18" s="301"/>
      <c r="AL18" s="301"/>
      <c r="AM18" s="301"/>
    </row>
    <row r="19" spans="1:39" s="328" customFormat="1" ht="15" customHeight="1">
      <c r="A19" s="317">
        <v>9</v>
      </c>
      <c r="B19" s="124"/>
      <c r="C19" s="319" t="str">
        <f>[20]C.Công!C18</f>
        <v>Văt Đi</v>
      </c>
      <c r="D19" s="330" t="s">
        <v>40</v>
      </c>
      <c r="E19" s="331">
        <v>4</v>
      </c>
      <c r="F19" s="331"/>
      <c r="G19" s="332">
        <f t="shared" si="0"/>
        <v>1.33</v>
      </c>
      <c r="H19" s="331"/>
      <c r="I19" s="333"/>
      <c r="J19" s="334">
        <f t="shared" si="1"/>
        <v>0</v>
      </c>
      <c r="K19" s="335"/>
      <c r="L19" s="336"/>
      <c r="M19" s="334">
        <f t="shared" si="2"/>
        <v>0</v>
      </c>
      <c r="N19" s="335"/>
      <c r="O19" s="336"/>
      <c r="P19" s="334">
        <f t="shared" si="3"/>
        <v>0</v>
      </c>
      <c r="Q19" s="337">
        <f t="shared" si="4"/>
        <v>1.33</v>
      </c>
      <c r="R19" s="311"/>
      <c r="S19" s="301"/>
      <c r="T19" s="301"/>
      <c r="U19" s="301"/>
      <c r="V19" s="301"/>
      <c r="W19" s="301"/>
      <c r="X19" s="301"/>
      <c r="Y19" s="301"/>
      <c r="Z19" s="301"/>
      <c r="AA19" s="301"/>
      <c r="AB19" s="301"/>
      <c r="AC19" s="301"/>
      <c r="AD19" s="301"/>
      <c r="AE19" s="301"/>
      <c r="AF19" s="301"/>
      <c r="AG19" s="301"/>
      <c r="AH19" s="301"/>
      <c r="AI19" s="301"/>
      <c r="AJ19" s="301"/>
      <c r="AK19" s="301"/>
      <c r="AL19" s="301"/>
      <c r="AM19" s="301"/>
    </row>
    <row r="20" spans="1:39" s="328" customFormat="1" ht="15" customHeight="1">
      <c r="A20" s="329">
        <v>10</v>
      </c>
      <c r="B20" s="124"/>
      <c r="C20" s="319" t="str">
        <f>[20]C.Công!C19</f>
        <v>Mon</v>
      </c>
      <c r="D20" s="330" t="s">
        <v>40</v>
      </c>
      <c r="E20" s="331">
        <v>4</v>
      </c>
      <c r="F20" s="331"/>
      <c r="G20" s="332">
        <f t="shared" si="0"/>
        <v>1.33</v>
      </c>
      <c r="H20" s="331"/>
      <c r="I20" s="333"/>
      <c r="J20" s="334">
        <f t="shared" si="1"/>
        <v>0</v>
      </c>
      <c r="K20" s="335"/>
      <c r="L20" s="336"/>
      <c r="M20" s="334">
        <f t="shared" si="2"/>
        <v>0</v>
      </c>
      <c r="N20" s="335"/>
      <c r="O20" s="336"/>
      <c r="P20" s="334">
        <f t="shared" si="3"/>
        <v>0</v>
      </c>
      <c r="Q20" s="337">
        <f t="shared" si="4"/>
        <v>1.33</v>
      </c>
      <c r="R20" s="311"/>
      <c r="S20" s="301"/>
      <c r="T20" s="301"/>
      <c r="U20" s="301"/>
      <c r="V20" s="301"/>
      <c r="W20" s="301"/>
      <c r="X20" s="301"/>
      <c r="Y20" s="301"/>
      <c r="Z20" s="301"/>
      <c r="AA20" s="301"/>
      <c r="AB20" s="301"/>
      <c r="AC20" s="301"/>
      <c r="AD20" s="301"/>
      <c r="AE20" s="301"/>
      <c r="AF20" s="301"/>
      <c r="AG20" s="301"/>
      <c r="AH20" s="301"/>
      <c r="AI20" s="301"/>
      <c r="AJ20" s="301"/>
      <c r="AK20" s="301"/>
      <c r="AL20" s="301"/>
      <c r="AM20" s="301"/>
    </row>
    <row r="21" spans="1:39" s="328" customFormat="1" ht="15" customHeight="1">
      <c r="A21" s="317">
        <v>11</v>
      </c>
      <c r="B21" s="124"/>
      <c r="C21" s="319" t="str">
        <f>[20]C.Công!C20</f>
        <v>Phêng</v>
      </c>
      <c r="D21" s="330" t="s">
        <v>40</v>
      </c>
      <c r="E21" s="331">
        <v>4</v>
      </c>
      <c r="F21" s="331"/>
      <c r="G21" s="332">
        <f t="shared" si="0"/>
        <v>1.33</v>
      </c>
      <c r="H21" s="331"/>
      <c r="I21" s="333"/>
      <c r="J21" s="334">
        <f t="shared" si="1"/>
        <v>0</v>
      </c>
      <c r="K21" s="335"/>
      <c r="L21" s="336"/>
      <c r="M21" s="334">
        <f t="shared" si="2"/>
        <v>0</v>
      </c>
      <c r="N21" s="335"/>
      <c r="O21" s="336"/>
      <c r="P21" s="334">
        <f t="shared" si="3"/>
        <v>0</v>
      </c>
      <c r="Q21" s="337">
        <f t="shared" si="4"/>
        <v>1.33</v>
      </c>
      <c r="R21" s="311"/>
      <c r="S21" s="301"/>
      <c r="T21" s="301"/>
      <c r="U21" s="301"/>
      <c r="V21" s="301"/>
      <c r="W21" s="301"/>
      <c r="X21" s="301"/>
      <c r="Y21" s="301"/>
      <c r="Z21" s="301"/>
      <c r="AA21" s="301"/>
      <c r="AB21" s="301"/>
      <c r="AC21" s="301"/>
      <c r="AD21" s="301"/>
      <c r="AE21" s="301"/>
      <c r="AF21" s="301"/>
      <c r="AG21" s="301"/>
      <c r="AH21" s="301"/>
      <c r="AI21" s="301"/>
      <c r="AJ21" s="301"/>
      <c r="AK21" s="301"/>
      <c r="AL21" s="301"/>
      <c r="AM21" s="301"/>
    </row>
    <row r="22" spans="1:39" s="328" customFormat="1" ht="15" customHeight="1">
      <c r="A22" s="329">
        <v>12</v>
      </c>
      <c r="B22" s="124"/>
      <c r="C22" s="319" t="str">
        <f>[20]C.Công!C21</f>
        <v>Bun Mi</v>
      </c>
      <c r="D22" s="330" t="s">
        <v>40</v>
      </c>
      <c r="E22" s="331">
        <v>4</v>
      </c>
      <c r="F22" s="331"/>
      <c r="G22" s="332">
        <f t="shared" si="0"/>
        <v>1.33</v>
      </c>
      <c r="H22" s="331"/>
      <c r="I22" s="333"/>
      <c r="J22" s="334">
        <f t="shared" si="1"/>
        <v>0</v>
      </c>
      <c r="K22" s="335"/>
      <c r="L22" s="336"/>
      <c r="M22" s="334">
        <f t="shared" si="2"/>
        <v>0</v>
      </c>
      <c r="N22" s="335"/>
      <c r="O22" s="336"/>
      <c r="P22" s="334">
        <f t="shared" si="3"/>
        <v>0</v>
      </c>
      <c r="Q22" s="337">
        <f t="shared" si="4"/>
        <v>1.33</v>
      </c>
      <c r="R22" s="311"/>
      <c r="S22" s="301"/>
      <c r="T22" s="301"/>
      <c r="U22" s="301"/>
      <c r="V22" s="301"/>
      <c r="W22" s="301"/>
      <c r="X22" s="301"/>
      <c r="Y22" s="301"/>
      <c r="Z22" s="301"/>
      <c r="AA22" s="301"/>
      <c r="AB22" s="301"/>
      <c r="AC22" s="301"/>
      <c r="AD22" s="301"/>
      <c r="AE22" s="301"/>
      <c r="AF22" s="301"/>
      <c r="AG22" s="301"/>
      <c r="AH22" s="301"/>
      <c r="AI22" s="301"/>
      <c r="AJ22" s="301"/>
      <c r="AK22" s="301"/>
      <c r="AL22" s="301"/>
      <c r="AM22" s="301"/>
    </row>
    <row r="23" spans="1:39" s="328" customFormat="1" ht="15" customHeight="1">
      <c r="A23" s="317">
        <v>13</v>
      </c>
      <c r="B23" s="124"/>
      <c r="C23" s="319" t="str">
        <f>[20]C.Công!C22</f>
        <v>Đon</v>
      </c>
      <c r="D23" s="330" t="s">
        <v>40</v>
      </c>
      <c r="E23" s="331">
        <v>4</v>
      </c>
      <c r="F23" s="331"/>
      <c r="G23" s="332">
        <f t="shared" si="0"/>
        <v>1.33</v>
      </c>
      <c r="H23" s="331"/>
      <c r="I23" s="333"/>
      <c r="J23" s="332">
        <f t="shared" si="1"/>
        <v>0</v>
      </c>
      <c r="K23" s="335"/>
      <c r="L23" s="336"/>
      <c r="M23" s="334">
        <f t="shared" si="2"/>
        <v>0</v>
      </c>
      <c r="N23" s="335"/>
      <c r="O23" s="336"/>
      <c r="P23" s="334">
        <f t="shared" si="3"/>
        <v>0</v>
      </c>
      <c r="Q23" s="337">
        <f t="shared" si="4"/>
        <v>1.33</v>
      </c>
      <c r="R23" s="311"/>
      <c r="S23" s="301"/>
      <c r="T23" s="301"/>
      <c r="U23" s="301"/>
      <c r="V23" s="301"/>
      <c r="W23" s="301"/>
      <c r="X23" s="301"/>
      <c r="Y23" s="301"/>
      <c r="Z23" s="301"/>
      <c r="AA23" s="301"/>
      <c r="AB23" s="301"/>
      <c r="AC23" s="301"/>
      <c r="AD23" s="301"/>
      <c r="AE23" s="301"/>
      <c r="AF23" s="301"/>
      <c r="AG23" s="301"/>
      <c r="AH23" s="301"/>
      <c r="AI23" s="301"/>
      <c r="AJ23" s="301"/>
      <c r="AK23" s="301"/>
      <c r="AL23" s="301"/>
      <c r="AM23" s="301"/>
    </row>
    <row r="24" spans="1:39" s="328" customFormat="1" ht="15" customHeight="1">
      <c r="A24" s="329">
        <v>14</v>
      </c>
      <c r="B24" s="124">
        <f>VLOOKUP(C24,'[20]Tổng NT'!$C$18:$D$55,2,0)</f>
        <v>0</v>
      </c>
      <c r="C24" s="319" t="str">
        <f>[20]C.Công!C23</f>
        <v>Nàng Nàng</v>
      </c>
      <c r="D24" s="330" t="s">
        <v>40</v>
      </c>
      <c r="E24" s="331">
        <v>4</v>
      </c>
      <c r="F24" s="331"/>
      <c r="G24" s="332">
        <f t="shared" si="0"/>
        <v>1.33</v>
      </c>
      <c r="H24" s="331"/>
      <c r="I24" s="333"/>
      <c r="J24" s="332">
        <f t="shared" si="1"/>
        <v>0</v>
      </c>
      <c r="K24" s="335"/>
      <c r="L24" s="336"/>
      <c r="M24" s="332">
        <f t="shared" si="2"/>
        <v>0</v>
      </c>
      <c r="N24" s="335"/>
      <c r="O24" s="336"/>
      <c r="P24" s="332">
        <f t="shared" si="3"/>
        <v>0</v>
      </c>
      <c r="Q24" s="337">
        <f t="shared" si="4"/>
        <v>1.33</v>
      </c>
      <c r="R24" s="311"/>
      <c r="S24" s="301"/>
      <c r="T24" s="301"/>
      <c r="U24" s="301"/>
      <c r="V24" s="301"/>
      <c r="W24" s="301"/>
      <c r="X24" s="301"/>
      <c r="Y24" s="301"/>
      <c r="Z24" s="301"/>
      <c r="AA24" s="301"/>
      <c r="AB24" s="301"/>
      <c r="AC24" s="301"/>
      <c r="AD24" s="301"/>
      <c r="AE24" s="301"/>
      <c r="AF24" s="301"/>
      <c r="AG24" s="301"/>
      <c r="AH24" s="301"/>
      <c r="AI24" s="301"/>
      <c r="AJ24" s="301"/>
      <c r="AK24" s="301"/>
      <c r="AL24" s="301"/>
      <c r="AM24" s="301"/>
    </row>
    <row r="25" spans="1:39" s="328" customFormat="1" ht="15" customHeight="1">
      <c r="A25" s="317">
        <v>15</v>
      </c>
      <c r="B25" s="124" t="str">
        <f>VLOOKUP(C25,'[20]Tổng NT'!$C$18:$D$55,2,0)</f>
        <v>00897</v>
      </c>
      <c r="C25" s="319" t="str">
        <f>[20]C.Công!C24</f>
        <v>Nàng Cu lạp</v>
      </c>
      <c r="D25" s="330" t="s">
        <v>40</v>
      </c>
      <c r="E25" s="331">
        <v>4</v>
      </c>
      <c r="F25" s="331"/>
      <c r="G25" s="332">
        <f t="shared" si="0"/>
        <v>1.33</v>
      </c>
      <c r="H25" s="331"/>
      <c r="I25" s="333"/>
      <c r="J25" s="332">
        <f t="shared" si="1"/>
        <v>0</v>
      </c>
      <c r="K25" s="335"/>
      <c r="L25" s="336"/>
      <c r="M25" s="332">
        <f t="shared" si="2"/>
        <v>0</v>
      </c>
      <c r="N25" s="335"/>
      <c r="O25" s="336"/>
      <c r="P25" s="332">
        <f t="shared" si="3"/>
        <v>0</v>
      </c>
      <c r="Q25" s="337">
        <f t="shared" si="4"/>
        <v>1.33</v>
      </c>
      <c r="R25" s="311"/>
      <c r="S25" s="301"/>
      <c r="T25" s="301"/>
      <c r="U25" s="301"/>
      <c r="V25" s="301"/>
      <c r="W25" s="301"/>
      <c r="X25" s="301"/>
      <c r="Y25" s="301"/>
      <c r="Z25" s="301"/>
      <c r="AA25" s="301"/>
      <c r="AB25" s="301"/>
      <c r="AC25" s="301"/>
      <c r="AD25" s="301"/>
      <c r="AE25" s="301"/>
      <c r="AF25" s="301"/>
      <c r="AG25" s="301"/>
      <c r="AH25" s="301"/>
      <c r="AI25" s="301"/>
      <c r="AJ25" s="301"/>
      <c r="AK25" s="301"/>
      <c r="AL25" s="301"/>
      <c r="AM25" s="301"/>
    </row>
    <row r="26" spans="1:39" s="328" customFormat="1" ht="15" customHeight="1">
      <c r="A26" s="329">
        <v>16</v>
      </c>
      <c r="B26" s="124" t="str">
        <f>VLOOKUP(C26,'[20]Tổng NT'!$C$18:$D$55,2,0)</f>
        <v>00898</v>
      </c>
      <c r="C26" s="319" t="str">
        <f>[20]C.Công!C25</f>
        <v>Thảo Pon</v>
      </c>
      <c r="D26" s="330" t="s">
        <v>40</v>
      </c>
      <c r="E26" s="331">
        <v>4</v>
      </c>
      <c r="F26" s="331"/>
      <c r="G26" s="332">
        <f t="shared" si="0"/>
        <v>1.33</v>
      </c>
      <c r="H26" s="331"/>
      <c r="I26" s="333"/>
      <c r="J26" s="332">
        <f t="shared" si="1"/>
        <v>0</v>
      </c>
      <c r="K26" s="335"/>
      <c r="L26" s="336"/>
      <c r="M26" s="334">
        <f t="shared" si="2"/>
        <v>0</v>
      </c>
      <c r="N26" s="335"/>
      <c r="O26" s="336"/>
      <c r="P26" s="334">
        <f t="shared" si="3"/>
        <v>0</v>
      </c>
      <c r="Q26" s="337">
        <f t="shared" si="4"/>
        <v>1.33</v>
      </c>
      <c r="R26" s="311"/>
      <c r="S26" s="301"/>
      <c r="T26" s="301"/>
      <c r="U26" s="301"/>
      <c r="V26" s="301"/>
      <c r="W26" s="301"/>
      <c r="X26" s="301"/>
      <c r="Y26" s="301"/>
      <c r="Z26" s="301"/>
      <c r="AA26" s="301"/>
      <c r="AB26" s="301"/>
      <c r="AC26" s="301"/>
      <c r="AD26" s="301"/>
      <c r="AE26" s="301"/>
      <c r="AF26" s="301"/>
      <c r="AG26" s="301"/>
      <c r="AH26" s="301"/>
      <c r="AI26" s="301"/>
      <c r="AJ26" s="301"/>
      <c r="AK26" s="301"/>
      <c r="AL26" s="301"/>
      <c r="AM26" s="301"/>
    </row>
    <row r="27" spans="1:39" s="328" customFormat="1" ht="15" customHeight="1">
      <c r="A27" s="317">
        <v>17</v>
      </c>
      <c r="B27" s="124" t="str">
        <f>VLOOKUP(C27,'[20]Tổng NT'!$C$18:$D$55,2,0)</f>
        <v>00899</v>
      </c>
      <c r="C27" s="319" t="str">
        <f>[20]C.Công!C26</f>
        <v>Nàng Tú</v>
      </c>
      <c r="D27" s="330" t="s">
        <v>40</v>
      </c>
      <c r="E27" s="331">
        <v>4</v>
      </c>
      <c r="F27" s="331"/>
      <c r="G27" s="332">
        <f t="shared" si="0"/>
        <v>1.33</v>
      </c>
      <c r="H27" s="331"/>
      <c r="I27" s="333"/>
      <c r="J27" s="332">
        <f t="shared" si="1"/>
        <v>0</v>
      </c>
      <c r="K27" s="335"/>
      <c r="L27" s="336"/>
      <c r="M27" s="332">
        <f t="shared" si="2"/>
        <v>0</v>
      </c>
      <c r="N27" s="335"/>
      <c r="O27" s="336"/>
      <c r="P27" s="332">
        <f t="shared" si="3"/>
        <v>0</v>
      </c>
      <c r="Q27" s="337">
        <f t="shared" si="4"/>
        <v>1.33</v>
      </c>
      <c r="R27" s="311"/>
      <c r="S27" s="301"/>
      <c r="T27" s="301"/>
      <c r="U27" s="301"/>
      <c r="V27" s="301"/>
      <c r="W27" s="301"/>
      <c r="X27" s="301"/>
      <c r="Y27" s="301"/>
      <c r="Z27" s="301"/>
      <c r="AA27" s="301"/>
      <c r="AB27" s="301"/>
      <c r="AC27" s="301"/>
      <c r="AD27" s="301"/>
      <c r="AE27" s="301"/>
      <c r="AF27" s="301"/>
      <c r="AG27" s="301"/>
      <c r="AH27" s="301"/>
      <c r="AI27" s="301"/>
      <c r="AJ27" s="301"/>
      <c r="AK27" s="301"/>
      <c r="AL27" s="301"/>
      <c r="AM27" s="301"/>
    </row>
    <row r="28" spans="1:39" s="328" customFormat="1" ht="15" customHeight="1">
      <c r="A28" s="329">
        <v>18</v>
      </c>
      <c r="B28" s="124" t="str">
        <f>VLOOKUP(C28,'[20]Tổng NT'!$C$18:$D$55,2,0)</f>
        <v>00895</v>
      </c>
      <c r="C28" s="319" t="str">
        <f>[20]C.Công!C27</f>
        <v>Thảo Nọi</v>
      </c>
      <c r="D28" s="330" t="s">
        <v>40</v>
      </c>
      <c r="E28" s="331">
        <v>4</v>
      </c>
      <c r="F28" s="331"/>
      <c r="G28" s="332">
        <f t="shared" si="0"/>
        <v>1.33</v>
      </c>
      <c r="H28" s="331"/>
      <c r="I28" s="333"/>
      <c r="J28" s="332">
        <f t="shared" si="1"/>
        <v>0</v>
      </c>
      <c r="K28" s="335"/>
      <c r="L28" s="336"/>
      <c r="M28" s="332">
        <f t="shared" si="2"/>
        <v>0</v>
      </c>
      <c r="N28" s="335"/>
      <c r="O28" s="336"/>
      <c r="P28" s="332">
        <f t="shared" si="3"/>
        <v>0</v>
      </c>
      <c r="Q28" s="337">
        <f t="shared" si="4"/>
        <v>1.33</v>
      </c>
      <c r="R28" s="311"/>
      <c r="S28" s="301"/>
      <c r="T28" s="301"/>
      <c r="U28" s="301"/>
      <c r="V28" s="301"/>
      <c r="W28" s="301"/>
      <c r="X28" s="301"/>
      <c r="Y28" s="301"/>
      <c r="Z28" s="301"/>
      <c r="AA28" s="301"/>
      <c r="AB28" s="301"/>
      <c r="AC28" s="301"/>
      <c r="AD28" s="301"/>
      <c r="AE28" s="301"/>
      <c r="AF28" s="301"/>
      <c r="AG28" s="301"/>
      <c r="AH28" s="301"/>
      <c r="AI28" s="301"/>
      <c r="AJ28" s="301"/>
      <c r="AK28" s="301"/>
      <c r="AL28" s="301"/>
      <c r="AM28" s="301"/>
    </row>
    <row r="29" spans="1:39" s="328" customFormat="1" ht="15" customHeight="1">
      <c r="A29" s="317">
        <v>19</v>
      </c>
      <c r="B29" s="124" t="str">
        <f>VLOOKUP(C29,'[20]Tổng NT'!$C$18:$D$55,2,0)</f>
        <v>00760</v>
      </c>
      <c r="C29" s="319" t="str">
        <f>[20]C.Công!C28</f>
        <v>Hăm</v>
      </c>
      <c r="D29" s="330" t="s">
        <v>40</v>
      </c>
      <c r="E29" s="331">
        <v>4</v>
      </c>
      <c r="F29" s="331"/>
      <c r="G29" s="332">
        <f t="shared" si="0"/>
        <v>1.33</v>
      </c>
      <c r="H29" s="331"/>
      <c r="I29" s="333"/>
      <c r="J29" s="332">
        <f t="shared" si="1"/>
        <v>0</v>
      </c>
      <c r="K29" s="335"/>
      <c r="L29" s="336"/>
      <c r="M29" s="332">
        <f t="shared" si="2"/>
        <v>0</v>
      </c>
      <c r="N29" s="335"/>
      <c r="O29" s="336"/>
      <c r="P29" s="332">
        <f t="shared" si="3"/>
        <v>0</v>
      </c>
      <c r="Q29" s="337">
        <f t="shared" si="4"/>
        <v>1.33</v>
      </c>
      <c r="R29" s="311"/>
      <c r="S29" s="301"/>
      <c r="T29" s="301"/>
      <c r="U29" s="301"/>
      <c r="V29" s="301"/>
      <c r="W29" s="301"/>
      <c r="X29" s="301"/>
      <c r="Y29" s="301"/>
      <c r="Z29" s="301"/>
      <c r="AA29" s="301"/>
      <c r="AB29" s="301"/>
      <c r="AC29" s="301"/>
      <c r="AD29" s="301"/>
      <c r="AE29" s="301"/>
      <c r="AF29" s="301"/>
      <c r="AG29" s="301"/>
      <c r="AH29" s="301"/>
      <c r="AI29" s="301"/>
      <c r="AJ29" s="301"/>
      <c r="AK29" s="301"/>
      <c r="AL29" s="301"/>
      <c r="AM29" s="301"/>
    </row>
    <row r="30" spans="1:39" s="328" customFormat="1" ht="15" customHeight="1">
      <c r="A30" s="329">
        <v>20</v>
      </c>
      <c r="B30" s="124"/>
      <c r="C30" s="319" t="str">
        <f>[20]C.Công!C29</f>
        <v>Loon</v>
      </c>
      <c r="D30" s="330" t="s">
        <v>40</v>
      </c>
      <c r="E30" s="331"/>
      <c r="F30" s="331"/>
      <c r="G30" s="332"/>
      <c r="H30" s="331"/>
      <c r="I30" s="333"/>
      <c r="J30" s="332"/>
      <c r="K30" s="335"/>
      <c r="L30" s="336"/>
      <c r="M30" s="332"/>
      <c r="N30" s="335"/>
      <c r="O30" s="336"/>
      <c r="P30" s="332"/>
      <c r="Q30" s="337"/>
      <c r="R30" s="311"/>
      <c r="S30" s="301"/>
      <c r="T30" s="301"/>
      <c r="U30" s="301"/>
      <c r="V30" s="301"/>
      <c r="W30" s="301"/>
      <c r="X30" s="301"/>
      <c r="Y30" s="301"/>
      <c r="Z30" s="301"/>
      <c r="AA30" s="301"/>
      <c r="AB30" s="301"/>
      <c r="AC30" s="301"/>
      <c r="AD30" s="301"/>
      <c r="AE30" s="301"/>
      <c r="AF30" s="301"/>
      <c r="AG30" s="301"/>
      <c r="AH30" s="301"/>
      <c r="AI30" s="301"/>
      <c r="AJ30" s="301"/>
      <c r="AK30" s="301"/>
      <c r="AL30" s="301"/>
      <c r="AM30" s="301"/>
    </row>
    <row r="31" spans="1:39" s="328" customFormat="1" ht="15" customHeight="1">
      <c r="A31" s="317">
        <v>21</v>
      </c>
      <c r="B31" s="124"/>
      <c r="C31" s="319" t="str">
        <f>[20]C.Công!C30</f>
        <v>Phông</v>
      </c>
      <c r="D31" s="330" t="s">
        <v>40</v>
      </c>
      <c r="E31" s="331"/>
      <c r="F31" s="331"/>
      <c r="G31" s="332"/>
      <c r="H31" s="331"/>
      <c r="I31" s="333"/>
      <c r="J31" s="332"/>
      <c r="K31" s="335"/>
      <c r="L31" s="336"/>
      <c r="M31" s="332"/>
      <c r="N31" s="335"/>
      <c r="O31" s="336"/>
      <c r="P31" s="332"/>
      <c r="Q31" s="337"/>
      <c r="R31" s="311"/>
      <c r="S31" s="301"/>
      <c r="T31" s="301"/>
      <c r="U31" s="301"/>
      <c r="V31" s="301"/>
      <c r="W31" s="301"/>
      <c r="X31" s="301"/>
      <c r="Y31" s="301"/>
      <c r="Z31" s="301"/>
      <c r="AA31" s="301"/>
      <c r="AB31" s="301"/>
      <c r="AC31" s="301"/>
      <c r="AD31" s="301"/>
      <c r="AE31" s="301"/>
      <c r="AF31" s="301"/>
      <c r="AG31" s="301"/>
      <c r="AH31" s="301"/>
      <c r="AI31" s="301"/>
      <c r="AJ31" s="301"/>
      <c r="AK31" s="301"/>
      <c r="AL31" s="301"/>
      <c r="AM31" s="301"/>
    </row>
    <row r="32" spans="1:39" s="328" customFormat="1" ht="15" customHeight="1">
      <c r="A32" s="329">
        <v>22</v>
      </c>
      <c r="B32" s="124"/>
      <c r="C32" s="319" t="str">
        <f>[20]C.Công!C31</f>
        <v>Đông Chăn</v>
      </c>
      <c r="D32" s="330" t="s">
        <v>40</v>
      </c>
      <c r="E32" s="331"/>
      <c r="F32" s="331"/>
      <c r="G32" s="332"/>
      <c r="H32" s="331"/>
      <c r="I32" s="333"/>
      <c r="J32" s="332"/>
      <c r="K32" s="335"/>
      <c r="L32" s="336"/>
      <c r="M32" s="332"/>
      <c r="N32" s="335"/>
      <c r="O32" s="336"/>
      <c r="P32" s="332"/>
      <c r="Q32" s="337"/>
      <c r="R32" s="311"/>
      <c r="S32" s="301"/>
      <c r="T32" s="301"/>
      <c r="U32" s="301"/>
      <c r="V32" s="301"/>
      <c r="W32" s="301"/>
      <c r="X32" s="301"/>
      <c r="Y32" s="301"/>
      <c r="Z32" s="301"/>
      <c r="AA32" s="301"/>
      <c r="AB32" s="301"/>
      <c r="AC32" s="301"/>
      <c r="AD32" s="301"/>
      <c r="AE32" s="301"/>
      <c r="AF32" s="301"/>
      <c r="AG32" s="301"/>
      <c r="AH32" s="301"/>
      <c r="AI32" s="301"/>
      <c r="AJ32" s="301"/>
      <c r="AK32" s="301"/>
      <c r="AL32" s="301"/>
      <c r="AM32" s="301"/>
    </row>
    <row r="33" spans="1:39" s="328" customFormat="1" ht="15" customHeight="1">
      <c r="A33" s="317">
        <v>23</v>
      </c>
      <c r="B33" s="124"/>
      <c r="C33" s="319" t="str">
        <f>[20]C.Công!C32</f>
        <v>Thông la</v>
      </c>
      <c r="D33" s="330" t="s">
        <v>40</v>
      </c>
      <c r="E33" s="331"/>
      <c r="F33" s="331"/>
      <c r="G33" s="332"/>
      <c r="H33" s="331"/>
      <c r="I33" s="333"/>
      <c r="J33" s="332"/>
      <c r="K33" s="335"/>
      <c r="L33" s="336"/>
      <c r="M33" s="332"/>
      <c r="N33" s="335"/>
      <c r="O33" s="336"/>
      <c r="P33" s="332"/>
      <c r="Q33" s="337"/>
      <c r="R33" s="311"/>
      <c r="S33" s="301"/>
      <c r="T33" s="301"/>
      <c r="U33" s="301"/>
      <c r="V33" s="301"/>
      <c r="W33" s="301"/>
      <c r="X33" s="301"/>
      <c r="Y33" s="301"/>
      <c r="Z33" s="301"/>
      <c r="AA33" s="301"/>
      <c r="AB33" s="301"/>
      <c r="AC33" s="301"/>
      <c r="AD33" s="301"/>
      <c r="AE33" s="301"/>
      <c r="AF33" s="301"/>
      <c r="AG33" s="301"/>
      <c r="AH33" s="301"/>
      <c r="AI33" s="301"/>
      <c r="AJ33" s="301"/>
      <c r="AK33" s="301"/>
      <c r="AL33" s="301"/>
      <c r="AM33" s="301"/>
    </row>
    <row r="34" spans="1:39" s="328" customFormat="1" ht="15" customHeight="1">
      <c r="A34" s="329">
        <v>24</v>
      </c>
      <c r="B34" s="124" t="str">
        <f>VLOOKUP(C34,'[20]Tổng NT'!$C$18:$D$55,2,0)</f>
        <v>00761</v>
      </c>
      <c r="C34" s="319" t="str">
        <f>[20]C.Công!C33</f>
        <v>Xấp</v>
      </c>
      <c r="D34" s="330" t="s">
        <v>40</v>
      </c>
      <c r="E34" s="331">
        <v>4</v>
      </c>
      <c r="F34" s="331"/>
      <c r="G34" s="332">
        <f>ROUND(E34/$F$11,2)</f>
        <v>1.33</v>
      </c>
      <c r="H34" s="331"/>
      <c r="I34" s="333"/>
      <c r="J34" s="332">
        <f>ROUND(H34/$I$11,2)</f>
        <v>0</v>
      </c>
      <c r="K34" s="335"/>
      <c r="L34" s="336"/>
      <c r="M34" s="332">
        <f>ROUND(K34/$L$11,2)</f>
        <v>0</v>
      </c>
      <c r="N34" s="335"/>
      <c r="O34" s="336"/>
      <c r="P34" s="332">
        <f>ROUND(N34/$L$11,2)</f>
        <v>0</v>
      </c>
      <c r="Q34" s="337">
        <f>G34+J34+M34</f>
        <v>1.33</v>
      </c>
      <c r="R34" s="311"/>
      <c r="S34" s="301"/>
      <c r="T34" s="301"/>
      <c r="U34" s="301"/>
      <c r="V34" s="301"/>
      <c r="W34" s="301"/>
      <c r="X34" s="301"/>
      <c r="Y34" s="301"/>
      <c r="Z34" s="301"/>
      <c r="AA34" s="301"/>
      <c r="AB34" s="301"/>
      <c r="AC34" s="301"/>
      <c r="AD34" s="301"/>
      <c r="AE34" s="301"/>
      <c r="AF34" s="301"/>
      <c r="AG34" s="301"/>
      <c r="AH34" s="301"/>
      <c r="AI34" s="301"/>
      <c r="AJ34" s="301"/>
      <c r="AK34" s="301"/>
      <c r="AL34" s="301"/>
      <c r="AM34" s="301"/>
    </row>
    <row r="35" spans="1:39" s="328" customFormat="1" ht="15" customHeight="1">
      <c r="A35" s="317">
        <v>25</v>
      </c>
      <c r="B35" s="124" t="e">
        <f>VLOOKUP(C35,'[20]Tổng NT'!$C$18:$D$55,2,0)</f>
        <v>#N/A</v>
      </c>
      <c r="C35" s="319" t="str">
        <f>[20]C.Công!C34</f>
        <v>kham</v>
      </c>
      <c r="D35" s="330" t="s">
        <v>40</v>
      </c>
      <c r="E35" s="331">
        <v>4</v>
      </c>
      <c r="F35" s="331"/>
      <c r="G35" s="332">
        <f>ROUND(E35/$F$11,2)</f>
        <v>1.33</v>
      </c>
      <c r="H35" s="331"/>
      <c r="I35" s="333"/>
      <c r="J35" s="332">
        <f>ROUND(H35/$I$11,2)</f>
        <v>0</v>
      </c>
      <c r="K35" s="335"/>
      <c r="L35" s="336"/>
      <c r="M35" s="332">
        <f>ROUND(K35/$L$11,2)</f>
        <v>0</v>
      </c>
      <c r="N35" s="335"/>
      <c r="O35" s="336"/>
      <c r="P35" s="332">
        <f>ROUND(N35/$L$11,2)</f>
        <v>0</v>
      </c>
      <c r="Q35" s="337">
        <f>G35+J35+M35</f>
        <v>1.33</v>
      </c>
      <c r="R35" s="311"/>
      <c r="S35" s="301"/>
      <c r="T35" s="301"/>
      <c r="U35" s="301"/>
      <c r="V35" s="301"/>
      <c r="W35" s="301"/>
      <c r="X35" s="301"/>
      <c r="Y35" s="301"/>
      <c r="Z35" s="301"/>
      <c r="AA35" s="301"/>
      <c r="AB35" s="301"/>
      <c r="AC35" s="301"/>
      <c r="AD35" s="301"/>
      <c r="AE35" s="301"/>
      <c r="AF35" s="301"/>
      <c r="AG35" s="301"/>
      <c r="AH35" s="301"/>
      <c r="AI35" s="301"/>
      <c r="AJ35" s="301"/>
      <c r="AK35" s="301"/>
      <c r="AL35" s="301"/>
      <c r="AM35" s="301"/>
    </row>
    <row r="36" spans="1:39" s="328" customFormat="1" ht="15" customHeight="1">
      <c r="A36" s="329">
        <v>26</v>
      </c>
      <c r="B36" s="124" t="e">
        <f>VLOOKUP(C36,'[20]Tổng NT'!$C$18:$D$55,2,0)</f>
        <v>#N/A</v>
      </c>
      <c r="C36" s="319" t="str">
        <f>[20]C.Công!C35</f>
        <v>Lay</v>
      </c>
      <c r="D36" s="330" t="s">
        <v>40</v>
      </c>
      <c r="E36" s="331">
        <v>4</v>
      </c>
      <c r="F36" s="331"/>
      <c r="G36" s="332">
        <f>ROUND(E36/$F$11,2)</f>
        <v>1.33</v>
      </c>
      <c r="H36" s="331"/>
      <c r="I36" s="333"/>
      <c r="J36" s="332">
        <f>ROUND(H36/$I$11,2)</f>
        <v>0</v>
      </c>
      <c r="K36" s="335"/>
      <c r="L36" s="336"/>
      <c r="M36" s="334">
        <f>ROUND(K36/$L$11,2)</f>
        <v>0</v>
      </c>
      <c r="N36" s="335"/>
      <c r="O36" s="336"/>
      <c r="P36" s="334">
        <f>ROUND(N36/$L$11,2)</f>
        <v>0</v>
      </c>
      <c r="Q36" s="337">
        <f>G36+J36+M36</f>
        <v>1.33</v>
      </c>
      <c r="R36" s="311"/>
      <c r="S36" s="301"/>
      <c r="T36" s="301"/>
      <c r="U36" s="301"/>
      <c r="V36" s="301"/>
      <c r="W36" s="301"/>
      <c r="X36" s="301"/>
      <c r="Y36" s="301"/>
      <c r="Z36" s="301"/>
      <c r="AA36" s="301"/>
      <c r="AB36" s="301"/>
      <c r="AC36" s="301"/>
      <c r="AD36" s="301"/>
      <c r="AE36" s="301"/>
      <c r="AF36" s="301"/>
      <c r="AG36" s="301"/>
      <c r="AH36" s="301"/>
      <c r="AI36" s="301"/>
      <c r="AJ36" s="301"/>
      <c r="AK36" s="301"/>
      <c r="AL36" s="301"/>
      <c r="AM36" s="301"/>
    </row>
    <row r="37" spans="1:39" s="328" customFormat="1" ht="15" customHeight="1">
      <c r="A37" s="338" t="s">
        <v>148</v>
      </c>
      <c r="B37" s="339" t="s">
        <v>273</v>
      </c>
      <c r="C37" s="340"/>
      <c r="D37" s="340"/>
      <c r="E37" s="340"/>
      <c r="F37" s="340"/>
      <c r="G37" s="340"/>
      <c r="H37" s="340"/>
      <c r="I37" s="340"/>
      <c r="J37" s="340"/>
      <c r="K37" s="340"/>
      <c r="L37" s="340"/>
      <c r="M37" s="340"/>
      <c r="N37" s="340"/>
      <c r="O37" s="340"/>
      <c r="P37" s="340"/>
      <c r="Q37" s="341"/>
      <c r="R37" s="311"/>
      <c r="S37" s="301"/>
      <c r="T37" s="301"/>
      <c r="U37" s="301"/>
      <c r="V37" s="301"/>
      <c r="W37" s="301"/>
      <c r="X37" s="301"/>
      <c r="Y37" s="301"/>
      <c r="Z37" s="301"/>
      <c r="AA37" s="301"/>
      <c r="AB37" s="301"/>
      <c r="AC37" s="301"/>
      <c r="AD37" s="301"/>
      <c r="AE37" s="301"/>
      <c r="AF37" s="301"/>
      <c r="AG37" s="301"/>
      <c r="AH37" s="301"/>
      <c r="AI37" s="301"/>
      <c r="AJ37" s="301"/>
      <c r="AK37" s="301"/>
      <c r="AL37" s="301"/>
      <c r="AM37" s="301"/>
    </row>
    <row r="38" spans="1:39" s="328" customFormat="1" ht="15" customHeight="1">
      <c r="A38" s="329">
        <v>1</v>
      </c>
      <c r="B38" s="124" t="str">
        <f>VLOOKUP(C38,'[20]Tổng NT'!$C$18:$D$55,2,0)</f>
        <v>00748</v>
      </c>
      <c r="C38" s="260" t="s">
        <v>261</v>
      </c>
      <c r="D38" s="330" t="s">
        <v>40</v>
      </c>
      <c r="E38" s="331">
        <v>4</v>
      </c>
      <c r="F38" s="331"/>
      <c r="G38" s="332">
        <f>ROUND(E38/$F$11,2)</f>
        <v>1.33</v>
      </c>
      <c r="H38" s="331"/>
      <c r="I38" s="333"/>
      <c r="J38" s="342"/>
      <c r="K38" s="335"/>
      <c r="L38" s="336"/>
      <c r="M38" s="343"/>
      <c r="N38" s="335"/>
      <c r="O38" s="336"/>
      <c r="P38" s="343"/>
      <c r="Q38" s="337">
        <f>G38+J38+M38</f>
        <v>1.33</v>
      </c>
      <c r="R38" s="311"/>
      <c r="S38" s="301"/>
      <c r="T38" s="301"/>
      <c r="U38" s="301"/>
      <c r="V38" s="301"/>
      <c r="W38" s="301"/>
      <c r="X38" s="301"/>
      <c r="Y38" s="301"/>
      <c r="Z38" s="301"/>
      <c r="AA38" s="301"/>
      <c r="AB38" s="301"/>
      <c r="AC38" s="301"/>
      <c r="AD38" s="301"/>
      <c r="AE38" s="301"/>
      <c r="AF38" s="301"/>
      <c r="AG38" s="301"/>
      <c r="AH38" s="301"/>
      <c r="AI38" s="301"/>
      <c r="AJ38" s="301"/>
      <c r="AK38" s="301"/>
      <c r="AL38" s="301"/>
      <c r="AM38" s="301"/>
    </row>
    <row r="39" spans="1:39" s="328" customFormat="1" ht="15" customHeight="1">
      <c r="A39" s="329">
        <v>2</v>
      </c>
      <c r="B39" s="124" t="str">
        <f>VLOOKUP(C39,'[20]Tổng NT'!$C$18:$D$55,2,0)</f>
        <v>00749</v>
      </c>
      <c r="C39" s="260" t="s">
        <v>279</v>
      </c>
      <c r="D39" s="330" t="s">
        <v>40</v>
      </c>
      <c r="E39" s="331">
        <v>4</v>
      </c>
      <c r="F39" s="331"/>
      <c r="G39" s="332">
        <f>ROUND(E39/$F$11,2)</f>
        <v>1.33</v>
      </c>
      <c r="H39" s="333"/>
      <c r="I39" s="333"/>
      <c r="J39" s="342"/>
      <c r="K39" s="335"/>
      <c r="L39" s="336"/>
      <c r="M39" s="343"/>
      <c r="N39" s="335"/>
      <c r="O39" s="336"/>
      <c r="P39" s="343"/>
      <c r="Q39" s="337">
        <f>G39+J39+M39</f>
        <v>1.33</v>
      </c>
      <c r="R39" s="311"/>
      <c r="S39" s="301"/>
      <c r="T39" s="301"/>
      <c r="U39" s="301"/>
      <c r="V39" s="301"/>
      <c r="W39" s="301"/>
      <c r="X39" s="301"/>
      <c r="Y39" s="301"/>
      <c r="Z39" s="301"/>
      <c r="AA39" s="301"/>
      <c r="AB39" s="301"/>
      <c r="AC39" s="301"/>
      <c r="AD39" s="301"/>
      <c r="AE39" s="301"/>
      <c r="AF39" s="301"/>
      <c r="AG39" s="301"/>
      <c r="AH39" s="301"/>
      <c r="AI39" s="301"/>
      <c r="AJ39" s="301"/>
      <c r="AK39" s="301"/>
      <c r="AL39" s="301"/>
      <c r="AM39" s="301"/>
    </row>
    <row r="40" spans="1:39" s="328" customFormat="1" ht="15" customHeight="1">
      <c r="A40" s="329">
        <v>3</v>
      </c>
      <c r="B40" s="124" t="str">
        <f>VLOOKUP(C40,'[20]Tổng NT'!$C$18:$D$55,2,0)</f>
        <v>00750</v>
      </c>
      <c r="C40" s="260" t="s">
        <v>264</v>
      </c>
      <c r="D40" s="330" t="s">
        <v>40</v>
      </c>
      <c r="E40" s="331">
        <v>4</v>
      </c>
      <c r="F40" s="331"/>
      <c r="G40" s="332">
        <f>ROUND(E40/$F$11,2)</f>
        <v>1.33</v>
      </c>
      <c r="H40" s="333"/>
      <c r="I40" s="333"/>
      <c r="J40" s="342"/>
      <c r="K40" s="335"/>
      <c r="L40" s="336"/>
      <c r="M40" s="343"/>
      <c r="N40" s="335"/>
      <c r="O40" s="336"/>
      <c r="P40" s="343"/>
      <c r="Q40" s="337">
        <f>G40+J40+M40</f>
        <v>1.33</v>
      </c>
      <c r="R40" s="311"/>
      <c r="S40" s="301"/>
      <c r="T40" s="301"/>
      <c r="U40" s="301"/>
      <c r="V40" s="301"/>
      <c r="W40" s="301"/>
      <c r="X40" s="301"/>
      <c r="Y40" s="301"/>
      <c r="Z40" s="301"/>
      <c r="AA40" s="301"/>
      <c r="AB40" s="301"/>
      <c r="AC40" s="301"/>
      <c r="AD40" s="301"/>
      <c r="AE40" s="301"/>
      <c r="AF40" s="301"/>
      <c r="AG40" s="301"/>
      <c r="AH40" s="301"/>
      <c r="AI40" s="301"/>
      <c r="AJ40" s="301"/>
      <c r="AK40" s="301"/>
      <c r="AL40" s="301"/>
      <c r="AM40" s="301"/>
    </row>
    <row r="41" spans="1:39" s="328" customFormat="1" ht="15" customHeight="1">
      <c r="A41" s="329">
        <v>4</v>
      </c>
      <c r="B41" s="124" t="str">
        <f>VLOOKUP(C41,'[20]Tổng NT'!$C$18:$D$55,2,0)</f>
        <v>00751</v>
      </c>
      <c r="C41" s="260" t="s">
        <v>267</v>
      </c>
      <c r="D41" s="330" t="s">
        <v>40</v>
      </c>
      <c r="E41" s="331">
        <v>4</v>
      </c>
      <c r="F41" s="331"/>
      <c r="G41" s="332">
        <f>ROUND(E41/$F$11,2)</f>
        <v>1.33</v>
      </c>
      <c r="H41" s="333"/>
      <c r="I41" s="333"/>
      <c r="J41" s="342"/>
      <c r="K41" s="335"/>
      <c r="L41" s="336"/>
      <c r="M41" s="343"/>
      <c r="N41" s="335"/>
      <c r="O41" s="336"/>
      <c r="P41" s="343"/>
      <c r="Q41" s="337">
        <f>G41+J41+M41</f>
        <v>1.33</v>
      </c>
      <c r="R41" s="311"/>
      <c r="S41" s="301"/>
      <c r="T41" s="301"/>
      <c r="U41" s="301"/>
      <c r="V41" s="301"/>
      <c r="W41" s="301"/>
      <c r="X41" s="301"/>
      <c r="Y41" s="301"/>
      <c r="Z41" s="301"/>
      <c r="AA41" s="301"/>
      <c r="AB41" s="301"/>
      <c r="AC41" s="301"/>
      <c r="AD41" s="301"/>
      <c r="AE41" s="301"/>
      <c r="AF41" s="301"/>
      <c r="AG41" s="301"/>
      <c r="AH41" s="301"/>
      <c r="AI41" s="301"/>
      <c r="AJ41" s="301"/>
      <c r="AK41" s="301"/>
      <c r="AL41" s="301"/>
      <c r="AM41" s="301"/>
    </row>
    <row r="42" spans="1:39" s="328" customFormat="1" ht="15" customHeight="1">
      <c r="A42" s="329">
        <v>5</v>
      </c>
      <c r="B42" s="124"/>
      <c r="C42" s="260" t="s">
        <v>347</v>
      </c>
      <c r="D42" s="330" t="s">
        <v>40</v>
      </c>
      <c r="E42" s="331"/>
      <c r="F42" s="331"/>
      <c r="G42" s="332"/>
      <c r="H42" s="333"/>
      <c r="I42" s="333"/>
      <c r="J42" s="342"/>
      <c r="K42" s="335"/>
      <c r="L42" s="336"/>
      <c r="M42" s="343"/>
      <c r="N42" s="335"/>
      <c r="O42" s="336"/>
      <c r="P42" s="343"/>
      <c r="Q42" s="337"/>
      <c r="R42" s="311"/>
      <c r="S42" s="301"/>
      <c r="T42" s="301"/>
      <c r="U42" s="301"/>
      <c r="V42" s="301"/>
      <c r="W42" s="301"/>
      <c r="X42" s="301"/>
      <c r="Y42" s="301"/>
      <c r="Z42" s="301"/>
      <c r="AA42" s="301"/>
      <c r="AB42" s="301"/>
      <c r="AC42" s="301"/>
      <c r="AD42" s="301"/>
      <c r="AE42" s="301"/>
      <c r="AF42" s="301"/>
      <c r="AG42" s="301"/>
      <c r="AH42" s="301"/>
      <c r="AI42" s="301"/>
      <c r="AJ42" s="301"/>
      <c r="AK42" s="301"/>
      <c r="AL42" s="301"/>
      <c r="AM42" s="301"/>
    </row>
    <row r="43" spans="1:39" s="328" customFormat="1" ht="15" customHeight="1">
      <c r="A43" s="329">
        <v>6</v>
      </c>
      <c r="B43" s="124"/>
      <c r="C43" s="260" t="s">
        <v>280</v>
      </c>
      <c r="D43" s="330" t="s">
        <v>40</v>
      </c>
      <c r="E43" s="331"/>
      <c r="F43" s="331"/>
      <c r="G43" s="332"/>
      <c r="H43" s="333"/>
      <c r="I43" s="333"/>
      <c r="J43" s="342"/>
      <c r="K43" s="335"/>
      <c r="L43" s="336"/>
      <c r="M43" s="343"/>
      <c r="N43" s="335"/>
      <c r="O43" s="336"/>
      <c r="P43" s="343"/>
      <c r="Q43" s="337"/>
      <c r="R43" s="311"/>
      <c r="S43" s="301"/>
      <c r="T43" s="301"/>
      <c r="U43" s="301"/>
      <c r="V43" s="301"/>
      <c r="W43" s="301"/>
      <c r="X43" s="301"/>
      <c r="Y43" s="301"/>
      <c r="Z43" s="301"/>
      <c r="AA43" s="301"/>
      <c r="AB43" s="301"/>
      <c r="AC43" s="301"/>
      <c r="AD43" s="301"/>
      <c r="AE43" s="301"/>
      <c r="AF43" s="301"/>
      <c r="AG43" s="301"/>
      <c r="AH43" s="301"/>
      <c r="AI43" s="301"/>
      <c r="AJ43" s="301"/>
      <c r="AK43" s="301"/>
      <c r="AL43" s="301"/>
      <c r="AM43" s="301"/>
    </row>
    <row r="44" spans="1:39" s="328" customFormat="1" ht="15" customHeight="1">
      <c r="A44" s="329">
        <v>7</v>
      </c>
      <c r="B44" s="124"/>
      <c r="C44" s="260" t="s">
        <v>268</v>
      </c>
      <c r="D44" s="330" t="s">
        <v>40</v>
      </c>
      <c r="E44" s="331"/>
      <c r="F44" s="331"/>
      <c r="G44" s="332"/>
      <c r="H44" s="333"/>
      <c r="I44" s="333"/>
      <c r="J44" s="342"/>
      <c r="K44" s="335"/>
      <c r="L44" s="336"/>
      <c r="M44" s="343"/>
      <c r="N44" s="335"/>
      <c r="O44" s="336"/>
      <c r="P44" s="343"/>
      <c r="Q44" s="337"/>
      <c r="R44" s="311"/>
      <c r="S44" s="301"/>
      <c r="T44" s="301"/>
      <c r="U44" s="301"/>
      <c r="V44" s="301"/>
      <c r="W44" s="301"/>
      <c r="X44" s="301"/>
      <c r="Y44" s="301"/>
      <c r="Z44" s="301"/>
      <c r="AA44" s="301"/>
      <c r="AB44" s="301"/>
      <c r="AC44" s="301"/>
      <c r="AD44" s="301"/>
      <c r="AE44" s="301"/>
      <c r="AF44" s="301"/>
      <c r="AG44" s="301"/>
      <c r="AH44" s="301"/>
      <c r="AI44" s="301"/>
      <c r="AJ44" s="301"/>
      <c r="AK44" s="301"/>
      <c r="AL44" s="301"/>
      <c r="AM44" s="301"/>
    </row>
    <row r="45" spans="1:39" s="328" customFormat="1" ht="15" customHeight="1">
      <c r="A45" s="329">
        <v>8</v>
      </c>
      <c r="B45" s="124"/>
      <c r="C45" s="260" t="s">
        <v>281</v>
      </c>
      <c r="D45" s="330" t="s">
        <v>40</v>
      </c>
      <c r="E45" s="331"/>
      <c r="F45" s="331"/>
      <c r="G45" s="332"/>
      <c r="H45" s="333"/>
      <c r="I45" s="333"/>
      <c r="J45" s="342"/>
      <c r="K45" s="335"/>
      <c r="L45" s="336"/>
      <c r="M45" s="343"/>
      <c r="N45" s="335"/>
      <c r="O45" s="336"/>
      <c r="P45" s="343"/>
      <c r="Q45" s="337"/>
      <c r="R45" s="311"/>
      <c r="S45" s="301"/>
      <c r="T45" s="301"/>
      <c r="U45" s="301"/>
      <c r="V45" s="301"/>
      <c r="W45" s="301"/>
      <c r="X45" s="301"/>
      <c r="Y45" s="301"/>
      <c r="Z45" s="301"/>
      <c r="AA45" s="301"/>
      <c r="AB45" s="301"/>
      <c r="AC45" s="301"/>
      <c r="AD45" s="301"/>
      <c r="AE45" s="301"/>
      <c r="AF45" s="301"/>
      <c r="AG45" s="301"/>
      <c r="AH45" s="301"/>
      <c r="AI45" s="301"/>
      <c r="AJ45" s="301"/>
      <c r="AK45" s="301"/>
      <c r="AL45" s="301"/>
      <c r="AM45" s="301"/>
    </row>
    <row r="46" spans="1:39" s="328" customFormat="1" ht="15" customHeight="1">
      <c r="A46" s="329">
        <v>9</v>
      </c>
      <c r="B46" s="124" t="str">
        <f>VLOOKUP(C46,'[20]Tổng NT'!$C$18:$D$55,2,0)</f>
        <v>00757</v>
      </c>
      <c r="C46" s="240" t="s">
        <v>282</v>
      </c>
      <c r="D46" s="330" t="s">
        <v>40</v>
      </c>
      <c r="E46" s="331">
        <v>4</v>
      </c>
      <c r="F46" s="331"/>
      <c r="G46" s="332">
        <f>ROUND(E46/$F$11,2)</f>
        <v>1.33</v>
      </c>
      <c r="H46" s="333"/>
      <c r="I46" s="333"/>
      <c r="J46" s="342"/>
      <c r="K46" s="335"/>
      <c r="L46" s="336"/>
      <c r="M46" s="343"/>
      <c r="N46" s="335"/>
      <c r="O46" s="336"/>
      <c r="P46" s="343"/>
      <c r="Q46" s="337">
        <f>G46+J46+M46</f>
        <v>1.33</v>
      </c>
      <c r="R46" s="311"/>
      <c r="S46" s="301"/>
      <c r="T46" s="301"/>
      <c r="U46" s="301"/>
      <c r="V46" s="301"/>
      <c r="W46" s="301"/>
      <c r="X46" s="301"/>
      <c r="Y46" s="301"/>
      <c r="Z46" s="301"/>
      <c r="AA46" s="301"/>
      <c r="AB46" s="301"/>
      <c r="AC46" s="301"/>
      <c r="AD46" s="301"/>
      <c r="AE46" s="301"/>
      <c r="AF46" s="301"/>
      <c r="AG46" s="301"/>
      <c r="AH46" s="301"/>
      <c r="AI46" s="301"/>
      <c r="AJ46" s="301"/>
      <c r="AK46" s="301"/>
      <c r="AL46" s="301"/>
      <c r="AM46" s="301"/>
    </row>
    <row r="47" spans="1:39" s="328" customFormat="1" ht="15" customHeight="1">
      <c r="A47" s="329">
        <v>10</v>
      </c>
      <c r="B47" s="124" t="e">
        <f>VLOOKUP(C47,'[20]Tổng NT'!$C$18:$D$55,2,0)</f>
        <v>#N/A</v>
      </c>
      <c r="C47" s="243" t="s">
        <v>358</v>
      </c>
      <c r="D47" s="330" t="s">
        <v>40</v>
      </c>
      <c r="E47" s="331"/>
      <c r="F47" s="331"/>
      <c r="G47" s="332"/>
      <c r="H47" s="333"/>
      <c r="I47" s="333"/>
      <c r="J47" s="342"/>
      <c r="K47" s="335"/>
      <c r="L47" s="336"/>
      <c r="M47" s="343"/>
      <c r="N47" s="335"/>
      <c r="O47" s="336"/>
      <c r="P47" s="343"/>
      <c r="Q47" s="337">
        <f>G47+J47+M47</f>
        <v>0</v>
      </c>
      <c r="R47" s="311"/>
      <c r="S47" s="301"/>
      <c r="T47" s="301"/>
      <c r="U47" s="301"/>
      <c r="V47" s="301"/>
      <c r="W47" s="301"/>
      <c r="X47" s="301"/>
      <c r="Y47" s="301"/>
      <c r="Z47" s="301"/>
      <c r="AA47" s="301"/>
      <c r="AB47" s="301"/>
      <c r="AC47" s="301"/>
      <c r="AD47" s="301"/>
      <c r="AE47" s="301"/>
      <c r="AF47" s="301"/>
      <c r="AG47" s="301"/>
      <c r="AH47" s="301"/>
      <c r="AI47" s="301"/>
      <c r="AJ47" s="301"/>
      <c r="AK47" s="301"/>
      <c r="AL47" s="301"/>
      <c r="AM47" s="301"/>
    </row>
    <row r="48" spans="1:39" s="328" customFormat="1" ht="15" customHeight="1">
      <c r="A48" s="329">
        <v>11</v>
      </c>
      <c r="B48" s="124" t="e">
        <f>VLOOKUP(C48,'[20]Tổng NT'!$C$18:$D$55,2,0)</f>
        <v>#N/A</v>
      </c>
      <c r="C48" s="240" t="s">
        <v>353</v>
      </c>
      <c r="D48" s="330" t="s">
        <v>40</v>
      </c>
      <c r="E48" s="331"/>
      <c r="F48" s="331"/>
      <c r="G48" s="332"/>
      <c r="H48" s="333"/>
      <c r="I48" s="333"/>
      <c r="J48" s="342"/>
      <c r="K48" s="335"/>
      <c r="L48" s="336"/>
      <c r="M48" s="343"/>
      <c r="N48" s="335"/>
      <c r="O48" s="336"/>
      <c r="P48" s="343"/>
      <c r="Q48" s="337">
        <f>G48+J48+M48</f>
        <v>0</v>
      </c>
      <c r="R48" s="311"/>
      <c r="S48" s="301"/>
      <c r="T48" s="301"/>
      <c r="U48" s="301"/>
      <c r="V48" s="301"/>
      <c r="W48" s="301"/>
      <c r="X48" s="301"/>
      <c r="Y48" s="301"/>
      <c r="Z48" s="301"/>
      <c r="AA48" s="301"/>
      <c r="AB48" s="301"/>
      <c r="AC48" s="301"/>
      <c r="AD48" s="301"/>
      <c r="AE48" s="301"/>
      <c r="AF48" s="301"/>
      <c r="AG48" s="301"/>
      <c r="AH48" s="301"/>
      <c r="AI48" s="301"/>
      <c r="AJ48" s="301"/>
      <c r="AK48" s="301"/>
      <c r="AL48" s="301"/>
      <c r="AM48" s="301"/>
    </row>
    <row r="49" spans="1:39" s="313" customFormat="1" ht="15" customHeight="1">
      <c r="A49" s="344" t="s">
        <v>184</v>
      </c>
      <c r="B49" s="344"/>
      <c r="C49" s="345"/>
      <c r="D49" s="345"/>
      <c r="E49" s="346">
        <f>SUM(E38:E48,E11:E36)</f>
        <v>108</v>
      </c>
      <c r="F49" s="344"/>
      <c r="G49" s="347">
        <f>E49/3</f>
        <v>36</v>
      </c>
      <c r="H49" s="346">
        <f>SUM(H38:H48,H11:H36)</f>
        <v>0</v>
      </c>
      <c r="I49" s="344"/>
      <c r="J49" s="347">
        <f>SUM(J38:J48,J11:J36)</f>
        <v>0</v>
      </c>
      <c r="K49" s="346">
        <f>SUM(K38:K48,K11:K36)</f>
        <v>0</v>
      </c>
      <c r="L49" s="346"/>
      <c r="M49" s="347">
        <f>SUM(M38:M48,M11:M36)</f>
        <v>0</v>
      </c>
      <c r="N49" s="346">
        <f>SUM(N38:N48,N11:N36)</f>
        <v>0</v>
      </c>
      <c r="O49" s="346"/>
      <c r="P49" s="347">
        <f>SUM(P38:P48,P11:P36)</f>
        <v>0</v>
      </c>
      <c r="Q49" s="347">
        <f>M49+J49+G49</f>
        <v>36</v>
      </c>
      <c r="R49" s="348">
        <f>Q49-130.67</f>
        <v>-94.669999999999987</v>
      </c>
    </row>
    <row r="50" spans="1:39" ht="15" customHeight="1">
      <c r="A50" s="349"/>
      <c r="B50" s="349"/>
      <c r="C50" s="349"/>
      <c r="D50" s="350"/>
      <c r="E50" s="350"/>
      <c r="F50" s="350"/>
      <c r="G50" s="350"/>
      <c r="H50" s="350"/>
      <c r="I50" s="350"/>
      <c r="J50" s="4412" t="s">
        <v>367</v>
      </c>
      <c r="K50" s="4412"/>
      <c r="L50" s="4412"/>
      <c r="M50" s="4412"/>
      <c r="N50" s="4412"/>
      <c r="O50" s="4412"/>
      <c r="P50" s="4412"/>
      <c r="Q50" s="4412"/>
    </row>
    <row r="51" spans="1:39" ht="15" customHeight="1">
      <c r="A51" s="4413" t="s">
        <v>167</v>
      </c>
      <c r="B51" s="4413"/>
      <c r="C51" s="4413"/>
      <c r="D51" s="4413"/>
      <c r="E51" s="4413"/>
      <c r="G51" s="313" t="s">
        <v>368</v>
      </c>
      <c r="L51" s="4414" t="s">
        <v>369</v>
      </c>
      <c r="M51" s="4414"/>
      <c r="N51" s="4414"/>
      <c r="O51" s="4414"/>
      <c r="P51" s="4414"/>
      <c r="Q51" s="4414"/>
    </row>
    <row r="52" spans="1:39" ht="13.5" customHeight="1"/>
    <row r="53" spans="1:39" ht="13.5" customHeight="1">
      <c r="S53" s="351"/>
      <c r="T53" s="351"/>
      <c r="U53" s="351"/>
      <c r="V53" s="351"/>
      <c r="W53" s="351"/>
      <c r="X53" s="351"/>
      <c r="Y53" s="351"/>
      <c r="Z53" s="351"/>
      <c r="AA53" s="351"/>
      <c r="AB53" s="351"/>
      <c r="AC53" s="351"/>
      <c r="AD53" s="351"/>
      <c r="AE53" s="351"/>
      <c r="AF53" s="351"/>
      <c r="AG53" s="351"/>
      <c r="AH53" s="351"/>
      <c r="AI53" s="351"/>
      <c r="AJ53" s="351"/>
      <c r="AK53" s="351"/>
      <c r="AL53" s="351"/>
      <c r="AM53" s="351"/>
    </row>
    <row r="54" spans="1:39" ht="13.5" customHeight="1"/>
    <row r="55" spans="1:39" ht="13.5" customHeight="1"/>
    <row r="56" spans="1:39" ht="13.5" customHeight="1"/>
    <row r="57" spans="1:39" ht="13.5" customHeight="1"/>
    <row r="58" spans="1:39" ht="13.5" customHeight="1"/>
    <row r="59" spans="1:39" ht="13.5" customHeight="1"/>
    <row r="60" spans="1:39" ht="13.5" customHeight="1">
      <c r="I60" s="4411"/>
      <c r="J60" s="4411"/>
      <c r="K60" s="4411"/>
      <c r="L60" s="4411"/>
      <c r="M60" s="4411"/>
      <c r="N60" s="4411"/>
      <c r="O60" s="4411"/>
      <c r="P60" s="4411"/>
      <c r="Q60" s="4411"/>
    </row>
    <row r="61" spans="1:39" ht="13.5" customHeight="1"/>
    <row r="62" spans="1:39" ht="13.5" customHeight="1"/>
    <row r="63" spans="1:39" ht="13.5" customHeight="1"/>
    <row r="64" spans="1:39" ht="13.5" customHeight="1"/>
    <row r="65" spans="19:39" ht="13.5" customHeight="1"/>
    <row r="66" spans="19:39" ht="13.5" customHeight="1"/>
    <row r="67" spans="19:39" ht="13.5" customHeight="1"/>
    <row r="68" spans="19:39" ht="13.5" customHeight="1"/>
    <row r="69" spans="19:39" ht="13.5" customHeight="1"/>
    <row r="70" spans="19:39" ht="13.5" customHeight="1"/>
    <row r="71" spans="19:39" ht="13.5" customHeight="1"/>
    <row r="72" spans="19:39" ht="13.5" customHeight="1"/>
    <row r="73" spans="19:39" ht="13.5" customHeight="1">
      <c r="S73" s="351"/>
      <c r="T73" s="351"/>
      <c r="U73" s="351"/>
      <c r="V73" s="351"/>
      <c r="W73" s="351"/>
      <c r="X73" s="351"/>
      <c r="Y73" s="351"/>
      <c r="Z73" s="351"/>
      <c r="AA73" s="351"/>
      <c r="AB73" s="351"/>
      <c r="AC73" s="351"/>
      <c r="AD73" s="351"/>
      <c r="AE73" s="351"/>
      <c r="AF73" s="351"/>
      <c r="AG73" s="351"/>
      <c r="AH73" s="351"/>
      <c r="AI73" s="351"/>
      <c r="AJ73" s="351"/>
      <c r="AK73" s="351"/>
      <c r="AL73" s="351"/>
      <c r="AM73" s="351"/>
    </row>
    <row r="74" spans="19:39" ht="13.5" customHeight="1"/>
    <row r="75" spans="19:39" ht="13.5" customHeight="1"/>
    <row r="76" spans="19:39" ht="13.5" customHeight="1"/>
    <row r="77" spans="19:39" ht="13.5" customHeight="1"/>
    <row r="78" spans="19:39" ht="13.5" customHeight="1"/>
    <row r="79" spans="19:39" ht="13.5" customHeight="1"/>
    <row r="80" spans="19:39" ht="13.5" customHeight="1"/>
    <row r="81" spans="3:39" ht="13.5" customHeight="1"/>
    <row r="82" spans="3:39" ht="13.5" customHeight="1"/>
    <row r="83" spans="3:39" ht="13.5" customHeight="1"/>
    <row r="84" spans="3:39" ht="13.5" customHeight="1">
      <c r="R84" s="351"/>
    </row>
    <row r="85" spans="3:39" s="351" customFormat="1" ht="13.5" customHeight="1">
      <c r="C85" s="301"/>
      <c r="R85" s="301"/>
      <c r="S85" s="301"/>
      <c r="T85" s="301"/>
      <c r="U85" s="301"/>
      <c r="V85" s="301"/>
      <c r="W85" s="301"/>
      <c r="X85" s="301"/>
      <c r="Y85" s="301"/>
      <c r="Z85" s="301"/>
      <c r="AA85" s="301"/>
      <c r="AB85" s="301"/>
      <c r="AC85" s="301"/>
      <c r="AD85" s="301"/>
      <c r="AE85" s="301"/>
      <c r="AF85" s="301"/>
      <c r="AG85" s="301"/>
      <c r="AH85" s="301"/>
      <c r="AI85" s="301"/>
      <c r="AJ85" s="301"/>
      <c r="AK85" s="301"/>
      <c r="AL85" s="301"/>
      <c r="AM85" s="301"/>
    </row>
    <row r="86" spans="3:39" ht="13.5" customHeight="1">
      <c r="C86" s="351"/>
    </row>
    <row r="87" spans="3:39" ht="13.5" customHeight="1"/>
    <row r="88" spans="3:39" ht="13.5" customHeight="1"/>
    <row r="89" spans="3:39" ht="13.5" customHeight="1"/>
    <row r="90" spans="3:39" ht="13.5" customHeight="1"/>
    <row r="91" spans="3:39" ht="13.5" customHeight="1"/>
    <row r="92" spans="3:39" ht="13.5" customHeight="1"/>
    <row r="93" spans="3:39" ht="13.5" customHeight="1"/>
    <row r="94" spans="3:39" ht="13.5" customHeight="1"/>
    <row r="95" spans="3:39" ht="13.5" customHeight="1"/>
    <row r="96" spans="3:39" ht="13.5" customHeight="1"/>
    <row r="97" spans="3:39" ht="13.5" customHeight="1"/>
    <row r="98" spans="3:39" ht="13.5" customHeight="1"/>
    <row r="99" spans="3:39" ht="13.5" customHeight="1"/>
    <row r="100" spans="3:39" ht="13.5" customHeight="1"/>
    <row r="101" spans="3:39" ht="13.5" customHeight="1"/>
    <row r="102" spans="3:39" ht="13.5" customHeight="1"/>
    <row r="103" spans="3:39" ht="13.5" customHeight="1"/>
    <row r="104" spans="3:39" ht="13.5" customHeight="1">
      <c r="R104" s="351"/>
    </row>
    <row r="105" spans="3:39" s="351" customFormat="1" ht="13.5" customHeight="1">
      <c r="C105" s="301"/>
      <c r="R105" s="301"/>
      <c r="S105" s="301"/>
      <c r="T105" s="301"/>
      <c r="U105" s="301"/>
      <c r="V105" s="301"/>
      <c r="W105" s="301"/>
      <c r="X105" s="301"/>
      <c r="Y105" s="301"/>
      <c r="Z105" s="301"/>
      <c r="AA105" s="301"/>
      <c r="AB105" s="301"/>
      <c r="AC105" s="301"/>
      <c r="AD105" s="301"/>
      <c r="AE105" s="301"/>
      <c r="AF105" s="301"/>
      <c r="AG105" s="301"/>
      <c r="AH105" s="301"/>
      <c r="AI105" s="301"/>
      <c r="AJ105" s="301"/>
      <c r="AK105" s="301"/>
      <c r="AL105" s="301"/>
      <c r="AM105" s="301"/>
    </row>
    <row r="106" spans="3:39" ht="13.5" customHeight="1">
      <c r="C106" s="351"/>
    </row>
    <row r="107" spans="3:39" ht="13.5" customHeight="1"/>
    <row r="108" spans="3:39" ht="13.5" customHeight="1"/>
    <row r="109" spans="3:39" ht="13.5" customHeight="1"/>
    <row r="110" spans="3:39" ht="13.5" customHeight="1"/>
    <row r="111" spans="3:39" ht="13.5" customHeight="1"/>
    <row r="112" spans="3:39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3" ht="8.25" customHeight="1"/>
  </sheetData>
  <mergeCells count="10">
    <mergeCell ref="A2:E2"/>
    <mergeCell ref="A3:E3"/>
    <mergeCell ref="H2:Q2"/>
    <mergeCell ref="H3:Q3"/>
    <mergeCell ref="I60:K60"/>
    <mergeCell ref="L60:Q60"/>
    <mergeCell ref="J50:Q50"/>
    <mergeCell ref="A51:E51"/>
    <mergeCell ref="L51:Q51"/>
    <mergeCell ref="A6:Q6"/>
  </mergeCells>
  <phoneticPr fontId="57" type="noConversion"/>
  <pageMargins left="0.2" right="0.21" top="0.25" bottom="0.25" header="0.3" footer="0.3"/>
  <pageSetup orientation="portrait" verticalDpi="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topLeftCell="A4" workbookViewId="0">
      <selection activeCell="K19" sqref="K19"/>
    </sheetView>
  </sheetViews>
  <sheetFormatPr defaultColWidth="9.375" defaultRowHeight="12.75"/>
  <cols>
    <col min="1" max="1" width="7.25" style="116" customWidth="1"/>
    <col min="2" max="2" width="18" style="117" customWidth="1"/>
    <col min="3" max="3" width="14.375" style="117" customWidth="1"/>
    <col min="4" max="4" width="15.875" style="117" customWidth="1"/>
    <col min="5" max="7" width="12.875" style="117" customWidth="1"/>
    <col min="8" max="9" width="20" style="117" customWidth="1"/>
    <col min="10" max="10" width="12.375" style="117" hidden="1" customWidth="1"/>
    <col min="11" max="11" width="9.375" style="117" bestFit="1" customWidth="1"/>
    <col min="12" max="12" width="12.375" style="117" bestFit="1" customWidth="1"/>
    <col min="13" max="13" width="13.375" style="198" bestFit="1" customWidth="1"/>
    <col min="14" max="14" width="9.375" style="117"/>
    <col min="15" max="15" width="10.375" style="117" bestFit="1" customWidth="1"/>
    <col min="16" max="16384" width="9.375" style="117"/>
  </cols>
  <sheetData>
    <row r="1" spans="1:16" s="42" customFormat="1" ht="15.75">
      <c r="A1" s="3758" t="s">
        <v>164</v>
      </c>
      <c r="B1" s="3758"/>
      <c r="C1" s="3758"/>
      <c r="D1" s="3758"/>
      <c r="E1" s="165"/>
      <c r="F1" s="4417" t="s">
        <v>170</v>
      </c>
      <c r="G1" s="4417"/>
      <c r="H1" s="4417"/>
      <c r="I1" s="4417"/>
      <c r="M1" s="197"/>
    </row>
    <row r="2" spans="1:16" s="42" customFormat="1" ht="15.75">
      <c r="A2" s="4265" t="s">
        <v>114</v>
      </c>
      <c r="B2" s="4265"/>
      <c r="C2" s="4265"/>
      <c r="D2" s="4265"/>
      <c r="E2" s="53"/>
      <c r="F2" s="4418" t="s">
        <v>171</v>
      </c>
      <c r="G2" s="4418"/>
      <c r="H2" s="4418"/>
      <c r="I2" s="4418"/>
      <c r="M2" s="197"/>
    </row>
    <row r="4" spans="1:16" ht="19.5" customHeight="1">
      <c r="A4" s="4416" t="s">
        <v>205</v>
      </c>
      <c r="B4" s="4416"/>
      <c r="C4" s="4416"/>
      <c r="D4" s="4416"/>
      <c r="E4" s="4416"/>
      <c r="F4" s="4416"/>
      <c r="G4" s="4416"/>
      <c r="H4" s="4416"/>
      <c r="I4" s="4416"/>
    </row>
    <row r="5" spans="1:16" ht="14.25" customHeight="1">
      <c r="A5" s="4302" t="s">
        <v>172</v>
      </c>
      <c r="B5" s="4302"/>
      <c r="C5" s="4302"/>
      <c r="D5" s="4302"/>
      <c r="E5" s="4302"/>
      <c r="F5" s="4302"/>
      <c r="G5" s="4302"/>
      <c r="H5" s="4302"/>
      <c r="I5" s="4302"/>
    </row>
    <row r="6" spans="1:16" s="118" customFormat="1">
      <c r="A6" s="116"/>
      <c r="M6" s="199"/>
    </row>
    <row r="7" spans="1:16" s="115" customFormat="1" ht="15.75">
      <c r="A7" s="4422" t="s">
        <v>1</v>
      </c>
      <c r="B7" s="3783" t="s">
        <v>173</v>
      </c>
      <c r="C7" s="3776" t="s">
        <v>174</v>
      </c>
      <c r="D7" s="4424" t="s">
        <v>175</v>
      </c>
      <c r="E7" s="4424"/>
      <c r="F7" s="4424"/>
      <c r="G7" s="4424"/>
      <c r="H7" s="3783" t="s">
        <v>188</v>
      </c>
      <c r="I7" s="4425" t="s">
        <v>176</v>
      </c>
      <c r="M7" s="200"/>
    </row>
    <row r="8" spans="1:16" s="42" customFormat="1" ht="31.5">
      <c r="A8" s="4423"/>
      <c r="B8" s="3785"/>
      <c r="C8" s="3778"/>
      <c r="D8" s="153" t="s">
        <v>204</v>
      </c>
      <c r="E8" s="153" t="s">
        <v>169</v>
      </c>
      <c r="F8" s="153" t="s">
        <v>221</v>
      </c>
      <c r="G8" s="153" t="s">
        <v>222</v>
      </c>
      <c r="H8" s="3785"/>
      <c r="I8" s="4426"/>
      <c r="K8" s="153" t="s">
        <v>169</v>
      </c>
      <c r="L8" s="153" t="s">
        <v>221</v>
      </c>
      <c r="M8" s="201" t="s">
        <v>222</v>
      </c>
    </row>
    <row r="9" spans="1:16" s="123" customFormat="1" ht="17.25" customHeight="1">
      <c r="A9" s="149">
        <v>1</v>
      </c>
      <c r="B9" s="150" t="s">
        <v>100</v>
      </c>
      <c r="C9" s="151" t="s">
        <v>177</v>
      </c>
      <c r="D9" s="187">
        <v>1</v>
      </c>
      <c r="E9" s="188"/>
      <c r="F9" s="188"/>
      <c r="G9" s="188"/>
      <c r="H9" s="152">
        <f>SUM(D9:G9)</f>
        <v>1</v>
      </c>
      <c r="I9" s="122">
        <f t="shared" ref="I9:I19" si="0">H9*30000</f>
        <v>30000</v>
      </c>
      <c r="J9" s="123">
        <v>188</v>
      </c>
      <c r="M9" s="202"/>
    </row>
    <row r="10" spans="1:16" s="123" customFormat="1" ht="17.25" customHeight="1">
      <c r="A10" s="38">
        <v>2</v>
      </c>
      <c r="B10" s="119" t="s">
        <v>101</v>
      </c>
      <c r="C10" s="120" t="s">
        <v>177</v>
      </c>
      <c r="D10" s="189">
        <v>0.67</v>
      </c>
      <c r="E10" s="121"/>
      <c r="F10" s="121"/>
      <c r="G10" s="121"/>
      <c r="H10" s="152">
        <f t="shared" ref="H10:H25" si="1">SUM(D10:G10)</f>
        <v>0.67</v>
      </c>
      <c r="I10" s="122">
        <f t="shared" si="0"/>
        <v>20100</v>
      </c>
      <c r="J10" s="123">
        <v>187</v>
      </c>
      <c r="M10" s="202"/>
    </row>
    <row r="11" spans="1:16" s="123" customFormat="1" ht="17.25" customHeight="1">
      <c r="A11" s="149">
        <v>3</v>
      </c>
      <c r="B11" s="119" t="s">
        <v>225</v>
      </c>
      <c r="C11" s="120" t="s">
        <v>177</v>
      </c>
      <c r="D11" s="189">
        <v>0</v>
      </c>
      <c r="E11" s="121"/>
      <c r="F11" s="121"/>
      <c r="G11" s="121"/>
      <c r="H11" s="152">
        <f t="shared" si="1"/>
        <v>0</v>
      </c>
      <c r="I11" s="122">
        <f t="shared" si="0"/>
        <v>0</v>
      </c>
      <c r="M11" s="202"/>
    </row>
    <row r="12" spans="1:16" s="123" customFormat="1" ht="17.25" customHeight="1">
      <c r="A12" s="38">
        <v>4</v>
      </c>
      <c r="B12" s="119" t="s">
        <v>102</v>
      </c>
      <c r="C12" s="120" t="s">
        <v>178</v>
      </c>
      <c r="D12" s="189">
        <v>0.67</v>
      </c>
      <c r="E12" s="121"/>
      <c r="F12" s="121"/>
      <c r="G12" s="121"/>
      <c r="H12" s="152">
        <f t="shared" si="1"/>
        <v>0.67</v>
      </c>
      <c r="I12" s="122">
        <f t="shared" si="0"/>
        <v>20100</v>
      </c>
      <c r="J12" s="123">
        <v>188</v>
      </c>
      <c r="M12" s="202"/>
    </row>
    <row r="13" spans="1:16" s="123" customFormat="1" ht="17.25" customHeight="1">
      <c r="A13" s="149">
        <v>5</v>
      </c>
      <c r="B13" s="119" t="s">
        <v>103</v>
      </c>
      <c r="C13" s="120" t="s">
        <v>178</v>
      </c>
      <c r="D13" s="189">
        <v>1</v>
      </c>
      <c r="E13" s="121"/>
      <c r="F13" s="121"/>
      <c r="G13" s="121"/>
      <c r="H13" s="152">
        <f t="shared" si="1"/>
        <v>1</v>
      </c>
      <c r="I13" s="122">
        <f t="shared" si="0"/>
        <v>30000</v>
      </c>
      <c r="J13" s="123">
        <v>132</v>
      </c>
      <c r="M13" s="202"/>
    </row>
    <row r="14" spans="1:16" s="123" customFormat="1" ht="17.25" customHeight="1">
      <c r="A14" s="38">
        <v>6</v>
      </c>
      <c r="B14" s="119" t="s">
        <v>104</v>
      </c>
      <c r="C14" s="120" t="s">
        <v>179</v>
      </c>
      <c r="D14" s="189">
        <v>0.67</v>
      </c>
      <c r="E14" s="121"/>
      <c r="F14" s="121"/>
      <c r="G14" s="121"/>
      <c r="H14" s="152">
        <f t="shared" si="1"/>
        <v>0.67</v>
      </c>
      <c r="I14" s="122">
        <f t="shared" si="0"/>
        <v>20100</v>
      </c>
      <c r="J14" s="123">
        <v>320</v>
      </c>
      <c r="M14" s="202"/>
    </row>
    <row r="15" spans="1:16" s="123" customFormat="1" ht="17.25" customHeight="1">
      <c r="A15" s="149">
        <v>7</v>
      </c>
      <c r="B15" s="119" t="s">
        <v>105</v>
      </c>
      <c r="C15" s="135" t="s">
        <v>177</v>
      </c>
      <c r="D15" s="190">
        <v>0.33</v>
      </c>
      <c r="E15" s="125"/>
      <c r="G15" s="125">
        <v>5.34</v>
      </c>
      <c r="H15" s="152">
        <f t="shared" si="1"/>
        <v>5.67</v>
      </c>
      <c r="I15" s="126">
        <f t="shared" si="0"/>
        <v>170100</v>
      </c>
      <c r="J15" s="123">
        <f>333+106+104+165+160</f>
        <v>868</v>
      </c>
      <c r="K15" s="123">
        <v>2.36</v>
      </c>
      <c r="M15" s="202">
        <v>1053</v>
      </c>
      <c r="N15" s="214">
        <f>M15/277.5</f>
        <v>3.7945945945945945</v>
      </c>
      <c r="O15" s="215">
        <f>M15+430</f>
        <v>1483</v>
      </c>
      <c r="P15" s="214">
        <f>ROUND(O15/277.5,2)</f>
        <v>5.34</v>
      </c>
    </row>
    <row r="16" spans="1:16" s="123" customFormat="1" ht="17.25" customHeight="1">
      <c r="A16" s="38">
        <v>8</v>
      </c>
      <c r="B16" s="119" t="s">
        <v>199</v>
      </c>
      <c r="C16" s="135" t="s">
        <v>181</v>
      </c>
      <c r="D16" s="190">
        <v>0.67</v>
      </c>
      <c r="E16" s="125"/>
      <c r="F16" s="124"/>
      <c r="G16" s="125">
        <v>3.99</v>
      </c>
      <c r="H16" s="152">
        <f t="shared" si="1"/>
        <v>4.66</v>
      </c>
      <c r="I16" s="126">
        <f t="shared" si="0"/>
        <v>139800</v>
      </c>
      <c r="J16" s="123">
        <f>235+222</f>
        <v>457</v>
      </c>
      <c r="M16" s="202">
        <v>676</v>
      </c>
      <c r="N16" s="214">
        <f t="shared" ref="N16:N25" si="2">M16/277.5</f>
        <v>2.436036036036036</v>
      </c>
      <c r="O16" s="215">
        <f t="shared" ref="O16:O25" si="3">M16+430</f>
        <v>1106</v>
      </c>
      <c r="P16" s="214">
        <f t="shared" ref="P16:P24" si="4">ROUND(O16/277.5,2)</f>
        <v>3.99</v>
      </c>
    </row>
    <row r="17" spans="1:16" s="123" customFormat="1" ht="17.25" customHeight="1">
      <c r="A17" s="149">
        <v>9</v>
      </c>
      <c r="B17" s="119" t="s">
        <v>106</v>
      </c>
      <c r="C17" s="135" t="s">
        <v>179</v>
      </c>
      <c r="D17" s="190">
        <v>1</v>
      </c>
      <c r="E17" s="125">
        <v>1.17</v>
      </c>
      <c r="F17" s="124"/>
      <c r="G17" s="125">
        <v>4.41</v>
      </c>
      <c r="H17" s="152">
        <f t="shared" si="1"/>
        <v>6.58</v>
      </c>
      <c r="I17" s="126">
        <f t="shared" si="0"/>
        <v>197400</v>
      </c>
      <c r="J17" s="123">
        <f>333+125+155</f>
        <v>613</v>
      </c>
      <c r="M17" s="202">
        <v>795</v>
      </c>
      <c r="N17" s="214">
        <f t="shared" si="2"/>
        <v>2.8648648648648649</v>
      </c>
      <c r="O17" s="215">
        <f t="shared" si="3"/>
        <v>1225</v>
      </c>
      <c r="P17" s="214">
        <f t="shared" si="4"/>
        <v>4.41</v>
      </c>
    </row>
    <row r="18" spans="1:16" s="123" customFormat="1" ht="17.25" customHeight="1">
      <c r="A18" s="38">
        <v>10</v>
      </c>
      <c r="B18" s="119" t="s">
        <v>107</v>
      </c>
      <c r="C18" s="135" t="s">
        <v>180</v>
      </c>
      <c r="D18" s="190">
        <v>1</v>
      </c>
      <c r="E18" s="125"/>
      <c r="F18" s="124"/>
      <c r="G18" s="125">
        <v>5.87</v>
      </c>
      <c r="H18" s="152">
        <f t="shared" si="1"/>
        <v>6.87</v>
      </c>
      <c r="I18" s="126">
        <f t="shared" si="0"/>
        <v>206100</v>
      </c>
      <c r="J18" s="123">
        <f>188+195+110</f>
        <v>493</v>
      </c>
      <c r="M18" s="202">
        <v>1198</v>
      </c>
      <c r="N18" s="214">
        <f t="shared" si="2"/>
        <v>4.3171171171171174</v>
      </c>
      <c r="O18" s="215">
        <f t="shared" si="3"/>
        <v>1628</v>
      </c>
      <c r="P18" s="214">
        <f t="shared" si="4"/>
        <v>5.87</v>
      </c>
    </row>
    <row r="19" spans="1:16" s="123" customFormat="1" ht="17.25" customHeight="1">
      <c r="A19" s="149">
        <v>11</v>
      </c>
      <c r="B19" s="119" t="s">
        <v>108</v>
      </c>
      <c r="C19" s="135" t="s">
        <v>181</v>
      </c>
      <c r="D19" s="190">
        <v>0.65</v>
      </c>
      <c r="E19" s="125"/>
      <c r="F19" s="124"/>
      <c r="G19" s="125">
        <v>3.85</v>
      </c>
      <c r="H19" s="152">
        <f t="shared" si="1"/>
        <v>4.5</v>
      </c>
      <c r="I19" s="126">
        <f t="shared" si="0"/>
        <v>135000</v>
      </c>
      <c r="J19" s="123">
        <f>196+156+222</f>
        <v>574</v>
      </c>
      <c r="M19" s="202">
        <v>639</v>
      </c>
      <c r="N19" s="214">
        <f t="shared" si="2"/>
        <v>2.3027027027027027</v>
      </c>
      <c r="O19" s="215">
        <f t="shared" si="3"/>
        <v>1069</v>
      </c>
      <c r="P19" s="214">
        <f t="shared" si="4"/>
        <v>3.85</v>
      </c>
    </row>
    <row r="20" spans="1:16" s="123" customFormat="1" ht="17.25" customHeight="1">
      <c r="A20" s="38">
        <v>12</v>
      </c>
      <c r="B20" s="119" t="s">
        <v>201</v>
      </c>
      <c r="C20" s="135" t="s">
        <v>181</v>
      </c>
      <c r="D20" s="190">
        <v>0.67</v>
      </c>
      <c r="E20" s="125"/>
      <c r="F20" s="124"/>
      <c r="G20" s="125">
        <v>6.37</v>
      </c>
      <c r="H20" s="152">
        <f t="shared" si="1"/>
        <v>7.04</v>
      </c>
      <c r="I20" s="126">
        <f t="shared" ref="I20:I25" si="5">H20*30000</f>
        <v>211200</v>
      </c>
      <c r="J20" s="123">
        <f>195+188+195</f>
        <v>578</v>
      </c>
      <c r="M20" s="202">
        <v>1337</v>
      </c>
      <c r="N20" s="214">
        <f t="shared" si="2"/>
        <v>4.8180180180180177</v>
      </c>
      <c r="O20" s="215">
        <f t="shared" si="3"/>
        <v>1767</v>
      </c>
      <c r="P20" s="214">
        <f t="shared" si="4"/>
        <v>6.37</v>
      </c>
    </row>
    <row r="21" spans="1:16" s="123" customFormat="1" ht="17.25" customHeight="1">
      <c r="A21" s="149">
        <v>13</v>
      </c>
      <c r="B21" s="119" t="s">
        <v>109</v>
      </c>
      <c r="C21" s="135" t="s">
        <v>182</v>
      </c>
      <c r="D21" s="190">
        <v>1</v>
      </c>
      <c r="E21" s="125"/>
      <c r="F21" s="124"/>
      <c r="G21" s="125">
        <v>6.63</v>
      </c>
      <c r="H21" s="152">
        <f t="shared" si="1"/>
        <v>7.63</v>
      </c>
      <c r="I21" s="126">
        <f t="shared" si="5"/>
        <v>228900</v>
      </c>
      <c r="J21" s="123">
        <f>104+471+83+70+82+189</f>
        <v>999</v>
      </c>
      <c r="M21" s="202">
        <v>1411</v>
      </c>
      <c r="N21" s="214">
        <f t="shared" si="2"/>
        <v>5.0846846846846843</v>
      </c>
      <c r="O21" s="215">
        <f t="shared" si="3"/>
        <v>1841</v>
      </c>
      <c r="P21" s="214">
        <f t="shared" si="4"/>
        <v>6.63</v>
      </c>
    </row>
    <row r="22" spans="1:16" s="123" customFormat="1" ht="17.25" customHeight="1">
      <c r="A22" s="38">
        <v>14</v>
      </c>
      <c r="B22" s="119" t="s">
        <v>202</v>
      </c>
      <c r="C22" s="135" t="s">
        <v>182</v>
      </c>
      <c r="D22" s="190">
        <v>0.67</v>
      </c>
      <c r="E22" s="125"/>
      <c r="F22" s="124"/>
      <c r="G22" s="125">
        <v>7.3</v>
      </c>
      <c r="H22" s="152">
        <f t="shared" si="1"/>
        <v>7.97</v>
      </c>
      <c r="I22" s="126">
        <f t="shared" si="5"/>
        <v>239100</v>
      </c>
      <c r="J22" s="123">
        <f>104+471+82+70+83</f>
        <v>810</v>
      </c>
      <c r="M22" s="202">
        <v>1601</v>
      </c>
      <c r="N22" s="214">
        <f t="shared" si="2"/>
        <v>5.7693693693693691</v>
      </c>
      <c r="O22" s="215">
        <f>M22+430-4</f>
        <v>2027</v>
      </c>
      <c r="P22" s="214">
        <f t="shared" si="4"/>
        <v>7.3</v>
      </c>
    </row>
    <row r="23" spans="1:16" s="123" customFormat="1" ht="17.25" customHeight="1">
      <c r="A23" s="149">
        <v>15</v>
      </c>
      <c r="B23" s="119" t="s">
        <v>110</v>
      </c>
      <c r="C23" s="135" t="s">
        <v>182</v>
      </c>
      <c r="D23" s="190">
        <v>1</v>
      </c>
      <c r="E23" s="125"/>
      <c r="F23" s="124"/>
      <c r="G23" s="125">
        <v>7.02</v>
      </c>
      <c r="H23" s="152">
        <f t="shared" si="1"/>
        <v>8.02</v>
      </c>
      <c r="I23" s="126">
        <f t="shared" si="5"/>
        <v>240600</v>
      </c>
      <c r="J23" s="123">
        <f>70+189+179</f>
        <v>438</v>
      </c>
      <c r="M23" s="202">
        <v>1519</v>
      </c>
      <c r="N23" s="214">
        <f t="shared" si="2"/>
        <v>5.4738738738738739</v>
      </c>
      <c r="O23" s="215">
        <f t="shared" si="3"/>
        <v>1949</v>
      </c>
      <c r="P23" s="214">
        <f t="shared" si="4"/>
        <v>7.02</v>
      </c>
    </row>
    <row r="24" spans="1:16" s="123" customFormat="1" ht="17.25" customHeight="1">
      <c r="A24" s="38">
        <v>16</v>
      </c>
      <c r="B24" s="119" t="s">
        <v>111</v>
      </c>
      <c r="C24" s="135" t="s">
        <v>183</v>
      </c>
      <c r="D24" s="190">
        <v>1</v>
      </c>
      <c r="E24" s="125"/>
      <c r="F24" s="124"/>
      <c r="G24" s="125">
        <v>2.85</v>
      </c>
      <c r="H24" s="152">
        <f t="shared" si="1"/>
        <v>3.85</v>
      </c>
      <c r="I24" s="126">
        <f t="shared" si="5"/>
        <v>115500</v>
      </c>
      <c r="J24" s="123">
        <f>179+207</f>
        <v>386</v>
      </c>
      <c r="M24" s="202">
        <v>360</v>
      </c>
      <c r="N24" s="214">
        <f t="shared" si="2"/>
        <v>1.2972972972972974</v>
      </c>
      <c r="O24" s="215">
        <f t="shared" si="3"/>
        <v>790</v>
      </c>
      <c r="P24" s="214">
        <f t="shared" si="4"/>
        <v>2.85</v>
      </c>
    </row>
    <row r="25" spans="1:16" s="123" customFormat="1" ht="17.25" customHeight="1">
      <c r="A25" s="193">
        <v>17</v>
      </c>
      <c r="B25" s="194" t="s">
        <v>112</v>
      </c>
      <c r="C25" s="195" t="s">
        <v>179</v>
      </c>
      <c r="D25" s="196">
        <v>1</v>
      </c>
      <c r="E25" s="127">
        <v>1.19</v>
      </c>
      <c r="F25" s="124">
        <v>28.78</v>
      </c>
      <c r="G25" s="127">
        <v>3.48</v>
      </c>
      <c r="H25" s="152">
        <f t="shared" si="1"/>
        <v>34.450000000000003</v>
      </c>
      <c r="I25" s="128">
        <f t="shared" si="5"/>
        <v>1033500.0000000001</v>
      </c>
      <c r="J25" s="123">
        <f>334+107+125+165+188+161</f>
        <v>1080</v>
      </c>
      <c r="M25" s="202">
        <v>532</v>
      </c>
      <c r="N25" s="214">
        <f t="shared" si="2"/>
        <v>1.9171171171171171</v>
      </c>
      <c r="O25" s="215">
        <f t="shared" si="3"/>
        <v>962</v>
      </c>
      <c r="P25" s="214">
        <f>ROUND(O25/277.5,2)+0.01</f>
        <v>3.48</v>
      </c>
    </row>
    <row r="26" spans="1:16" s="111" customFormat="1" ht="17.25" customHeight="1" thickBot="1">
      <c r="A26" s="4419" t="s">
        <v>184</v>
      </c>
      <c r="B26" s="4420"/>
      <c r="C26" s="4421"/>
      <c r="D26" s="136">
        <f t="shared" ref="D26:I26" si="6">SUM(D9:D25)</f>
        <v>13</v>
      </c>
      <c r="E26" s="136">
        <f t="shared" si="6"/>
        <v>2.36</v>
      </c>
      <c r="F26" s="136">
        <f t="shared" si="6"/>
        <v>28.78</v>
      </c>
      <c r="G26" s="136">
        <f t="shared" si="6"/>
        <v>57.11</v>
      </c>
      <c r="H26" s="136">
        <f t="shared" si="6"/>
        <v>101.25</v>
      </c>
      <c r="I26" s="137">
        <f t="shared" si="6"/>
        <v>3037500</v>
      </c>
      <c r="J26" s="129">
        <f>SUM(J9:J14)</f>
        <v>1015</v>
      </c>
      <c r="K26" s="130"/>
      <c r="L26" s="130"/>
      <c r="M26" s="202"/>
      <c r="N26" s="123"/>
      <c r="O26" s="123"/>
    </row>
    <row r="27" spans="1:16" s="111" customFormat="1" ht="17.25" customHeight="1" thickTop="1">
      <c r="A27" s="4138" t="s">
        <v>189</v>
      </c>
      <c r="B27" s="4138"/>
      <c r="C27" s="4138"/>
      <c r="D27" s="4138"/>
      <c r="E27" s="4138"/>
      <c r="F27" s="4138"/>
      <c r="G27" s="4138"/>
      <c r="H27" s="4138"/>
      <c r="I27" s="4138"/>
      <c r="K27" s="203">
        <v>654</v>
      </c>
      <c r="L27" s="203">
        <v>7989</v>
      </c>
      <c r="M27" s="203">
        <f>SUM(M10:M26)</f>
        <v>11121</v>
      </c>
      <c r="O27" s="203">
        <f>SUM(O10:O26)</f>
        <v>15847</v>
      </c>
      <c r="P27" s="218">
        <f>SUM(P10:P26)</f>
        <v>57.11</v>
      </c>
    </row>
    <row r="28" spans="1:16" s="42" customFormat="1" ht="15.75">
      <c r="A28" s="131"/>
      <c r="B28" s="131"/>
      <c r="C28" s="39" t="s">
        <v>167</v>
      </c>
      <c r="D28" s="39"/>
      <c r="E28" s="39"/>
      <c r="F28" s="39"/>
      <c r="G28" s="39"/>
      <c r="H28" s="39" t="s">
        <v>185</v>
      </c>
      <c r="I28" s="40"/>
      <c r="M28" s="203">
        <v>15847</v>
      </c>
      <c r="N28" s="111"/>
      <c r="O28" s="216">
        <f>O27-M28</f>
        <v>0</v>
      </c>
    </row>
    <row r="29" spans="1:16" ht="15.75">
      <c r="A29" s="117"/>
      <c r="H29" s="40"/>
      <c r="M29" s="197">
        <f>M28-M27</f>
        <v>4726</v>
      </c>
      <c r="N29" s="217">
        <f>M29/11</f>
        <v>429.63636363636363</v>
      </c>
      <c r="O29" s="42"/>
    </row>
    <row r="30" spans="1:16">
      <c r="A30" s="117"/>
      <c r="H30" s="132"/>
    </row>
    <row r="31" spans="1:16">
      <c r="A31" s="117"/>
      <c r="H31" s="132"/>
    </row>
    <row r="32" spans="1:16" ht="12.75" customHeight="1">
      <c r="A32" s="117"/>
      <c r="H32" s="133"/>
    </row>
    <row r="33" spans="1:9" ht="15.75">
      <c r="A33" s="117"/>
      <c r="C33" s="113" t="s">
        <v>94</v>
      </c>
      <c r="D33" s="113"/>
      <c r="E33" s="113"/>
      <c r="F33" s="113"/>
      <c r="G33" s="113"/>
      <c r="H33" s="113" t="s">
        <v>95</v>
      </c>
    </row>
    <row r="34" spans="1:9">
      <c r="A34" s="117"/>
    </row>
    <row r="35" spans="1:9" ht="15.75">
      <c r="A35" s="117"/>
      <c r="C35" s="134"/>
      <c r="H35" s="112"/>
    </row>
    <row r="36" spans="1:9" ht="15.75">
      <c r="H36" s="40"/>
      <c r="I36" s="40"/>
    </row>
  </sheetData>
  <mergeCells count="14">
    <mergeCell ref="A26:C26"/>
    <mergeCell ref="A27:I27"/>
    <mergeCell ref="A7:A8"/>
    <mergeCell ref="B7:B8"/>
    <mergeCell ref="C7:C8"/>
    <mergeCell ref="D7:G7"/>
    <mergeCell ref="I7:I8"/>
    <mergeCell ref="H7:H8"/>
    <mergeCell ref="A5:I5"/>
    <mergeCell ref="A4:I4"/>
    <mergeCell ref="A1:D1"/>
    <mergeCell ref="F1:I1"/>
    <mergeCell ref="A2:D2"/>
    <mergeCell ref="F2:I2"/>
  </mergeCells>
  <phoneticPr fontId="57" type="noConversion"/>
  <pageMargins left="0.33" right="0.21" top="0.28000000000000003" bottom="0.3" header="0.2" footer="0.22"/>
  <pageSetup paperSize="9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11"/>
  <sheetViews>
    <sheetView workbookViewId="0">
      <selection activeCell="U14" sqref="U14"/>
    </sheetView>
  </sheetViews>
  <sheetFormatPr defaultColWidth="9.375" defaultRowHeight="12.75"/>
  <cols>
    <col min="1" max="1" width="4.375" style="77" customWidth="1"/>
    <col min="2" max="2" width="9.375" style="77" customWidth="1"/>
    <col min="3" max="6" width="5.75" style="77" customWidth="1"/>
    <col min="7" max="7" width="5.25" style="77" customWidth="1"/>
    <col min="8" max="8" width="5.375" style="77" bestFit="1" customWidth="1"/>
    <col min="9" max="9" width="5.25" style="77" bestFit="1" customWidth="1"/>
    <col min="10" max="10" width="5.375" style="77" bestFit="1" customWidth="1"/>
    <col min="11" max="11" width="5.25" style="77" bestFit="1" customWidth="1"/>
    <col min="12" max="12" width="5.875" style="77" bestFit="1" customWidth="1"/>
    <col min="13" max="13" width="5.25" style="77" bestFit="1" customWidth="1"/>
    <col min="14" max="14" width="5.75" style="77" bestFit="1" customWidth="1"/>
    <col min="15" max="15" width="7.75" style="77" bestFit="1" customWidth="1"/>
    <col min="16" max="16" width="5.25" style="77" bestFit="1" customWidth="1"/>
    <col min="17" max="17" width="5.75" style="77" customWidth="1"/>
    <col min="18" max="18" width="6.625" style="77" bestFit="1" customWidth="1"/>
    <col min="19" max="19" width="6.375" style="77" customWidth="1"/>
    <col min="20" max="20" width="6" style="77" customWidth="1"/>
    <col min="21" max="21" width="4.375" style="77" bestFit="1" customWidth="1"/>
    <col min="22" max="23" width="7" style="77" customWidth="1"/>
    <col min="24" max="24" width="7.25" style="77" customWidth="1"/>
    <col min="25" max="25" width="12.75" style="77" customWidth="1"/>
    <col min="26" max="26" width="3.625" style="77" hidden="1" customWidth="1"/>
    <col min="27" max="27" width="3.375" style="161" customWidth="1"/>
    <col min="28" max="29" width="3.375" style="77" customWidth="1"/>
    <col min="30" max="16384" width="9.375" style="77"/>
  </cols>
  <sheetData>
    <row r="1" spans="1:31" s="75" customFormat="1" ht="15.75">
      <c r="A1" s="4427" t="s">
        <v>0</v>
      </c>
      <c r="B1" s="4427"/>
      <c r="C1" s="4427"/>
      <c r="D1" s="4427"/>
      <c r="E1" s="4427"/>
      <c r="F1" s="4427"/>
      <c r="G1" s="4427"/>
      <c r="H1" s="4427"/>
      <c r="AA1" s="160"/>
    </row>
    <row r="2" spans="1:31" ht="15.75">
      <c r="A2" s="4428" t="s">
        <v>114</v>
      </c>
      <c r="B2" s="4428"/>
      <c r="C2" s="4428"/>
      <c r="D2" s="4428"/>
      <c r="E2" s="4428"/>
      <c r="F2" s="4428"/>
      <c r="G2" s="4428"/>
      <c r="H2" s="4428"/>
    </row>
    <row r="3" spans="1:31" ht="15.75">
      <c r="A3" s="76"/>
      <c r="B3" s="76"/>
      <c r="C3" s="76"/>
      <c r="D3" s="76"/>
      <c r="E3" s="76"/>
      <c r="F3" s="76"/>
    </row>
    <row r="4" spans="1:31" ht="18.75">
      <c r="A4" s="4433" t="s">
        <v>115</v>
      </c>
      <c r="B4" s="4433"/>
      <c r="C4" s="4433"/>
      <c r="D4" s="4433"/>
      <c r="E4" s="4433"/>
      <c r="F4" s="4433"/>
      <c r="G4" s="4433"/>
      <c r="H4" s="4433"/>
      <c r="I4" s="4433"/>
      <c r="J4" s="4433"/>
      <c r="K4" s="4433"/>
      <c r="L4" s="4433"/>
      <c r="M4" s="4433"/>
      <c r="N4" s="4433"/>
      <c r="O4" s="4433"/>
      <c r="P4" s="4433"/>
      <c r="Q4" s="4433"/>
      <c r="R4" s="4433"/>
      <c r="S4" s="4433"/>
      <c r="T4" s="4433"/>
      <c r="U4" s="4433"/>
      <c r="V4" s="4433"/>
      <c r="W4" s="4433"/>
      <c r="X4" s="4433"/>
      <c r="Y4" s="4433"/>
      <c r="Z4" s="78"/>
      <c r="AA4" s="78"/>
      <c r="AB4" s="78"/>
    </row>
    <row r="5" spans="1:31" ht="16.5" customHeight="1">
      <c r="V5" s="4434"/>
      <c r="W5" s="4434"/>
      <c r="X5" s="4434"/>
      <c r="Y5" s="4434"/>
      <c r="Z5" s="79"/>
      <c r="AA5" s="162"/>
      <c r="AB5" s="79"/>
    </row>
    <row r="6" spans="1:31" ht="17.25" customHeight="1">
      <c r="A6" s="4429" t="s">
        <v>19</v>
      </c>
      <c r="B6" s="4429" t="s">
        <v>20</v>
      </c>
      <c r="C6" s="4430" t="s">
        <v>163</v>
      </c>
      <c r="D6" s="4429" t="s">
        <v>116</v>
      </c>
      <c r="E6" s="4429"/>
      <c r="F6" s="4429"/>
      <c r="G6" s="4439" t="s">
        <v>117</v>
      </c>
      <c r="H6" s="4439"/>
      <c r="I6" s="4439"/>
      <c r="J6" s="4439"/>
      <c r="K6" s="4439"/>
      <c r="L6" s="4439"/>
      <c r="M6" s="4439"/>
      <c r="N6" s="4439"/>
      <c r="O6" s="4439"/>
      <c r="P6" s="4439"/>
      <c r="Q6" s="4439"/>
      <c r="R6" s="4439"/>
      <c r="S6" s="4439"/>
      <c r="T6" s="4439"/>
      <c r="U6" s="4439"/>
      <c r="V6" s="4439"/>
      <c r="W6" s="4439"/>
      <c r="X6" s="4435" t="s">
        <v>118</v>
      </c>
      <c r="Y6" s="4435" t="s">
        <v>224</v>
      </c>
      <c r="Z6" s="80"/>
      <c r="AA6" s="163"/>
      <c r="AB6" s="80"/>
    </row>
    <row r="7" spans="1:31" ht="15">
      <c r="A7" s="4429"/>
      <c r="B7" s="4429"/>
      <c r="C7" s="4431"/>
      <c r="D7" s="4429"/>
      <c r="E7" s="4429"/>
      <c r="F7" s="4429"/>
      <c r="G7" s="4435" t="s">
        <v>119</v>
      </c>
      <c r="H7" s="4435" t="s">
        <v>120</v>
      </c>
      <c r="I7" s="4435"/>
      <c r="J7" s="4435" t="s">
        <v>121</v>
      </c>
      <c r="K7" s="4435"/>
      <c r="L7" s="4435" t="s">
        <v>122</v>
      </c>
      <c r="M7" s="4435"/>
      <c r="N7" s="4435"/>
      <c r="O7" s="4435" t="s">
        <v>123</v>
      </c>
      <c r="P7" s="4435"/>
      <c r="Q7" s="4435"/>
      <c r="R7" s="4435"/>
      <c r="S7" s="4435" t="s">
        <v>124</v>
      </c>
      <c r="T7" s="4435" t="s">
        <v>125</v>
      </c>
      <c r="U7" s="4435" t="s">
        <v>126</v>
      </c>
      <c r="V7" s="4435" t="s">
        <v>127</v>
      </c>
      <c r="W7" s="4435" t="s">
        <v>128</v>
      </c>
      <c r="X7" s="4435"/>
      <c r="Y7" s="4435"/>
      <c r="Z7" s="80"/>
      <c r="AA7" s="163"/>
      <c r="AB7" s="80"/>
    </row>
    <row r="8" spans="1:31" ht="62.25" customHeight="1">
      <c r="A8" s="4429"/>
      <c r="B8" s="4429"/>
      <c r="C8" s="4431"/>
      <c r="D8" s="4429"/>
      <c r="E8" s="4429"/>
      <c r="F8" s="4429"/>
      <c r="G8" s="4435"/>
      <c r="H8" s="205" t="s">
        <v>129</v>
      </c>
      <c r="I8" s="205" t="s">
        <v>130</v>
      </c>
      <c r="J8" s="206" t="s">
        <v>129</v>
      </c>
      <c r="K8" s="205" t="s">
        <v>130</v>
      </c>
      <c r="L8" s="205" t="s">
        <v>131</v>
      </c>
      <c r="M8" s="205" t="s">
        <v>132</v>
      </c>
      <c r="N8" s="205" t="s">
        <v>133</v>
      </c>
      <c r="O8" s="205" t="s">
        <v>134</v>
      </c>
      <c r="P8" s="206" t="s">
        <v>135</v>
      </c>
      <c r="Q8" s="205" t="s">
        <v>136</v>
      </c>
      <c r="R8" s="205" t="s">
        <v>137</v>
      </c>
      <c r="S8" s="4435"/>
      <c r="T8" s="4435"/>
      <c r="U8" s="4435"/>
      <c r="V8" s="4435"/>
      <c r="W8" s="4435"/>
      <c r="X8" s="4435"/>
      <c r="Y8" s="4435"/>
      <c r="Z8" s="80"/>
      <c r="AA8" s="163"/>
      <c r="AB8" s="80"/>
    </row>
    <row r="9" spans="1:31" ht="23.25" customHeight="1">
      <c r="A9" s="4429"/>
      <c r="B9" s="4429"/>
      <c r="C9" s="4432"/>
      <c r="D9" s="4429"/>
      <c r="E9" s="4429"/>
      <c r="F9" s="4429"/>
      <c r="G9" s="204" t="s">
        <v>138</v>
      </c>
      <c r="H9" s="114" t="s">
        <v>139</v>
      </c>
      <c r="I9" s="114" t="s">
        <v>139</v>
      </c>
      <c r="J9" s="114" t="s">
        <v>140</v>
      </c>
      <c r="K9" s="114" t="s">
        <v>140</v>
      </c>
      <c r="L9" s="114" t="s">
        <v>141</v>
      </c>
      <c r="M9" s="204"/>
      <c r="N9" s="204" t="s">
        <v>142</v>
      </c>
      <c r="O9" s="207"/>
      <c r="P9" s="208"/>
      <c r="Q9" s="209" t="s">
        <v>143</v>
      </c>
      <c r="R9" s="209"/>
      <c r="S9" s="210" t="s">
        <v>144</v>
      </c>
      <c r="T9" s="207"/>
      <c r="U9" s="211" t="s">
        <v>145</v>
      </c>
      <c r="V9" s="209"/>
      <c r="W9" s="205"/>
      <c r="X9" s="4435"/>
      <c r="Y9" s="4435"/>
      <c r="Z9" s="80"/>
      <c r="AA9" s="163"/>
      <c r="AB9" s="80"/>
    </row>
    <row r="10" spans="1:31" ht="18" customHeight="1">
      <c r="A10" s="4436" t="s">
        <v>146</v>
      </c>
      <c r="B10" s="4437"/>
      <c r="C10" s="4438"/>
      <c r="D10" s="212" t="s">
        <v>147</v>
      </c>
      <c r="E10" s="212" t="s">
        <v>148</v>
      </c>
      <c r="F10" s="212" t="s">
        <v>149</v>
      </c>
      <c r="G10" s="213">
        <v>1</v>
      </c>
      <c r="H10" s="213">
        <v>4</v>
      </c>
      <c r="I10" s="213">
        <v>2</v>
      </c>
      <c r="J10" s="213">
        <v>5</v>
      </c>
      <c r="K10" s="213">
        <v>3</v>
      </c>
      <c r="L10" s="213">
        <v>3</v>
      </c>
      <c r="M10" s="213">
        <v>2</v>
      </c>
      <c r="N10" s="213">
        <v>5</v>
      </c>
      <c r="O10" s="213">
        <v>1</v>
      </c>
      <c r="P10" s="213">
        <v>2</v>
      </c>
      <c r="Q10" s="213">
        <v>1</v>
      </c>
      <c r="R10" s="213">
        <v>1</v>
      </c>
      <c r="S10" s="213">
        <v>3</v>
      </c>
      <c r="T10" s="213">
        <v>5</v>
      </c>
      <c r="U10" s="213">
        <v>2</v>
      </c>
      <c r="V10" s="213">
        <v>2</v>
      </c>
      <c r="W10" s="213">
        <v>2</v>
      </c>
      <c r="X10" s="4435"/>
      <c r="Y10" s="4435"/>
      <c r="Z10" s="80"/>
      <c r="AA10" s="163"/>
      <c r="AB10" s="80"/>
    </row>
    <row r="11" spans="1:31" ht="14.25" customHeight="1">
      <c r="A11" s="4440">
        <v>1</v>
      </c>
      <c r="B11" s="4440" t="s">
        <v>100</v>
      </c>
      <c r="C11" s="4443"/>
      <c r="D11" s="81">
        <v>1</v>
      </c>
      <c r="E11" s="81">
        <v>1</v>
      </c>
      <c r="F11" s="81">
        <v>1.3</v>
      </c>
      <c r="G11" s="82"/>
      <c r="H11" s="81" t="s">
        <v>150</v>
      </c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3"/>
      <c r="X11" s="4443" t="s">
        <v>160</v>
      </c>
      <c r="Y11" s="4443"/>
      <c r="Z11" s="84">
        <f t="shared" ref="Z11:Z75" si="0">SUMIF(G11:W11,"X",$G$10:$W$10)</f>
        <v>4</v>
      </c>
      <c r="AA11" s="164">
        <f>SUM(Z11:Z15)</f>
        <v>4</v>
      </c>
      <c r="AB11" s="4455" t="str">
        <f>IF(AA11&gt;=21,"E",IF(AA11&gt;=16,"D",IF(AA11&gt;=11,"C",IF(AA11&gt;=6,"B","A"))))</f>
        <v>A</v>
      </c>
      <c r="AD11" s="77" t="s">
        <v>152</v>
      </c>
      <c r="AE11" s="77" t="s">
        <v>52</v>
      </c>
    </row>
    <row r="12" spans="1:31" ht="14.25" customHeight="1">
      <c r="A12" s="4441"/>
      <c r="B12" s="4441"/>
      <c r="C12" s="4444"/>
      <c r="D12" s="85">
        <v>1.3</v>
      </c>
      <c r="E12" s="85">
        <v>1.1000000000000001</v>
      </c>
      <c r="F12" s="85">
        <v>1.2</v>
      </c>
      <c r="G12" s="86"/>
      <c r="H12" s="87"/>
      <c r="I12" s="87"/>
      <c r="J12" s="87"/>
      <c r="K12" s="88"/>
      <c r="L12" s="87"/>
      <c r="M12" s="87"/>
      <c r="N12" s="87"/>
      <c r="O12" s="89"/>
      <c r="P12" s="85"/>
      <c r="Q12" s="85"/>
      <c r="R12" s="85"/>
      <c r="S12" s="85"/>
      <c r="T12" s="85"/>
      <c r="U12" s="85"/>
      <c r="V12" s="85"/>
      <c r="W12" s="85"/>
      <c r="X12" s="4444"/>
      <c r="Y12" s="4444"/>
      <c r="Z12" s="84">
        <f t="shared" si="0"/>
        <v>0</v>
      </c>
      <c r="AA12" s="164"/>
      <c r="AB12" s="4455"/>
      <c r="AD12" s="90" t="s">
        <v>153</v>
      </c>
      <c r="AE12" s="77" t="s">
        <v>92</v>
      </c>
    </row>
    <row r="13" spans="1:31" ht="14.25" customHeight="1">
      <c r="A13" s="4441"/>
      <c r="B13" s="4441"/>
      <c r="C13" s="4444"/>
      <c r="D13" s="85">
        <v>1.1000000000000001</v>
      </c>
      <c r="E13" s="85">
        <v>1.2</v>
      </c>
      <c r="F13" s="85">
        <v>1.3</v>
      </c>
      <c r="G13" s="86"/>
      <c r="H13" s="89"/>
      <c r="I13" s="85"/>
      <c r="J13" s="85"/>
      <c r="K13" s="85"/>
      <c r="L13" s="85"/>
      <c r="M13" s="85"/>
      <c r="N13" s="85"/>
      <c r="O13" s="87"/>
      <c r="P13" s="87"/>
      <c r="Q13" s="87"/>
      <c r="R13" s="87"/>
      <c r="S13" s="85"/>
      <c r="T13" s="85"/>
      <c r="U13" s="85"/>
      <c r="V13" s="85"/>
      <c r="W13" s="91"/>
      <c r="X13" s="4444"/>
      <c r="Y13" s="4444"/>
      <c r="Z13" s="84">
        <f t="shared" si="0"/>
        <v>0</v>
      </c>
      <c r="AA13" s="164"/>
      <c r="AB13" s="4455"/>
      <c r="AD13" s="92" t="s">
        <v>154</v>
      </c>
      <c r="AE13" s="77" t="s">
        <v>53</v>
      </c>
    </row>
    <row r="14" spans="1:31" ht="14.25" customHeight="1">
      <c r="A14" s="4441"/>
      <c r="B14" s="4441"/>
      <c r="C14" s="4444"/>
      <c r="D14" s="85">
        <v>1.3</v>
      </c>
      <c r="E14" s="85">
        <v>1.1000000000000001</v>
      </c>
      <c r="F14" s="85">
        <v>1.2</v>
      </c>
      <c r="G14" s="86"/>
      <c r="H14" s="87"/>
      <c r="I14" s="93"/>
      <c r="J14" s="87"/>
      <c r="K14" s="87"/>
      <c r="L14" s="87"/>
      <c r="M14" s="87"/>
      <c r="N14" s="87"/>
      <c r="O14" s="85"/>
      <c r="P14" s="85"/>
      <c r="Q14" s="85"/>
      <c r="R14" s="85"/>
      <c r="S14" s="85"/>
      <c r="T14" s="85"/>
      <c r="U14" s="85"/>
      <c r="V14" s="85"/>
      <c r="W14" s="85"/>
      <c r="X14" s="4444"/>
      <c r="Y14" s="4444"/>
      <c r="Z14" s="84">
        <f t="shared" si="0"/>
        <v>0</v>
      </c>
      <c r="AA14" s="164"/>
      <c r="AB14" s="4455"/>
      <c r="AD14" s="92" t="s">
        <v>155</v>
      </c>
      <c r="AE14" s="77" t="s">
        <v>93</v>
      </c>
    </row>
    <row r="15" spans="1:31" ht="14.25" customHeight="1">
      <c r="A15" s="4442"/>
      <c r="B15" s="4442"/>
      <c r="C15" s="4445"/>
      <c r="D15" s="94">
        <v>1.3</v>
      </c>
      <c r="E15" s="94">
        <v>1.1000000000000001</v>
      </c>
      <c r="F15" s="94">
        <v>1.2</v>
      </c>
      <c r="G15" s="95"/>
      <c r="H15" s="95"/>
      <c r="I15" s="95"/>
      <c r="J15" s="95"/>
      <c r="K15" s="95"/>
      <c r="L15" s="95"/>
      <c r="M15" s="95"/>
      <c r="N15" s="95"/>
      <c r="O15" s="96"/>
      <c r="P15" s="95"/>
      <c r="Q15" s="95"/>
      <c r="R15" s="95"/>
      <c r="S15" s="95"/>
      <c r="T15" s="96"/>
      <c r="U15" s="95"/>
      <c r="V15" s="95"/>
      <c r="W15" s="95"/>
      <c r="X15" s="4445"/>
      <c r="Y15" s="4445"/>
      <c r="Z15" s="84">
        <f t="shared" si="0"/>
        <v>0</v>
      </c>
      <c r="AA15" s="164"/>
      <c r="AB15" s="4455"/>
      <c r="AD15" s="92" t="s">
        <v>156</v>
      </c>
      <c r="AE15" s="77" t="s">
        <v>157</v>
      </c>
    </row>
    <row r="16" spans="1:31" ht="14.25" customHeight="1">
      <c r="A16" s="4440">
        <v>2</v>
      </c>
      <c r="B16" s="4440" t="s">
        <v>101</v>
      </c>
      <c r="C16" s="4443"/>
      <c r="D16" s="81">
        <v>1.1000000000000001</v>
      </c>
      <c r="E16" s="81">
        <v>1.2</v>
      </c>
      <c r="F16" s="81">
        <v>1.3</v>
      </c>
      <c r="G16" s="82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4446" t="s">
        <v>159</v>
      </c>
      <c r="Y16" s="4446"/>
      <c r="Z16" s="84">
        <f t="shared" si="0"/>
        <v>0</v>
      </c>
      <c r="AA16" s="164">
        <f>SUM(Z16:Z20)</f>
        <v>2</v>
      </c>
      <c r="AB16" s="4455" t="str">
        <f>IF(AA16&gt;=21,"E",IF(AA16&gt;=16,"D",IF(AA16&gt;=11,"C",IF(AA16&gt;=6,"B","A"))))</f>
        <v>A</v>
      </c>
    </row>
    <row r="17" spans="1:28" ht="14.25" customHeight="1">
      <c r="A17" s="4441"/>
      <c r="B17" s="4441"/>
      <c r="C17" s="4444"/>
      <c r="D17" s="85">
        <v>1.3</v>
      </c>
      <c r="E17" s="85">
        <v>1.1000000000000001</v>
      </c>
      <c r="F17" s="85">
        <v>1.2</v>
      </c>
      <c r="G17" s="9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98"/>
      <c r="X17" s="4447"/>
      <c r="Y17" s="4447"/>
      <c r="Z17" s="84">
        <f t="shared" si="0"/>
        <v>0</v>
      </c>
      <c r="AA17" s="164"/>
      <c r="AB17" s="4455"/>
    </row>
    <row r="18" spans="1:28" ht="14.25" customHeight="1">
      <c r="A18" s="4441"/>
      <c r="B18" s="4441"/>
      <c r="C18" s="4444"/>
      <c r="D18" s="85">
        <v>1.1000000000000001</v>
      </c>
      <c r="E18" s="85">
        <v>1.2</v>
      </c>
      <c r="F18" s="85">
        <v>1.3</v>
      </c>
      <c r="G18" s="97"/>
      <c r="H18" s="87"/>
      <c r="I18" s="93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93"/>
      <c r="X18" s="4447"/>
      <c r="Y18" s="4447"/>
      <c r="Z18" s="84">
        <f t="shared" si="0"/>
        <v>0</v>
      </c>
      <c r="AA18" s="164"/>
      <c r="AB18" s="4455"/>
    </row>
    <row r="19" spans="1:28" ht="14.25" customHeight="1">
      <c r="A19" s="4441"/>
      <c r="B19" s="4441"/>
      <c r="C19" s="4444"/>
      <c r="D19" s="85">
        <v>1.3</v>
      </c>
      <c r="E19" s="85">
        <v>1.1000000000000001</v>
      </c>
      <c r="F19" s="85">
        <v>1.2</v>
      </c>
      <c r="G19" s="9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93"/>
      <c r="X19" s="4447"/>
      <c r="Y19" s="4447"/>
      <c r="Z19" s="84">
        <f t="shared" si="0"/>
        <v>0</v>
      </c>
      <c r="AA19" s="164"/>
      <c r="AB19" s="4455"/>
    </row>
    <row r="20" spans="1:28" ht="14.25" customHeight="1">
      <c r="A20" s="4442"/>
      <c r="B20" s="4442"/>
      <c r="C20" s="4445"/>
      <c r="D20" s="94">
        <v>1.2</v>
      </c>
      <c r="E20" s="94">
        <v>1.1000000000000001</v>
      </c>
      <c r="F20" s="94">
        <v>1.3</v>
      </c>
      <c r="G20" s="99"/>
      <c r="H20" s="95"/>
      <c r="I20" s="95"/>
      <c r="J20" s="95"/>
      <c r="K20" s="95"/>
      <c r="L20" s="95"/>
      <c r="M20" s="95"/>
      <c r="N20" s="95"/>
      <c r="O20" s="95"/>
      <c r="P20" s="95" t="s">
        <v>150</v>
      </c>
      <c r="Q20" s="95"/>
      <c r="R20" s="95"/>
      <c r="S20" s="95"/>
      <c r="T20" s="95"/>
      <c r="U20" s="95"/>
      <c r="V20" s="95"/>
      <c r="W20" s="95"/>
      <c r="X20" s="4448"/>
      <c r="Y20" s="4448"/>
      <c r="Z20" s="84">
        <f t="shared" si="0"/>
        <v>2</v>
      </c>
      <c r="AA20" s="164"/>
      <c r="AB20" s="4455"/>
    </row>
    <row r="21" spans="1:28" ht="14.25" customHeight="1">
      <c r="A21" s="4440">
        <v>3</v>
      </c>
      <c r="B21" s="4440" t="s">
        <v>225</v>
      </c>
      <c r="C21" s="4443"/>
      <c r="D21" s="81">
        <v>1.1000000000000001</v>
      </c>
      <c r="E21" s="81">
        <v>1.2</v>
      </c>
      <c r="F21" s="81">
        <v>1.3</v>
      </c>
      <c r="G21" s="100"/>
      <c r="H21" s="100"/>
      <c r="I21" s="100"/>
      <c r="J21" s="100"/>
      <c r="K21" s="101" t="s">
        <v>150</v>
      </c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2"/>
      <c r="X21" s="4446" t="s">
        <v>206</v>
      </c>
      <c r="Y21" s="4446"/>
      <c r="Z21" s="84">
        <f t="shared" si="0"/>
        <v>3</v>
      </c>
      <c r="AA21" s="164">
        <f>SUM(Z21:Z25)</f>
        <v>7</v>
      </c>
      <c r="AB21" s="4455" t="str">
        <f>IF(AA21&gt;=21,"E",IF(AA21&gt;=16,"D",IF(AA21&gt;=11,"C",IF(AA21&gt;=6,"B","A"))))</f>
        <v>B</v>
      </c>
    </row>
    <row r="22" spans="1:28" ht="14.25" customHeight="1">
      <c r="A22" s="4441"/>
      <c r="B22" s="4441"/>
      <c r="C22" s="4444"/>
      <c r="D22" s="85">
        <v>1.3</v>
      </c>
      <c r="E22" s="85">
        <v>1.1000000000000001</v>
      </c>
      <c r="F22" s="85">
        <v>1.2</v>
      </c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4447"/>
      <c r="Y22" s="4447"/>
      <c r="Z22" s="84">
        <f t="shared" si="0"/>
        <v>0</v>
      </c>
      <c r="AA22" s="164"/>
      <c r="AB22" s="4455"/>
    </row>
    <row r="23" spans="1:28" ht="14.25" customHeight="1">
      <c r="A23" s="4441"/>
      <c r="B23" s="4441"/>
      <c r="C23" s="4444"/>
      <c r="D23" s="85">
        <v>1.1000000000000001</v>
      </c>
      <c r="E23" s="85">
        <v>1.2</v>
      </c>
      <c r="F23" s="85">
        <v>1.3</v>
      </c>
      <c r="G23" s="87"/>
      <c r="H23" s="87"/>
      <c r="I23" s="93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4447"/>
      <c r="Y23" s="4447"/>
      <c r="Z23" s="84">
        <f t="shared" si="0"/>
        <v>0</v>
      </c>
      <c r="AA23" s="164"/>
      <c r="AB23" s="4455"/>
    </row>
    <row r="24" spans="1:28" ht="14.25" customHeight="1">
      <c r="A24" s="4441"/>
      <c r="B24" s="4441"/>
      <c r="C24" s="4444"/>
      <c r="D24" s="85">
        <v>1.3</v>
      </c>
      <c r="E24" s="85">
        <v>1.1000000000000001</v>
      </c>
      <c r="F24" s="85">
        <v>1.2</v>
      </c>
      <c r="G24" s="87"/>
      <c r="H24" s="87" t="s">
        <v>150</v>
      </c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4447"/>
      <c r="Y24" s="4447"/>
      <c r="Z24" s="84">
        <f t="shared" si="0"/>
        <v>4</v>
      </c>
      <c r="AA24" s="164"/>
      <c r="AB24" s="4455"/>
    </row>
    <row r="25" spans="1:28" ht="14.25" customHeight="1">
      <c r="A25" s="4442"/>
      <c r="B25" s="4442"/>
      <c r="C25" s="4445"/>
      <c r="D25" s="94">
        <v>1.2</v>
      </c>
      <c r="E25" s="94">
        <v>1.1000000000000001</v>
      </c>
      <c r="F25" s="94">
        <v>1.3</v>
      </c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4448"/>
      <c r="Y25" s="4448"/>
      <c r="Z25" s="84">
        <f t="shared" si="0"/>
        <v>0</v>
      </c>
      <c r="AA25" s="164"/>
      <c r="AB25" s="4455"/>
    </row>
    <row r="26" spans="1:28" ht="14.25" customHeight="1">
      <c r="A26" s="4440">
        <v>4</v>
      </c>
      <c r="B26" s="4440" t="s">
        <v>102</v>
      </c>
      <c r="C26" s="4443"/>
      <c r="D26" s="81">
        <v>1.2</v>
      </c>
      <c r="E26" s="81">
        <v>1.3</v>
      </c>
      <c r="F26" s="81">
        <v>1.1000000000000001</v>
      </c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4446" t="s">
        <v>160</v>
      </c>
      <c r="Y26" s="4446"/>
      <c r="Z26" s="84">
        <f t="shared" si="0"/>
        <v>0</v>
      </c>
      <c r="AA26" s="164">
        <f>SUM(Z26:Z30)</f>
        <v>4</v>
      </c>
      <c r="AB26" s="4455" t="str">
        <f>IF(AA26&gt;=21,"E",IF(AA26&gt;=16,"D",IF(AA26&gt;=11,"C",IF(AA26&gt;=6,"B","A"))))</f>
        <v>A</v>
      </c>
    </row>
    <row r="27" spans="1:28" ht="14.25" customHeight="1">
      <c r="A27" s="4441"/>
      <c r="B27" s="4441"/>
      <c r="C27" s="4444"/>
      <c r="D27" s="85">
        <v>1.3</v>
      </c>
      <c r="E27" s="85">
        <v>1.1000000000000001</v>
      </c>
      <c r="F27" s="85">
        <v>1.2</v>
      </c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4447"/>
      <c r="Y27" s="4447"/>
      <c r="Z27" s="84">
        <f t="shared" si="0"/>
        <v>0</v>
      </c>
      <c r="AA27" s="164"/>
      <c r="AB27" s="4455"/>
    </row>
    <row r="28" spans="1:28" ht="14.25" customHeight="1">
      <c r="A28" s="4441"/>
      <c r="B28" s="4441"/>
      <c r="C28" s="4444"/>
      <c r="D28" s="85">
        <v>1.5</v>
      </c>
      <c r="E28" s="85">
        <v>2</v>
      </c>
      <c r="F28" s="85">
        <v>1</v>
      </c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4447"/>
      <c r="Y28" s="4447"/>
      <c r="Z28" s="84">
        <f t="shared" si="0"/>
        <v>0</v>
      </c>
      <c r="AA28" s="164"/>
      <c r="AB28" s="4455"/>
    </row>
    <row r="29" spans="1:28" ht="14.25" customHeight="1">
      <c r="A29" s="4441"/>
      <c r="B29" s="4441"/>
      <c r="C29" s="4444"/>
      <c r="D29" s="85">
        <v>1.2</v>
      </c>
      <c r="E29" s="85">
        <v>1.3</v>
      </c>
      <c r="F29" s="85">
        <v>1.1000000000000001</v>
      </c>
      <c r="G29" s="93"/>
      <c r="H29" s="93"/>
      <c r="I29" s="93"/>
      <c r="J29" s="93"/>
      <c r="K29" s="93" t="s">
        <v>150</v>
      </c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4447"/>
      <c r="Y29" s="4447"/>
      <c r="Z29" s="84">
        <f t="shared" si="0"/>
        <v>3</v>
      </c>
      <c r="AA29" s="164"/>
      <c r="AB29" s="4455"/>
    </row>
    <row r="30" spans="1:28" ht="14.25" customHeight="1">
      <c r="A30" s="4442"/>
      <c r="B30" s="4442"/>
      <c r="C30" s="4445"/>
      <c r="D30" s="94">
        <v>1.2</v>
      </c>
      <c r="E30" s="94">
        <v>1.1000000000000001</v>
      </c>
      <c r="F30" s="94">
        <v>1.3</v>
      </c>
      <c r="G30" s="96" t="s">
        <v>150</v>
      </c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4448"/>
      <c r="Y30" s="4448"/>
      <c r="Z30" s="84">
        <f t="shared" si="0"/>
        <v>1</v>
      </c>
      <c r="AA30" s="164"/>
      <c r="AB30" s="4455"/>
    </row>
    <row r="31" spans="1:28" ht="14.25" customHeight="1">
      <c r="A31" s="4440">
        <v>5</v>
      </c>
      <c r="B31" s="4440" t="s">
        <v>103</v>
      </c>
      <c r="C31" s="4443"/>
      <c r="D31" s="81">
        <v>1.2</v>
      </c>
      <c r="E31" s="81">
        <v>1.3</v>
      </c>
      <c r="F31" s="81">
        <v>1.1000000000000001</v>
      </c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4446" t="s">
        <v>158</v>
      </c>
      <c r="Y31" s="4446"/>
      <c r="Z31" s="84">
        <f t="shared" si="0"/>
        <v>0</v>
      </c>
      <c r="AA31" s="164">
        <f>SUM(Z31:Z35)</f>
        <v>3</v>
      </c>
      <c r="AB31" s="4455" t="str">
        <f>IF(AA31&gt;=21,"E",IF(AA31&gt;=16,"D",IF(AA31&gt;=11,"C",IF(AA31&gt;=6,"B","A"))))</f>
        <v>A</v>
      </c>
    </row>
    <row r="32" spans="1:28" ht="14.25" customHeight="1">
      <c r="A32" s="4441"/>
      <c r="B32" s="4441"/>
      <c r="C32" s="4444"/>
      <c r="D32" s="85">
        <v>1.3</v>
      </c>
      <c r="E32" s="85">
        <v>1.1000000000000001</v>
      </c>
      <c r="F32" s="85">
        <v>1.2</v>
      </c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4447"/>
      <c r="Y32" s="4447"/>
      <c r="Z32" s="84">
        <f t="shared" si="0"/>
        <v>0</v>
      </c>
      <c r="AA32" s="164"/>
      <c r="AB32" s="4455"/>
    </row>
    <row r="33" spans="1:28" ht="14.25" customHeight="1">
      <c r="A33" s="4441"/>
      <c r="B33" s="4441"/>
      <c r="C33" s="4444"/>
      <c r="D33" s="85">
        <v>1.3</v>
      </c>
      <c r="E33" s="85">
        <v>1.2</v>
      </c>
      <c r="F33" s="85">
        <v>1.1000000000000001</v>
      </c>
      <c r="G33" s="93"/>
      <c r="H33" s="93"/>
      <c r="I33" s="93"/>
      <c r="J33" s="93"/>
      <c r="K33" s="93"/>
      <c r="L33" s="93"/>
      <c r="M33" s="93"/>
      <c r="N33" s="93"/>
      <c r="O33" s="93" t="s">
        <v>150</v>
      </c>
      <c r="P33" s="93"/>
      <c r="Q33" s="93"/>
      <c r="R33" s="93"/>
      <c r="S33" s="93"/>
      <c r="T33" s="93"/>
      <c r="U33" s="93"/>
      <c r="V33" s="93"/>
      <c r="W33" s="93"/>
      <c r="X33" s="4447"/>
      <c r="Y33" s="4447"/>
      <c r="Z33" s="84">
        <f t="shared" si="0"/>
        <v>1</v>
      </c>
      <c r="AA33" s="164"/>
      <c r="AB33" s="4455"/>
    </row>
    <row r="34" spans="1:28" ht="14.25" customHeight="1">
      <c r="A34" s="4441"/>
      <c r="B34" s="4441"/>
      <c r="C34" s="4444"/>
      <c r="D34" s="85">
        <v>1.2</v>
      </c>
      <c r="E34" s="85">
        <v>1.3</v>
      </c>
      <c r="F34" s="85">
        <v>1.1000000000000001</v>
      </c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4447"/>
      <c r="Y34" s="4447"/>
      <c r="Z34" s="84">
        <f t="shared" si="0"/>
        <v>0</v>
      </c>
      <c r="AA34" s="164"/>
      <c r="AB34" s="4455"/>
    </row>
    <row r="35" spans="1:28" ht="14.25" customHeight="1">
      <c r="A35" s="4442"/>
      <c r="B35" s="4442"/>
      <c r="C35" s="4445"/>
      <c r="D35" s="94">
        <v>1.2</v>
      </c>
      <c r="E35" s="94">
        <v>1.1000000000000001</v>
      </c>
      <c r="F35" s="94">
        <v>1.3</v>
      </c>
      <c r="G35" s="96"/>
      <c r="H35" s="96"/>
      <c r="I35" s="96"/>
      <c r="J35" s="96"/>
      <c r="K35" s="96"/>
      <c r="L35" s="96"/>
      <c r="M35" s="96"/>
      <c r="N35" s="96"/>
      <c r="O35" s="96"/>
      <c r="P35" s="96" t="s">
        <v>150</v>
      </c>
      <c r="Q35" s="96"/>
      <c r="R35" s="96"/>
      <c r="S35" s="96"/>
      <c r="T35" s="96"/>
      <c r="U35" s="96"/>
      <c r="V35" s="96"/>
      <c r="W35" s="96"/>
      <c r="X35" s="4448"/>
      <c r="Y35" s="4448"/>
      <c r="Z35" s="84">
        <f t="shared" si="0"/>
        <v>2</v>
      </c>
      <c r="AA35" s="164"/>
      <c r="AB35" s="4455"/>
    </row>
    <row r="36" spans="1:28" ht="41.25" customHeight="1">
      <c r="A36" s="219"/>
      <c r="B36" s="219"/>
      <c r="C36" s="219"/>
      <c r="D36" s="219"/>
      <c r="E36" s="219"/>
      <c r="F36" s="219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  <c r="X36" s="192"/>
      <c r="Y36" s="192"/>
      <c r="Z36" s="84"/>
      <c r="AA36" s="164"/>
      <c r="AB36" s="191"/>
    </row>
    <row r="37" spans="1:28" ht="14.25" customHeight="1">
      <c r="A37" s="4440">
        <v>6</v>
      </c>
      <c r="B37" s="4440" t="s">
        <v>104</v>
      </c>
      <c r="C37" s="4443"/>
      <c r="D37" s="81">
        <v>0.3</v>
      </c>
      <c r="E37" s="81">
        <v>1.5</v>
      </c>
      <c r="F37" s="81">
        <v>1.3</v>
      </c>
      <c r="G37" s="101"/>
      <c r="H37" s="101" t="s">
        <v>150</v>
      </c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4446" t="s">
        <v>209</v>
      </c>
      <c r="Y37" s="4446"/>
      <c r="Z37" s="84">
        <f t="shared" si="0"/>
        <v>4</v>
      </c>
      <c r="AA37" s="164">
        <f>SUM(Z37:Z41)</f>
        <v>9</v>
      </c>
      <c r="AB37" s="4455" t="str">
        <f>IF(AA37&gt;=21,"E",IF(AA37&gt;=16,"D",IF(AA37&gt;=11,"C",IF(AA37&gt;=6,"B","A"))))</f>
        <v>B</v>
      </c>
    </row>
    <row r="38" spans="1:28" ht="14.25" customHeight="1">
      <c r="A38" s="4441"/>
      <c r="B38" s="4441"/>
      <c r="C38" s="4444"/>
      <c r="D38" s="85">
        <v>0.6</v>
      </c>
      <c r="E38" s="85">
        <v>0.9</v>
      </c>
      <c r="F38" s="85">
        <v>0.6</v>
      </c>
      <c r="G38" s="93"/>
      <c r="H38" s="93"/>
      <c r="I38" s="93" t="s">
        <v>150</v>
      </c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4447"/>
      <c r="Y38" s="4447"/>
      <c r="Z38" s="84">
        <f t="shared" si="0"/>
        <v>2</v>
      </c>
      <c r="AA38" s="164"/>
      <c r="AB38" s="4455"/>
    </row>
    <row r="39" spans="1:28" ht="14.25" customHeight="1">
      <c r="A39" s="4441"/>
      <c r="B39" s="4441"/>
      <c r="C39" s="4444"/>
      <c r="D39" s="85">
        <v>0.5</v>
      </c>
      <c r="E39" s="85">
        <v>1</v>
      </c>
      <c r="F39" s="85">
        <v>1.4</v>
      </c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4447"/>
      <c r="Y39" s="4447"/>
      <c r="Z39" s="84">
        <f t="shared" si="0"/>
        <v>0</v>
      </c>
      <c r="AA39" s="164"/>
      <c r="AB39" s="4455"/>
    </row>
    <row r="40" spans="1:28" ht="14.25" customHeight="1">
      <c r="A40" s="4441"/>
      <c r="B40" s="4441"/>
      <c r="C40" s="4444"/>
      <c r="D40" s="85">
        <v>1</v>
      </c>
      <c r="E40" s="85">
        <v>1.3</v>
      </c>
      <c r="F40" s="85">
        <v>1.3</v>
      </c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4447"/>
      <c r="Y40" s="4447"/>
      <c r="Z40" s="84">
        <f t="shared" si="0"/>
        <v>0</v>
      </c>
      <c r="AA40" s="164"/>
      <c r="AB40" s="4455"/>
    </row>
    <row r="41" spans="1:28" ht="14.25" customHeight="1">
      <c r="A41" s="4442"/>
      <c r="B41" s="4442"/>
      <c r="C41" s="4445"/>
      <c r="D41" s="94">
        <v>1.5</v>
      </c>
      <c r="E41" s="94">
        <v>1.8</v>
      </c>
      <c r="F41" s="94">
        <v>1.3</v>
      </c>
      <c r="G41" s="96"/>
      <c r="H41" s="96"/>
      <c r="I41" s="96"/>
      <c r="J41" s="96"/>
      <c r="K41" s="96" t="s">
        <v>150</v>
      </c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4448"/>
      <c r="Y41" s="4448"/>
      <c r="Z41" s="84">
        <f t="shared" si="0"/>
        <v>3</v>
      </c>
      <c r="AA41" s="164"/>
      <c r="AB41" s="4455"/>
    </row>
    <row r="42" spans="1:28" ht="14.25" customHeight="1">
      <c r="A42" s="4440">
        <v>7</v>
      </c>
      <c r="B42" s="4440" t="s">
        <v>198</v>
      </c>
      <c r="C42" s="4443"/>
      <c r="D42" s="81">
        <v>1.1000000000000001</v>
      </c>
      <c r="E42" s="81">
        <v>1.5</v>
      </c>
      <c r="F42" s="81">
        <v>1.2</v>
      </c>
      <c r="G42" s="101"/>
      <c r="H42" s="101" t="s">
        <v>150</v>
      </c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4446" t="s">
        <v>151</v>
      </c>
      <c r="Y42" s="4446"/>
      <c r="Z42" s="84">
        <f t="shared" si="0"/>
        <v>4</v>
      </c>
      <c r="AA42" s="164">
        <f>SUM(Z42:Z46)</f>
        <v>8</v>
      </c>
      <c r="AB42" s="4455" t="str">
        <f>IF(AA42&gt;=21,"E",IF(AA42&gt;=16,"D",IF(AA42&gt;=11,"C",IF(AA42&gt;=6,"B","A"))))</f>
        <v>B</v>
      </c>
    </row>
    <row r="43" spans="1:28" ht="14.25" customHeight="1">
      <c r="A43" s="4441"/>
      <c r="B43" s="4441"/>
      <c r="C43" s="4444"/>
      <c r="D43" s="85">
        <v>1.2</v>
      </c>
      <c r="E43" s="85">
        <v>1.3</v>
      </c>
      <c r="F43" s="85">
        <v>1.5</v>
      </c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4447"/>
      <c r="Y43" s="4447"/>
      <c r="Z43" s="84">
        <f t="shared" si="0"/>
        <v>0</v>
      </c>
      <c r="AA43" s="164"/>
      <c r="AB43" s="4455"/>
    </row>
    <row r="44" spans="1:28" ht="14.25" customHeight="1">
      <c r="A44" s="4441"/>
      <c r="B44" s="4441"/>
      <c r="C44" s="4444"/>
      <c r="D44" s="85">
        <v>1</v>
      </c>
      <c r="E44" s="85">
        <v>1</v>
      </c>
      <c r="F44" s="85">
        <v>0.5</v>
      </c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4447"/>
      <c r="Y44" s="4447"/>
      <c r="Z44" s="84">
        <f t="shared" si="0"/>
        <v>0</v>
      </c>
      <c r="AA44" s="164"/>
      <c r="AB44" s="4455"/>
    </row>
    <row r="45" spans="1:28" ht="14.25" customHeight="1">
      <c r="A45" s="4441"/>
      <c r="B45" s="4441"/>
      <c r="C45" s="4444"/>
      <c r="D45" s="85">
        <v>0.6</v>
      </c>
      <c r="E45" s="85">
        <v>1.5</v>
      </c>
      <c r="F45" s="85">
        <v>1</v>
      </c>
      <c r="G45" s="93" t="s">
        <v>150</v>
      </c>
      <c r="H45" s="93"/>
      <c r="I45" s="93"/>
      <c r="J45" s="93"/>
      <c r="K45" s="93"/>
      <c r="L45" s="93"/>
      <c r="M45" s="93"/>
      <c r="N45" s="93"/>
      <c r="O45" s="93"/>
      <c r="P45" s="93" t="s">
        <v>150</v>
      </c>
      <c r="Q45" s="93"/>
      <c r="R45" s="93"/>
      <c r="S45" s="93"/>
      <c r="T45" s="93"/>
      <c r="U45" s="93"/>
      <c r="V45" s="93"/>
      <c r="W45" s="93"/>
      <c r="X45" s="4447"/>
      <c r="Y45" s="4447"/>
      <c r="Z45" s="84">
        <f t="shared" si="0"/>
        <v>3</v>
      </c>
      <c r="AA45" s="164"/>
      <c r="AB45" s="4455"/>
    </row>
    <row r="46" spans="1:28" ht="14.25" customHeight="1">
      <c r="A46" s="4442"/>
      <c r="B46" s="4442"/>
      <c r="C46" s="4445"/>
      <c r="D46" s="94">
        <v>1.3</v>
      </c>
      <c r="E46" s="94">
        <v>1.1000000000000001</v>
      </c>
      <c r="F46" s="94">
        <v>1.2</v>
      </c>
      <c r="G46" s="96" t="s">
        <v>150</v>
      </c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4448"/>
      <c r="Y46" s="4448"/>
      <c r="Z46" s="84">
        <f t="shared" si="0"/>
        <v>1</v>
      </c>
      <c r="AA46" s="164"/>
      <c r="AB46" s="4455"/>
    </row>
    <row r="47" spans="1:28" ht="14.25" customHeight="1">
      <c r="A47" s="4440">
        <v>8</v>
      </c>
      <c r="B47" s="4440" t="s">
        <v>199</v>
      </c>
      <c r="C47" s="4443"/>
      <c r="D47" s="81">
        <v>1.2</v>
      </c>
      <c r="E47" s="81">
        <v>1.3</v>
      </c>
      <c r="F47" s="81">
        <v>1.1000000000000001</v>
      </c>
      <c r="G47" s="100"/>
      <c r="H47" s="100"/>
      <c r="I47" s="100"/>
      <c r="J47" s="101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4446" t="s">
        <v>208</v>
      </c>
      <c r="Y47" s="4446"/>
      <c r="Z47" s="84">
        <f t="shared" si="0"/>
        <v>0</v>
      </c>
      <c r="AA47" s="164">
        <f>SUM(Z47:Z51)</f>
        <v>5</v>
      </c>
      <c r="AB47" s="4455" t="str">
        <f>IF(AA47&gt;=21,"E",IF(AA47&gt;=16,"D",IF(AA47&gt;=11,"C",IF(AA47&gt;=6,"B","A"))))</f>
        <v>A</v>
      </c>
    </row>
    <row r="48" spans="1:28" ht="14.25" customHeight="1">
      <c r="A48" s="4441"/>
      <c r="B48" s="4441"/>
      <c r="C48" s="4444"/>
      <c r="D48" s="85">
        <v>1.2</v>
      </c>
      <c r="E48" s="85">
        <v>1.3</v>
      </c>
      <c r="F48" s="85">
        <v>1.1000000000000001</v>
      </c>
      <c r="G48" s="87"/>
      <c r="H48" s="93"/>
      <c r="I48" s="93"/>
      <c r="J48" s="93"/>
      <c r="K48" s="87"/>
      <c r="L48" s="87"/>
      <c r="M48" s="87"/>
      <c r="N48" s="87"/>
      <c r="O48" s="87" t="s">
        <v>150</v>
      </c>
      <c r="P48" s="87"/>
      <c r="Q48" s="87"/>
      <c r="R48" s="87"/>
      <c r="S48" s="87"/>
      <c r="T48" s="87"/>
      <c r="U48" s="87"/>
      <c r="V48" s="87"/>
      <c r="W48" s="87"/>
      <c r="X48" s="4447"/>
      <c r="Y48" s="4447"/>
      <c r="Z48" s="84">
        <f t="shared" si="0"/>
        <v>1</v>
      </c>
      <c r="AA48" s="164"/>
      <c r="AB48" s="4455"/>
    </row>
    <row r="49" spans="1:28" ht="14.25" customHeight="1">
      <c r="A49" s="4441"/>
      <c r="B49" s="4441"/>
      <c r="C49" s="4444"/>
      <c r="D49" s="85">
        <v>0.9</v>
      </c>
      <c r="E49" s="85">
        <v>1.2</v>
      </c>
      <c r="F49" s="85">
        <v>0.6</v>
      </c>
      <c r="G49" s="87"/>
      <c r="H49" s="93"/>
      <c r="I49" s="93" t="s">
        <v>150</v>
      </c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4447"/>
      <c r="Y49" s="4447"/>
      <c r="Z49" s="84">
        <f t="shared" si="0"/>
        <v>2</v>
      </c>
      <c r="AA49" s="164"/>
      <c r="AB49" s="4455"/>
    </row>
    <row r="50" spans="1:28" ht="14.25" customHeight="1">
      <c r="A50" s="4441"/>
      <c r="B50" s="4441"/>
      <c r="C50" s="4444"/>
      <c r="D50" s="85">
        <v>1.2</v>
      </c>
      <c r="E50" s="85">
        <v>1.1000000000000001</v>
      </c>
      <c r="F50" s="85">
        <v>1.3</v>
      </c>
      <c r="G50" s="87"/>
      <c r="H50" s="93"/>
      <c r="I50" s="93"/>
      <c r="J50" s="87"/>
      <c r="K50" s="87"/>
      <c r="L50" s="87"/>
      <c r="M50" s="87"/>
      <c r="N50" s="87"/>
      <c r="O50" s="87"/>
      <c r="P50" s="87" t="s">
        <v>150</v>
      </c>
      <c r="Q50" s="87"/>
      <c r="R50" s="87"/>
      <c r="S50" s="87"/>
      <c r="T50" s="87"/>
      <c r="U50" s="87"/>
      <c r="V50" s="87"/>
      <c r="W50" s="87"/>
      <c r="X50" s="4447"/>
      <c r="Y50" s="4447"/>
      <c r="Z50" s="84">
        <f t="shared" si="0"/>
        <v>2</v>
      </c>
      <c r="AA50" s="164"/>
      <c r="AB50" s="4455"/>
    </row>
    <row r="51" spans="1:28" ht="14.25" customHeight="1">
      <c r="A51" s="4442"/>
      <c r="B51" s="4442"/>
      <c r="C51" s="4445"/>
      <c r="D51" s="94">
        <v>1.3</v>
      </c>
      <c r="E51" s="94">
        <v>1.2</v>
      </c>
      <c r="F51" s="94">
        <v>1.1000000000000001</v>
      </c>
      <c r="G51" s="95"/>
      <c r="H51" s="96"/>
      <c r="I51" s="96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4448"/>
      <c r="Y51" s="4448"/>
      <c r="Z51" s="84">
        <f t="shared" si="0"/>
        <v>0</v>
      </c>
      <c r="AA51" s="164"/>
      <c r="AB51" s="4455"/>
    </row>
    <row r="52" spans="1:28" ht="14.25" customHeight="1">
      <c r="A52" s="4440">
        <v>9</v>
      </c>
      <c r="B52" s="4443" t="s">
        <v>106</v>
      </c>
      <c r="C52" s="4443"/>
      <c r="D52" s="81">
        <v>1</v>
      </c>
      <c r="E52" s="81">
        <v>0.6</v>
      </c>
      <c r="F52" s="81">
        <v>0.5</v>
      </c>
      <c r="G52" s="101" t="s">
        <v>150</v>
      </c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4446" t="s">
        <v>209</v>
      </c>
      <c r="Y52" s="4446"/>
      <c r="Z52" s="84">
        <f t="shared" si="0"/>
        <v>1</v>
      </c>
      <c r="AA52" s="164">
        <f>SUM(Z52:Z56)</f>
        <v>9</v>
      </c>
      <c r="AB52" s="4455" t="str">
        <f>IF(AA52&gt;=21,"E",IF(AA52&gt;=16,"D",IF(AA52&gt;=11,"C",IF(AA52&gt;=6,"B","A"))))</f>
        <v>B</v>
      </c>
    </row>
    <row r="53" spans="1:28" ht="14.25" customHeight="1">
      <c r="A53" s="4441"/>
      <c r="B53" s="4444"/>
      <c r="C53" s="4444"/>
      <c r="D53" s="85">
        <v>0.5</v>
      </c>
      <c r="E53" s="85">
        <v>1.3</v>
      </c>
      <c r="F53" s="85">
        <v>0.5</v>
      </c>
      <c r="G53" s="93"/>
      <c r="H53" s="93" t="s">
        <v>150</v>
      </c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4447"/>
      <c r="Y53" s="4447"/>
      <c r="Z53" s="84">
        <f t="shared" si="0"/>
        <v>4</v>
      </c>
      <c r="AA53" s="164"/>
      <c r="AB53" s="4455"/>
    </row>
    <row r="54" spans="1:28" ht="14.25" customHeight="1">
      <c r="A54" s="4441"/>
      <c r="B54" s="4444"/>
      <c r="C54" s="4444"/>
      <c r="D54" s="85">
        <v>1.1000000000000001</v>
      </c>
      <c r="E54" s="85">
        <v>1.2</v>
      </c>
      <c r="F54" s="85">
        <v>1.3</v>
      </c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4447"/>
      <c r="Y54" s="4447"/>
      <c r="Z54" s="84">
        <f t="shared" si="0"/>
        <v>0</v>
      </c>
      <c r="AA54" s="164"/>
      <c r="AB54" s="4455"/>
    </row>
    <row r="55" spans="1:28" ht="14.25" customHeight="1">
      <c r="A55" s="4441"/>
      <c r="B55" s="4444"/>
      <c r="C55" s="4444"/>
      <c r="D55" s="85">
        <v>0.5</v>
      </c>
      <c r="E55" s="85">
        <v>1.5</v>
      </c>
      <c r="F55" s="85">
        <v>1.2</v>
      </c>
      <c r="G55" s="93"/>
      <c r="H55" s="93" t="s">
        <v>150</v>
      </c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4447"/>
      <c r="Y55" s="4447"/>
      <c r="Z55" s="84">
        <f t="shared" si="0"/>
        <v>4</v>
      </c>
      <c r="AA55" s="164"/>
      <c r="AB55" s="4455"/>
    </row>
    <row r="56" spans="1:28" ht="14.25" customHeight="1">
      <c r="A56" s="4442"/>
      <c r="B56" s="4445"/>
      <c r="C56" s="4445"/>
      <c r="D56" s="94">
        <v>1.3</v>
      </c>
      <c r="E56" s="94">
        <v>1.2</v>
      </c>
      <c r="F56" s="94">
        <v>1.1000000000000001</v>
      </c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4448"/>
      <c r="Y56" s="4448"/>
      <c r="Z56" s="84">
        <f t="shared" si="0"/>
        <v>0</v>
      </c>
      <c r="AA56" s="164"/>
      <c r="AB56" s="4455"/>
    </row>
    <row r="57" spans="1:28" ht="13.5" customHeight="1">
      <c r="A57" s="4440">
        <v>10</v>
      </c>
      <c r="B57" s="4443" t="s">
        <v>200</v>
      </c>
      <c r="C57" s="4443"/>
      <c r="D57" s="81">
        <v>1.2</v>
      </c>
      <c r="E57" s="81">
        <v>1.1000000000000001</v>
      </c>
      <c r="F57" s="81">
        <v>1.3</v>
      </c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4446" t="s">
        <v>209</v>
      </c>
      <c r="Y57" s="4446"/>
      <c r="Z57" s="84">
        <f t="shared" si="0"/>
        <v>0</v>
      </c>
      <c r="AA57" s="164">
        <f>SUM(Z57:Z61)</f>
        <v>9</v>
      </c>
      <c r="AB57" s="4455" t="str">
        <f>IF(AA57&gt;=21,"E",IF(AA57&gt;=16,"D",IF(AA57&gt;=11,"C",IF(AA57&gt;=6,"B","A"))))</f>
        <v>B</v>
      </c>
    </row>
    <row r="58" spans="1:28" ht="13.5" customHeight="1">
      <c r="A58" s="4441"/>
      <c r="B58" s="4444"/>
      <c r="C58" s="4444"/>
      <c r="D58" s="85">
        <v>1.2</v>
      </c>
      <c r="E58" s="85">
        <v>1.3</v>
      </c>
      <c r="F58" s="85">
        <v>1.1000000000000001</v>
      </c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4447"/>
      <c r="Y58" s="4447"/>
      <c r="Z58" s="84">
        <f t="shared" si="0"/>
        <v>0</v>
      </c>
      <c r="AA58" s="164"/>
      <c r="AB58" s="4455"/>
    </row>
    <row r="59" spans="1:28" ht="13.5" customHeight="1">
      <c r="A59" s="4441"/>
      <c r="B59" s="4444"/>
      <c r="C59" s="4444"/>
      <c r="D59" s="85">
        <v>0.5</v>
      </c>
      <c r="E59" s="85">
        <v>1.2</v>
      </c>
      <c r="F59" s="85">
        <v>0.5</v>
      </c>
      <c r="G59" s="93"/>
      <c r="H59" s="93" t="s">
        <v>150</v>
      </c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4447"/>
      <c r="Y59" s="4447"/>
      <c r="Z59" s="84">
        <f t="shared" si="0"/>
        <v>4</v>
      </c>
      <c r="AA59" s="164"/>
      <c r="AB59" s="4455"/>
    </row>
    <row r="60" spans="1:28" ht="13.5" customHeight="1">
      <c r="A60" s="4441"/>
      <c r="B60" s="4444"/>
      <c r="C60" s="4444"/>
      <c r="D60" s="85">
        <v>0.5</v>
      </c>
      <c r="E60" s="85">
        <v>0.5</v>
      </c>
      <c r="F60" s="85">
        <v>1.2</v>
      </c>
      <c r="G60" s="93"/>
      <c r="H60" s="93" t="s">
        <v>150</v>
      </c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4447"/>
      <c r="Y60" s="4447"/>
      <c r="Z60" s="84">
        <f t="shared" si="0"/>
        <v>4</v>
      </c>
      <c r="AA60" s="164"/>
      <c r="AB60" s="4455"/>
    </row>
    <row r="61" spans="1:28" ht="13.5" customHeight="1">
      <c r="A61" s="4442"/>
      <c r="B61" s="4445"/>
      <c r="C61" s="4445"/>
      <c r="D61" s="94">
        <v>1</v>
      </c>
      <c r="E61" s="94">
        <v>1.2</v>
      </c>
      <c r="F61" s="94">
        <v>0.8</v>
      </c>
      <c r="G61" s="96" t="s">
        <v>150</v>
      </c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4448"/>
      <c r="Y61" s="4448"/>
      <c r="Z61" s="84">
        <f t="shared" si="0"/>
        <v>1</v>
      </c>
      <c r="AA61" s="164"/>
      <c r="AB61" s="4455"/>
    </row>
    <row r="62" spans="1:28" ht="13.5" customHeight="1">
      <c r="A62" s="4440">
        <v>11</v>
      </c>
      <c r="B62" s="4443" t="s">
        <v>108</v>
      </c>
      <c r="C62" s="4443"/>
      <c r="D62" s="81">
        <v>1.2</v>
      </c>
      <c r="E62" s="81">
        <v>1.1000000000000001</v>
      </c>
      <c r="F62" s="81">
        <v>1.3</v>
      </c>
      <c r="G62" s="101"/>
      <c r="H62" s="101"/>
      <c r="I62" s="101"/>
      <c r="J62" s="101"/>
      <c r="K62" s="101"/>
      <c r="L62" s="101"/>
      <c r="M62" s="101"/>
      <c r="N62" s="101"/>
      <c r="O62" s="101"/>
      <c r="P62" s="101" t="s">
        <v>150</v>
      </c>
      <c r="Q62" s="101"/>
      <c r="R62" s="101"/>
      <c r="S62" s="101"/>
      <c r="T62" s="101"/>
      <c r="U62" s="101"/>
      <c r="V62" s="101"/>
      <c r="W62" s="101"/>
      <c r="X62" s="4446" t="s">
        <v>160</v>
      </c>
      <c r="Y62" s="4446"/>
      <c r="Z62" s="84">
        <f t="shared" si="0"/>
        <v>2</v>
      </c>
      <c r="AA62" s="164">
        <f>SUM(Z62:Z66)</f>
        <v>4</v>
      </c>
      <c r="AB62" s="4455" t="str">
        <f>IF(AA62&gt;=21,"E",IF(AA62&gt;=16,"D",IF(AA62&gt;=11,"C",IF(AA62&gt;=6,"B","A"))))</f>
        <v>A</v>
      </c>
    </row>
    <row r="63" spans="1:28" ht="13.5" customHeight="1">
      <c r="A63" s="4441"/>
      <c r="B63" s="4444"/>
      <c r="C63" s="4444"/>
      <c r="D63" s="85">
        <v>1</v>
      </c>
      <c r="E63" s="85">
        <v>0.6</v>
      </c>
      <c r="F63" s="85">
        <v>1.1000000000000001</v>
      </c>
      <c r="G63" s="93" t="s">
        <v>150</v>
      </c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4447"/>
      <c r="Y63" s="4447"/>
      <c r="Z63" s="84">
        <f t="shared" si="0"/>
        <v>1</v>
      </c>
      <c r="AA63" s="164"/>
      <c r="AB63" s="4455"/>
    </row>
    <row r="64" spans="1:28" ht="13.5" customHeight="1">
      <c r="A64" s="4441"/>
      <c r="B64" s="4444"/>
      <c r="C64" s="4444"/>
      <c r="D64" s="85">
        <v>1.1000000000000001</v>
      </c>
      <c r="E64" s="85">
        <v>1.2</v>
      </c>
      <c r="F64" s="85">
        <v>1.3</v>
      </c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4447"/>
      <c r="Y64" s="4447"/>
      <c r="Z64" s="84">
        <f t="shared" si="0"/>
        <v>0</v>
      </c>
      <c r="AA64" s="164"/>
      <c r="AB64" s="4455"/>
    </row>
    <row r="65" spans="1:28" ht="13.5" customHeight="1">
      <c r="A65" s="4441"/>
      <c r="B65" s="4444"/>
      <c r="C65" s="4444"/>
      <c r="D65" s="85">
        <v>1.3</v>
      </c>
      <c r="E65" s="85">
        <v>1.1000000000000001</v>
      </c>
      <c r="F65" s="85">
        <v>1.2</v>
      </c>
      <c r="G65" s="93"/>
      <c r="H65" s="93"/>
      <c r="I65" s="93"/>
      <c r="J65" s="93"/>
      <c r="K65" s="93"/>
      <c r="L65" s="93"/>
      <c r="M65" s="93"/>
      <c r="N65" s="93"/>
      <c r="O65" s="93" t="s">
        <v>150</v>
      </c>
      <c r="P65" s="93"/>
      <c r="Q65" s="93"/>
      <c r="R65" s="93"/>
      <c r="S65" s="93"/>
      <c r="T65" s="93"/>
      <c r="U65" s="93"/>
      <c r="V65" s="93"/>
      <c r="W65" s="93"/>
      <c r="X65" s="4447"/>
      <c r="Y65" s="4447"/>
      <c r="Z65" s="84">
        <f t="shared" si="0"/>
        <v>1</v>
      </c>
      <c r="AA65" s="164"/>
      <c r="AB65" s="4455"/>
    </row>
    <row r="66" spans="1:28" ht="13.5" customHeight="1">
      <c r="A66" s="4442"/>
      <c r="B66" s="4445"/>
      <c r="C66" s="4445"/>
      <c r="D66" s="94">
        <v>1.3</v>
      </c>
      <c r="E66" s="94">
        <v>1.2</v>
      </c>
      <c r="F66" s="94">
        <v>1.1000000000000001</v>
      </c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4448"/>
      <c r="Y66" s="4448"/>
      <c r="Z66" s="84">
        <f t="shared" si="0"/>
        <v>0</v>
      </c>
      <c r="AA66" s="164"/>
      <c r="AB66" s="4455"/>
    </row>
    <row r="67" spans="1:28" ht="13.5" customHeight="1">
      <c r="A67" s="4440">
        <v>12</v>
      </c>
      <c r="B67" s="4443" t="s">
        <v>201</v>
      </c>
      <c r="C67" s="4443"/>
      <c r="D67" s="81">
        <v>1.2</v>
      </c>
      <c r="E67" s="81">
        <v>1.1000000000000001</v>
      </c>
      <c r="F67" s="81">
        <v>0.5</v>
      </c>
      <c r="G67" s="101" t="s">
        <v>150</v>
      </c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4446" t="s">
        <v>160</v>
      </c>
      <c r="Y67" s="4446"/>
      <c r="Z67" s="84">
        <f t="shared" si="0"/>
        <v>1</v>
      </c>
      <c r="AA67" s="164">
        <f>SUM(Z67:Z71)</f>
        <v>4</v>
      </c>
      <c r="AB67" s="4455" t="str">
        <f>IF(AA67&gt;=21,"E",IF(AA67&gt;=16,"D",IF(AA67&gt;=11,"C",IF(AA67&gt;=6,"B","A"))))</f>
        <v>A</v>
      </c>
    </row>
    <row r="68" spans="1:28" ht="13.5" customHeight="1">
      <c r="A68" s="4441"/>
      <c r="B68" s="4444"/>
      <c r="C68" s="4444"/>
      <c r="D68" s="85">
        <v>1.2</v>
      </c>
      <c r="E68" s="85">
        <v>1.3</v>
      </c>
      <c r="F68" s="85">
        <v>1.1000000000000001</v>
      </c>
      <c r="G68" s="93"/>
      <c r="H68" s="93"/>
      <c r="I68" s="93"/>
      <c r="J68" s="93"/>
      <c r="K68" s="93"/>
      <c r="L68" s="93"/>
      <c r="M68" s="93"/>
      <c r="N68" s="93"/>
      <c r="O68" s="93"/>
      <c r="P68" s="93" t="s">
        <v>150</v>
      </c>
      <c r="Q68" s="93"/>
      <c r="R68" s="93"/>
      <c r="S68" s="93"/>
      <c r="T68" s="93"/>
      <c r="U68" s="93"/>
      <c r="V68" s="93"/>
      <c r="W68" s="93"/>
      <c r="X68" s="4447"/>
      <c r="Y68" s="4447"/>
      <c r="Z68" s="84">
        <f t="shared" si="0"/>
        <v>2</v>
      </c>
      <c r="AA68" s="164"/>
      <c r="AB68" s="4455"/>
    </row>
    <row r="69" spans="1:28" ht="13.5" customHeight="1">
      <c r="A69" s="4441"/>
      <c r="B69" s="4444"/>
      <c r="C69" s="4444"/>
      <c r="D69" s="85">
        <v>1.1000000000000001</v>
      </c>
      <c r="E69" s="85">
        <v>1.2</v>
      </c>
      <c r="F69" s="85">
        <v>1.3</v>
      </c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4447"/>
      <c r="Y69" s="4447"/>
      <c r="Z69" s="84">
        <f t="shared" si="0"/>
        <v>0</v>
      </c>
      <c r="AA69" s="164"/>
      <c r="AB69" s="4455"/>
    </row>
    <row r="70" spans="1:28" ht="13.5" customHeight="1">
      <c r="A70" s="4441"/>
      <c r="B70" s="4444"/>
      <c r="C70" s="4444"/>
      <c r="D70" s="85">
        <v>1.3</v>
      </c>
      <c r="E70" s="85">
        <v>0.6</v>
      </c>
      <c r="F70" s="85">
        <v>1.2</v>
      </c>
      <c r="G70" s="93" t="s">
        <v>150</v>
      </c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4447"/>
      <c r="Y70" s="4447"/>
      <c r="Z70" s="84">
        <f t="shared" si="0"/>
        <v>1</v>
      </c>
      <c r="AA70" s="164"/>
      <c r="AB70" s="4455"/>
    </row>
    <row r="71" spans="1:28" ht="13.5" customHeight="1">
      <c r="A71" s="4442"/>
      <c r="B71" s="4445"/>
      <c r="C71" s="4445"/>
      <c r="D71" s="94">
        <v>1.3</v>
      </c>
      <c r="E71" s="94">
        <v>1.2</v>
      </c>
      <c r="F71" s="94">
        <v>1.1000000000000001</v>
      </c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4448"/>
      <c r="Y71" s="4448"/>
      <c r="Z71" s="84">
        <f t="shared" si="0"/>
        <v>0</v>
      </c>
      <c r="AA71" s="164"/>
      <c r="AB71" s="4455"/>
    </row>
    <row r="72" spans="1:28" ht="14.25" customHeight="1">
      <c r="A72" s="4440">
        <v>13</v>
      </c>
      <c r="B72" s="4443" t="s">
        <v>109</v>
      </c>
      <c r="C72" s="4443"/>
      <c r="D72" s="81">
        <v>1.7</v>
      </c>
      <c r="E72" s="81">
        <v>1.6</v>
      </c>
      <c r="F72" s="81">
        <v>1.7</v>
      </c>
      <c r="G72" s="101"/>
      <c r="H72" s="101"/>
      <c r="I72" s="101"/>
      <c r="J72" s="101"/>
      <c r="K72" s="101" t="s">
        <v>150</v>
      </c>
      <c r="L72" s="101"/>
      <c r="M72" s="101"/>
      <c r="N72" s="101"/>
      <c r="O72" s="101"/>
      <c r="P72" s="101"/>
      <c r="Q72" s="101" t="s">
        <v>150</v>
      </c>
      <c r="R72" s="101"/>
      <c r="S72" s="101"/>
      <c r="T72" s="101"/>
      <c r="U72" s="101"/>
      <c r="V72" s="101"/>
      <c r="W72" s="101"/>
      <c r="X72" s="4446" t="s">
        <v>208</v>
      </c>
      <c r="Y72" s="4446"/>
      <c r="Z72" s="84">
        <f t="shared" si="0"/>
        <v>4</v>
      </c>
      <c r="AA72" s="164">
        <f>SUM(Z72:Z76)</f>
        <v>5</v>
      </c>
      <c r="AB72" s="4455" t="str">
        <f>IF(AA72&gt;=21,"E",IF(AA72&gt;=16,"D",IF(AA72&gt;=11,"C",IF(AA72&gt;=6,"B","A"))))</f>
        <v>A</v>
      </c>
    </row>
    <row r="73" spans="1:28" ht="14.25" customHeight="1">
      <c r="A73" s="4441"/>
      <c r="B73" s="4444"/>
      <c r="C73" s="4444"/>
      <c r="D73" s="85">
        <v>1.2</v>
      </c>
      <c r="E73" s="85">
        <v>1.3</v>
      </c>
      <c r="F73" s="85">
        <v>1.1000000000000001</v>
      </c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4447"/>
      <c r="Y73" s="4447"/>
      <c r="Z73" s="84">
        <f t="shared" si="0"/>
        <v>0</v>
      </c>
      <c r="AA73" s="164"/>
      <c r="AB73" s="4455"/>
    </row>
    <row r="74" spans="1:28" ht="14.25" customHeight="1">
      <c r="A74" s="4441"/>
      <c r="B74" s="4444"/>
      <c r="C74" s="4444"/>
      <c r="D74" s="85">
        <v>1</v>
      </c>
      <c r="E74" s="85">
        <v>1.5</v>
      </c>
      <c r="F74" s="85">
        <v>1.2</v>
      </c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 t="s">
        <v>150</v>
      </c>
      <c r="R74" s="93"/>
      <c r="S74" s="93"/>
      <c r="T74" s="93"/>
      <c r="U74" s="93"/>
      <c r="V74" s="93"/>
      <c r="W74" s="93"/>
      <c r="X74" s="4447"/>
      <c r="Y74" s="4447"/>
      <c r="Z74" s="84">
        <f t="shared" si="0"/>
        <v>1</v>
      </c>
      <c r="AA74" s="164"/>
      <c r="AB74" s="4455"/>
    </row>
    <row r="75" spans="1:28" ht="14.25" customHeight="1">
      <c r="A75" s="4441"/>
      <c r="B75" s="4444"/>
      <c r="C75" s="4444"/>
      <c r="D75" s="85">
        <v>1.3</v>
      </c>
      <c r="E75" s="85">
        <v>1.1000000000000001</v>
      </c>
      <c r="F75" s="85">
        <v>1.2</v>
      </c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4447"/>
      <c r="Y75" s="4447"/>
      <c r="Z75" s="84">
        <f t="shared" si="0"/>
        <v>0</v>
      </c>
      <c r="AA75" s="164"/>
      <c r="AB75" s="4455"/>
    </row>
    <row r="76" spans="1:28" ht="14.25" customHeight="1">
      <c r="A76" s="4442"/>
      <c r="B76" s="4445"/>
      <c r="C76" s="4445"/>
      <c r="D76" s="94">
        <v>1.3</v>
      </c>
      <c r="E76" s="94">
        <v>1.2</v>
      </c>
      <c r="F76" s="94">
        <v>1.1000000000000001</v>
      </c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4448"/>
      <c r="Y76" s="4448"/>
      <c r="Z76" s="84">
        <f t="shared" ref="Z76:Z96" si="1">SUMIF(G76:W76,"X",$G$10:$W$10)</f>
        <v>0</v>
      </c>
      <c r="AA76" s="164"/>
      <c r="AB76" s="4455"/>
    </row>
    <row r="77" spans="1:28" ht="14.25" customHeight="1">
      <c r="A77" s="4440">
        <v>14</v>
      </c>
      <c r="B77" s="4443" t="s">
        <v>202</v>
      </c>
      <c r="C77" s="4443"/>
      <c r="D77" s="81">
        <v>1.2</v>
      </c>
      <c r="E77" s="81">
        <v>1.1000000000000001</v>
      </c>
      <c r="F77" s="81">
        <v>1.3</v>
      </c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4446" t="s">
        <v>208</v>
      </c>
      <c r="Y77" s="4446"/>
      <c r="Z77" s="84">
        <f t="shared" si="1"/>
        <v>0</v>
      </c>
      <c r="AA77" s="164">
        <f>SUM(Z77:Z81)</f>
        <v>5</v>
      </c>
      <c r="AB77" s="4455" t="str">
        <f>IF(AA77&gt;=21,"E",IF(AA77&gt;=16,"D",IF(AA77&gt;=11,"C",IF(AA77&gt;=6,"B","A"))))</f>
        <v>A</v>
      </c>
    </row>
    <row r="78" spans="1:28" ht="14.25" customHeight="1">
      <c r="A78" s="4441"/>
      <c r="B78" s="4444"/>
      <c r="C78" s="4444"/>
      <c r="D78" s="85">
        <v>1.2</v>
      </c>
      <c r="E78" s="85">
        <v>1.3</v>
      </c>
      <c r="F78" s="85">
        <v>1.1000000000000001</v>
      </c>
      <c r="G78" s="93"/>
      <c r="H78" s="93"/>
      <c r="I78" s="93"/>
      <c r="J78" s="93"/>
      <c r="K78" s="93"/>
      <c r="L78" s="93"/>
      <c r="M78" s="93"/>
      <c r="N78" s="93"/>
      <c r="O78" s="93"/>
      <c r="P78" s="93" t="s">
        <v>150</v>
      </c>
      <c r="Q78" s="93"/>
      <c r="R78" s="93"/>
      <c r="S78" s="93"/>
      <c r="T78" s="93"/>
      <c r="U78" s="93"/>
      <c r="V78" s="93"/>
      <c r="W78" s="93"/>
      <c r="X78" s="4447"/>
      <c r="Y78" s="4447"/>
      <c r="Z78" s="84">
        <f t="shared" si="1"/>
        <v>2</v>
      </c>
      <c r="AA78" s="164"/>
      <c r="AB78" s="4455"/>
    </row>
    <row r="79" spans="1:28" ht="14.25" customHeight="1">
      <c r="A79" s="4441"/>
      <c r="B79" s="4444"/>
      <c r="C79" s="4444"/>
      <c r="D79" s="85">
        <v>1.5</v>
      </c>
      <c r="E79" s="85">
        <v>1.5</v>
      </c>
      <c r="F79" s="85">
        <v>1.6</v>
      </c>
      <c r="G79" s="93"/>
      <c r="H79" s="93"/>
      <c r="I79" s="93"/>
      <c r="J79" s="93"/>
      <c r="K79" s="93" t="s">
        <v>150</v>
      </c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4447"/>
      <c r="Y79" s="4447"/>
      <c r="Z79" s="84">
        <f t="shared" si="1"/>
        <v>3</v>
      </c>
      <c r="AA79" s="164"/>
      <c r="AB79" s="4455"/>
    </row>
    <row r="80" spans="1:28" ht="14.25" customHeight="1">
      <c r="A80" s="4441"/>
      <c r="B80" s="4444"/>
      <c r="C80" s="4444"/>
      <c r="D80" s="85">
        <v>1.3</v>
      </c>
      <c r="E80" s="85">
        <v>1.1000000000000001</v>
      </c>
      <c r="F80" s="85">
        <v>1.2</v>
      </c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4447"/>
      <c r="Y80" s="4447"/>
      <c r="Z80" s="84">
        <f t="shared" si="1"/>
        <v>0</v>
      </c>
      <c r="AA80" s="164"/>
      <c r="AB80" s="4455"/>
    </row>
    <row r="81" spans="1:28" ht="14.25" customHeight="1">
      <c r="A81" s="4442"/>
      <c r="B81" s="4445"/>
      <c r="C81" s="4445"/>
      <c r="D81" s="94">
        <v>1.3</v>
      </c>
      <c r="E81" s="94">
        <v>1.2</v>
      </c>
      <c r="F81" s="94">
        <v>1.1000000000000001</v>
      </c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4448"/>
      <c r="Y81" s="4448"/>
      <c r="Z81" s="84">
        <f t="shared" si="1"/>
        <v>0</v>
      </c>
      <c r="AA81" s="164"/>
      <c r="AB81" s="4455"/>
    </row>
    <row r="82" spans="1:28" ht="14.25" customHeight="1">
      <c r="A82" s="4440">
        <v>15</v>
      </c>
      <c r="B82" s="4443" t="s">
        <v>110</v>
      </c>
      <c r="C82" s="4443"/>
      <c r="D82" s="81">
        <v>1.2</v>
      </c>
      <c r="E82" s="81">
        <v>1.1000000000000001</v>
      </c>
      <c r="F82" s="81">
        <v>1.3</v>
      </c>
      <c r="G82" s="101"/>
      <c r="H82" s="101"/>
      <c r="I82" s="101"/>
      <c r="J82" s="101"/>
      <c r="K82" s="101"/>
      <c r="L82" s="101"/>
      <c r="M82" s="101"/>
      <c r="N82" s="101"/>
      <c r="O82" s="101" t="s">
        <v>150</v>
      </c>
      <c r="P82" s="101"/>
      <c r="Q82" s="101"/>
      <c r="R82" s="101"/>
      <c r="S82" s="101"/>
      <c r="T82" s="101"/>
      <c r="U82" s="101"/>
      <c r="V82" s="101"/>
      <c r="W82" s="101"/>
      <c r="X82" s="4446" t="s">
        <v>208</v>
      </c>
      <c r="Y82" s="4446"/>
      <c r="Z82" s="84">
        <f t="shared" si="1"/>
        <v>1</v>
      </c>
      <c r="AA82" s="164">
        <f>SUM(Z82:Z86)</f>
        <v>5</v>
      </c>
      <c r="AB82" s="4455" t="str">
        <f>IF(AA82&gt;=21,"E",IF(AA82&gt;=16,"D",IF(AA82&gt;=11,"C",IF(AA82&gt;=6,"B","A"))))</f>
        <v>A</v>
      </c>
    </row>
    <row r="83" spans="1:28" ht="14.25" customHeight="1">
      <c r="A83" s="4441"/>
      <c r="B83" s="4444"/>
      <c r="C83" s="4444"/>
      <c r="D83" s="85">
        <v>1.2</v>
      </c>
      <c r="E83" s="85">
        <v>0.6</v>
      </c>
      <c r="F83" s="85">
        <v>1.1000000000000001</v>
      </c>
      <c r="G83" s="93" t="s">
        <v>150</v>
      </c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4447"/>
      <c r="Y83" s="4447"/>
      <c r="Z83" s="84">
        <f t="shared" si="1"/>
        <v>1</v>
      </c>
      <c r="AA83" s="164"/>
      <c r="AB83" s="4455"/>
    </row>
    <row r="84" spans="1:28" ht="14.25" customHeight="1">
      <c r="A84" s="4441"/>
      <c r="B84" s="4444"/>
      <c r="C84" s="4444"/>
      <c r="D84" s="85">
        <v>1.1000000000000001</v>
      </c>
      <c r="E84" s="85">
        <v>1.2</v>
      </c>
      <c r="F84" s="85">
        <v>1.3</v>
      </c>
      <c r="G84" s="93"/>
      <c r="H84" s="93"/>
      <c r="I84" s="93"/>
      <c r="J84" s="93"/>
      <c r="K84" s="93"/>
      <c r="L84" s="93"/>
      <c r="M84" s="93"/>
      <c r="N84" s="93"/>
      <c r="O84" s="93"/>
      <c r="P84" s="93" t="s">
        <v>150</v>
      </c>
      <c r="Q84" s="93"/>
      <c r="R84" s="93"/>
      <c r="S84" s="93"/>
      <c r="T84" s="93"/>
      <c r="U84" s="93"/>
      <c r="V84" s="93"/>
      <c r="W84" s="93"/>
      <c r="X84" s="4447"/>
      <c r="Y84" s="4447"/>
      <c r="Z84" s="84">
        <f t="shared" si="1"/>
        <v>2</v>
      </c>
      <c r="AA84" s="164"/>
      <c r="AB84" s="4455"/>
    </row>
    <row r="85" spans="1:28" ht="14.25" customHeight="1">
      <c r="A85" s="4441"/>
      <c r="B85" s="4444"/>
      <c r="C85" s="4444"/>
      <c r="D85" s="85">
        <v>1.3</v>
      </c>
      <c r="E85" s="85">
        <v>1.1000000000000001</v>
      </c>
      <c r="F85" s="85">
        <v>1.2</v>
      </c>
      <c r="G85" s="93"/>
      <c r="H85" s="93"/>
      <c r="I85" s="93"/>
      <c r="J85" s="93"/>
      <c r="K85" s="93"/>
      <c r="L85" s="93"/>
      <c r="M85" s="93"/>
      <c r="N85" s="93"/>
      <c r="O85" s="93" t="s">
        <v>150</v>
      </c>
      <c r="P85" s="93"/>
      <c r="Q85" s="93"/>
      <c r="R85" s="93"/>
      <c r="S85" s="93"/>
      <c r="T85" s="93"/>
      <c r="U85" s="93"/>
      <c r="V85" s="93"/>
      <c r="W85" s="93"/>
      <c r="X85" s="4447"/>
      <c r="Y85" s="4447"/>
      <c r="Z85" s="84">
        <f t="shared" si="1"/>
        <v>1</v>
      </c>
      <c r="AA85" s="164"/>
      <c r="AB85" s="4455"/>
    </row>
    <row r="86" spans="1:28" ht="14.25" customHeight="1">
      <c r="A86" s="4442"/>
      <c r="B86" s="4445"/>
      <c r="C86" s="4445"/>
      <c r="D86" s="94">
        <v>1.3</v>
      </c>
      <c r="E86" s="94">
        <v>1.5</v>
      </c>
      <c r="F86" s="94">
        <v>2</v>
      </c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4448"/>
      <c r="Y86" s="4448"/>
      <c r="Z86" s="84">
        <f t="shared" si="1"/>
        <v>0</v>
      </c>
      <c r="AA86" s="164"/>
      <c r="AB86" s="4455"/>
    </row>
    <row r="87" spans="1:28" ht="14.25" customHeight="1">
      <c r="A87" s="4440">
        <v>16</v>
      </c>
      <c r="B87" s="4443" t="s">
        <v>111</v>
      </c>
      <c r="C87" s="4443"/>
      <c r="D87" s="81">
        <v>1.5</v>
      </c>
      <c r="E87" s="81">
        <v>1</v>
      </c>
      <c r="F87" s="81">
        <v>1.8</v>
      </c>
      <c r="G87" s="101"/>
      <c r="H87" s="101"/>
      <c r="I87" s="101"/>
      <c r="J87" s="101"/>
      <c r="K87" s="101" t="s">
        <v>150</v>
      </c>
      <c r="L87" s="101"/>
      <c r="M87" s="101"/>
      <c r="N87" s="101"/>
      <c r="O87" s="101"/>
      <c r="P87" s="101" t="s">
        <v>150</v>
      </c>
      <c r="Q87" s="101"/>
      <c r="R87" s="101"/>
      <c r="S87" s="101"/>
      <c r="T87" s="101"/>
      <c r="U87" s="101"/>
      <c r="V87" s="101"/>
      <c r="W87" s="101"/>
      <c r="X87" s="4446" t="s">
        <v>207</v>
      </c>
      <c r="Y87" s="4446"/>
      <c r="Z87" s="84">
        <f t="shared" si="1"/>
        <v>5</v>
      </c>
      <c r="AA87" s="164">
        <f>SUM(Z87:Z91)</f>
        <v>10</v>
      </c>
      <c r="AB87" s="4455" t="str">
        <f>IF(AA87&gt;=21,"E",IF(AA87&gt;=16,"D",IF(AA87&gt;=11,"C",IF(AA87&gt;=6,"B","A"))))</f>
        <v>B</v>
      </c>
    </row>
    <row r="88" spans="1:28" ht="14.25" customHeight="1">
      <c r="A88" s="4441"/>
      <c r="B88" s="4444"/>
      <c r="C88" s="4444"/>
      <c r="D88" s="85">
        <v>1.2</v>
      </c>
      <c r="E88" s="85">
        <v>2</v>
      </c>
      <c r="F88" s="85">
        <v>1</v>
      </c>
      <c r="G88" s="93"/>
      <c r="H88" s="93"/>
      <c r="I88" s="93"/>
      <c r="J88" s="93"/>
      <c r="K88" s="93"/>
      <c r="L88" s="93"/>
      <c r="M88" s="93"/>
      <c r="N88" s="93"/>
      <c r="O88" s="93"/>
      <c r="P88" s="93" t="s">
        <v>150</v>
      </c>
      <c r="Q88" s="93"/>
      <c r="R88" s="93"/>
      <c r="S88" s="93"/>
      <c r="T88" s="93"/>
      <c r="U88" s="93"/>
      <c r="V88" s="93"/>
      <c r="W88" s="93"/>
      <c r="X88" s="4447"/>
      <c r="Y88" s="4447"/>
      <c r="Z88" s="84">
        <f t="shared" si="1"/>
        <v>2</v>
      </c>
      <c r="AA88" s="164"/>
      <c r="AB88" s="4455"/>
    </row>
    <row r="89" spans="1:28" ht="14.25" customHeight="1">
      <c r="A89" s="4441"/>
      <c r="B89" s="4444"/>
      <c r="C89" s="4444"/>
      <c r="D89" s="85">
        <v>1.5</v>
      </c>
      <c r="E89" s="85">
        <v>1.6</v>
      </c>
      <c r="F89" s="85">
        <v>1.9</v>
      </c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4447"/>
      <c r="Y89" s="4447"/>
      <c r="Z89" s="84">
        <f t="shared" si="1"/>
        <v>0</v>
      </c>
      <c r="AA89" s="164"/>
      <c r="AB89" s="4455"/>
    </row>
    <row r="90" spans="1:28" ht="14.25" customHeight="1">
      <c r="A90" s="4441"/>
      <c r="B90" s="4444"/>
      <c r="C90" s="4444"/>
      <c r="D90" s="85">
        <v>1</v>
      </c>
      <c r="E90" s="85">
        <v>1.2</v>
      </c>
      <c r="F90" s="85">
        <v>0.7</v>
      </c>
      <c r="G90" s="93"/>
      <c r="H90" s="93"/>
      <c r="I90" s="93"/>
      <c r="J90" s="93"/>
      <c r="K90" s="93" t="s">
        <v>150</v>
      </c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4447"/>
      <c r="Y90" s="4447"/>
      <c r="Z90" s="84">
        <f t="shared" si="1"/>
        <v>3</v>
      </c>
      <c r="AA90" s="164"/>
      <c r="AB90" s="4455"/>
    </row>
    <row r="91" spans="1:28" ht="14.25" customHeight="1">
      <c r="A91" s="4442"/>
      <c r="B91" s="4445"/>
      <c r="C91" s="4445"/>
      <c r="D91" s="94">
        <v>1.3</v>
      </c>
      <c r="E91" s="94">
        <v>1.2</v>
      </c>
      <c r="F91" s="94">
        <v>1.1000000000000001</v>
      </c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4448"/>
      <c r="Y91" s="4448"/>
      <c r="Z91" s="84">
        <f t="shared" si="1"/>
        <v>0</v>
      </c>
      <c r="AA91" s="164"/>
      <c r="AB91" s="4455"/>
    </row>
    <row r="92" spans="1:28" ht="14.25" customHeight="1">
      <c r="A92" s="4440">
        <v>17</v>
      </c>
      <c r="B92" s="4443" t="s">
        <v>203</v>
      </c>
      <c r="C92" s="4443"/>
      <c r="D92" s="81">
        <v>1.2</v>
      </c>
      <c r="E92" s="81">
        <v>1.1000000000000001</v>
      </c>
      <c r="F92" s="81">
        <v>1.3</v>
      </c>
      <c r="G92" s="101"/>
      <c r="H92" s="101"/>
      <c r="I92" s="101"/>
      <c r="J92" s="101"/>
      <c r="K92" s="101" t="s">
        <v>150</v>
      </c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4446" t="s">
        <v>206</v>
      </c>
      <c r="Y92" s="4446"/>
      <c r="Z92" s="84">
        <f t="shared" si="1"/>
        <v>3</v>
      </c>
      <c r="AA92" s="164">
        <f>SUM(Z92:Z96)</f>
        <v>7</v>
      </c>
      <c r="AB92" s="4455" t="str">
        <f>IF(AA92&gt;=21,"E",IF(AA92&gt;=16,"D",IF(AA92&gt;=11,"C",IF(AA92&gt;=6,"B","A"))))</f>
        <v>B</v>
      </c>
    </row>
    <row r="93" spans="1:28" ht="14.25" customHeight="1">
      <c r="A93" s="4441"/>
      <c r="B93" s="4444"/>
      <c r="C93" s="4444"/>
      <c r="D93" s="85">
        <v>1.2</v>
      </c>
      <c r="E93" s="85">
        <v>1.3</v>
      </c>
      <c r="F93" s="85">
        <v>1.1000000000000001</v>
      </c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4447"/>
      <c r="Y93" s="4447"/>
      <c r="Z93" s="84">
        <f t="shared" si="1"/>
        <v>0</v>
      </c>
      <c r="AA93" s="164"/>
      <c r="AB93" s="4455"/>
    </row>
    <row r="94" spans="1:28" ht="14.25" customHeight="1">
      <c r="A94" s="4441"/>
      <c r="B94" s="4444"/>
      <c r="C94" s="4444"/>
      <c r="D94" s="85">
        <v>1.1000000000000001</v>
      </c>
      <c r="E94" s="85">
        <v>1.2</v>
      </c>
      <c r="F94" s="85">
        <v>1.3</v>
      </c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4447"/>
      <c r="Y94" s="4447"/>
      <c r="Z94" s="84">
        <f t="shared" si="1"/>
        <v>0</v>
      </c>
      <c r="AA94" s="164"/>
      <c r="AB94" s="4455"/>
    </row>
    <row r="95" spans="1:28" ht="14.25" customHeight="1">
      <c r="A95" s="4441"/>
      <c r="B95" s="4444"/>
      <c r="C95" s="4444"/>
      <c r="D95" s="85">
        <v>1.3</v>
      </c>
      <c r="E95" s="85">
        <v>1.1000000000000001</v>
      </c>
      <c r="F95" s="85">
        <v>1.2</v>
      </c>
      <c r="G95" s="93"/>
      <c r="H95" s="93" t="s">
        <v>150</v>
      </c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4447"/>
      <c r="Y95" s="4447"/>
      <c r="Z95" s="84">
        <f t="shared" si="1"/>
        <v>4</v>
      </c>
      <c r="AA95" s="164"/>
      <c r="AB95" s="4455"/>
    </row>
    <row r="96" spans="1:28" ht="14.25" customHeight="1">
      <c r="A96" s="4442"/>
      <c r="B96" s="4445"/>
      <c r="C96" s="4445"/>
      <c r="D96" s="94">
        <v>1.3</v>
      </c>
      <c r="E96" s="94">
        <v>1.2</v>
      </c>
      <c r="F96" s="94">
        <v>1.1000000000000001</v>
      </c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4448"/>
      <c r="Y96" s="4448"/>
      <c r="Z96" s="84">
        <f t="shared" si="1"/>
        <v>0</v>
      </c>
      <c r="AA96" s="164"/>
      <c r="AB96" s="4455"/>
    </row>
    <row r="98" spans="2:28" ht="17.25">
      <c r="T98" s="4456" t="s">
        <v>193</v>
      </c>
      <c r="U98" s="4456"/>
      <c r="V98" s="4456"/>
      <c r="W98" s="4456"/>
      <c r="X98" s="4456"/>
      <c r="Y98" s="4456"/>
      <c r="Z98" s="103"/>
      <c r="AA98" s="159"/>
      <c r="AB98" s="103"/>
    </row>
    <row r="99" spans="2:28" ht="17.25" customHeight="1">
      <c r="B99" s="4450" t="s">
        <v>192</v>
      </c>
      <c r="C99" s="4451"/>
      <c r="D99" s="4451"/>
      <c r="E99" s="4452"/>
      <c r="F99" s="104"/>
      <c r="H99" s="4453" t="s">
        <v>191</v>
      </c>
      <c r="I99" s="4453"/>
      <c r="J99" s="4453"/>
      <c r="K99" s="4453"/>
      <c r="L99" s="4453"/>
      <c r="M99" s="154"/>
      <c r="N99" s="4453" t="s">
        <v>161</v>
      </c>
      <c r="O99" s="4453"/>
      <c r="P99" s="4453"/>
      <c r="Q99" s="4453"/>
      <c r="R99" s="154"/>
      <c r="T99" s="4453" t="s">
        <v>162</v>
      </c>
      <c r="U99" s="4453"/>
      <c r="V99" s="4453"/>
      <c r="W99" s="4453"/>
      <c r="X99" s="4453"/>
      <c r="Y99" s="4453"/>
      <c r="Z99" s="105"/>
      <c r="AA99" s="105"/>
      <c r="AB99" s="105"/>
    </row>
    <row r="100" spans="2:28" ht="17.25" customHeight="1">
      <c r="B100" s="106" t="s">
        <v>113</v>
      </c>
      <c r="C100" s="106"/>
      <c r="D100" s="106" t="s">
        <v>52</v>
      </c>
      <c r="E100" s="110">
        <f>COUNTIF($AB$11:$AB$96,"A")</f>
        <v>10</v>
      </c>
      <c r="F100" s="104"/>
      <c r="H100" s="154"/>
      <c r="I100" s="154"/>
      <c r="J100" s="154"/>
      <c r="K100" s="154"/>
      <c r="L100" s="154"/>
    </row>
    <row r="101" spans="2:28" ht="17.25" customHeight="1">
      <c r="B101" s="107" t="s">
        <v>113</v>
      </c>
      <c r="C101" s="107"/>
      <c r="D101" s="107" t="s">
        <v>92</v>
      </c>
      <c r="E101" s="110">
        <f>COUNTIF($AB$11:$AB$96,"B")</f>
        <v>7</v>
      </c>
      <c r="F101" s="104"/>
      <c r="H101" s="154"/>
      <c r="I101" s="154"/>
      <c r="J101" s="154"/>
      <c r="K101" s="154"/>
      <c r="L101" s="154"/>
    </row>
    <row r="102" spans="2:28" ht="17.25" customHeight="1">
      <c r="B102" s="107" t="s">
        <v>113</v>
      </c>
      <c r="C102" s="107"/>
      <c r="D102" s="107" t="s">
        <v>53</v>
      </c>
      <c r="E102" s="110">
        <f>COUNTIF($AB$11:$AB$96,"C")</f>
        <v>0</v>
      </c>
      <c r="F102" s="104"/>
      <c r="H102" s="154"/>
      <c r="I102" s="154"/>
      <c r="J102" s="154"/>
      <c r="K102" s="154"/>
      <c r="L102" s="154"/>
    </row>
    <row r="103" spans="2:28" ht="17.25" customHeight="1">
      <c r="B103" s="107" t="s">
        <v>113</v>
      </c>
      <c r="C103" s="107"/>
      <c r="D103" s="107" t="s">
        <v>93</v>
      </c>
      <c r="E103" s="110">
        <f>COUNTIF($AB$11:$AB$96,"D")</f>
        <v>0</v>
      </c>
      <c r="F103" s="104"/>
      <c r="H103" s="154"/>
      <c r="I103" s="154"/>
      <c r="J103" s="154"/>
      <c r="K103" s="154"/>
      <c r="L103" s="154"/>
    </row>
    <row r="104" spans="2:28" ht="17.25" customHeight="1">
      <c r="B104" s="108" t="s">
        <v>113</v>
      </c>
      <c r="C104" s="108"/>
      <c r="D104" s="108" t="s">
        <v>157</v>
      </c>
      <c r="E104" s="110">
        <f>COUNTIF($AB$11:$AB$96,"E")</f>
        <v>0</v>
      </c>
      <c r="F104" s="104"/>
      <c r="H104" s="4454" t="s">
        <v>94</v>
      </c>
      <c r="I104" s="4454"/>
      <c r="J104" s="4454"/>
      <c r="K104" s="4454"/>
      <c r="L104" s="4454"/>
      <c r="M104" s="155"/>
      <c r="N104" s="4454" t="s">
        <v>96</v>
      </c>
      <c r="O104" s="4454"/>
      <c r="P104" s="4454"/>
      <c r="Q104" s="4454"/>
      <c r="R104" s="155"/>
      <c r="T104" s="4454" t="s">
        <v>98</v>
      </c>
      <c r="U104" s="4454"/>
      <c r="V104" s="4454"/>
      <c r="W104" s="4454"/>
      <c r="X104" s="4454"/>
      <c r="Y104" s="4454"/>
    </row>
    <row r="105" spans="2:28" ht="17.25" customHeight="1">
      <c r="B105" s="4449" t="s">
        <v>21</v>
      </c>
      <c r="C105" s="4449"/>
      <c r="D105" s="4449"/>
      <c r="E105" s="109">
        <f>SUM(E100:E104)</f>
        <v>17</v>
      </c>
      <c r="F105" s="104"/>
    </row>
    <row r="106" spans="2:28" ht="17.25" customHeight="1"/>
    <row r="107" spans="2:28" ht="17.25" customHeight="1"/>
    <row r="108" spans="2:28" ht="17.25" customHeight="1"/>
    <row r="109" spans="2:28" ht="17.25" customHeight="1"/>
    <row r="110" spans="2:28" ht="17.25" customHeight="1"/>
    <row r="111" spans="2:28" ht="17.25" customHeight="1"/>
  </sheetData>
  <mergeCells count="133">
    <mergeCell ref="Y82:Y86"/>
    <mergeCell ref="AB37:AB41"/>
    <mergeCell ref="AB42:AB46"/>
    <mergeCell ref="Y47:Y51"/>
    <mergeCell ref="AB47:AB51"/>
    <mergeCell ref="Y52:Y56"/>
    <mergeCell ref="AB52:AB56"/>
    <mergeCell ref="T104:Y104"/>
    <mergeCell ref="AB82:AB86"/>
    <mergeCell ref="Y87:Y91"/>
    <mergeCell ref="AB87:AB91"/>
    <mergeCell ref="Y92:Y96"/>
    <mergeCell ref="AB92:AB96"/>
    <mergeCell ref="T98:Y98"/>
    <mergeCell ref="T99:Y99"/>
    <mergeCell ref="AB57:AB61"/>
    <mergeCell ref="AB62:AB66"/>
    <mergeCell ref="Y77:Y81"/>
    <mergeCell ref="AB77:AB81"/>
    <mergeCell ref="Y67:Y71"/>
    <mergeCell ref="AB67:AB71"/>
    <mergeCell ref="Y72:Y76"/>
    <mergeCell ref="AB72:AB76"/>
    <mergeCell ref="Y62:Y66"/>
    <mergeCell ref="Y57:Y61"/>
    <mergeCell ref="Y16:Y20"/>
    <mergeCell ref="Y31:Y35"/>
    <mergeCell ref="Y21:Y25"/>
    <mergeCell ref="AB21:AB25"/>
    <mergeCell ref="Y26:Y30"/>
    <mergeCell ref="AB26:AB30"/>
    <mergeCell ref="Y11:Y15"/>
    <mergeCell ref="AB11:AB15"/>
    <mergeCell ref="AB16:AB20"/>
    <mergeCell ref="AB31:AB35"/>
    <mergeCell ref="Y42:Y46"/>
    <mergeCell ref="Y37:Y41"/>
    <mergeCell ref="B105:D105"/>
    <mergeCell ref="B99:E99"/>
    <mergeCell ref="H99:L99"/>
    <mergeCell ref="N99:Q99"/>
    <mergeCell ref="H104:L104"/>
    <mergeCell ref="N104:Q104"/>
    <mergeCell ref="X21:X25"/>
    <mergeCell ref="X16:X20"/>
    <mergeCell ref="X11:X15"/>
    <mergeCell ref="A87:A91"/>
    <mergeCell ref="B87:B91"/>
    <mergeCell ref="C87:C91"/>
    <mergeCell ref="X87:X91"/>
    <mergeCell ref="A82:A86"/>
    <mergeCell ref="B82:B86"/>
    <mergeCell ref="C82:C86"/>
    <mergeCell ref="X82:X86"/>
    <mergeCell ref="A92:A96"/>
    <mergeCell ref="B92:B96"/>
    <mergeCell ref="C92:C96"/>
    <mergeCell ref="X92:X96"/>
    <mergeCell ref="A57:A61"/>
    <mergeCell ref="B57:B61"/>
    <mergeCell ref="C57:C61"/>
    <mergeCell ref="X57:X61"/>
    <mergeCell ref="A72:A76"/>
    <mergeCell ref="B72:B76"/>
    <mergeCell ref="C72:C76"/>
    <mergeCell ref="X72:X76"/>
    <mergeCell ref="A77:A81"/>
    <mergeCell ref="B77:B81"/>
    <mergeCell ref="C77:C81"/>
    <mergeCell ref="X77:X81"/>
    <mergeCell ref="A62:A66"/>
    <mergeCell ref="B62:B66"/>
    <mergeCell ref="C62:C66"/>
    <mergeCell ref="X62:X66"/>
    <mergeCell ref="A67:A71"/>
    <mergeCell ref="B67:B71"/>
    <mergeCell ref="C67:C71"/>
    <mergeCell ref="X67:X71"/>
    <mergeCell ref="A52:A56"/>
    <mergeCell ref="B52:B56"/>
    <mergeCell ref="C52:C56"/>
    <mergeCell ref="X52:X56"/>
    <mergeCell ref="A26:A30"/>
    <mergeCell ref="B26:B30"/>
    <mergeCell ref="C26:C30"/>
    <mergeCell ref="X26:X30"/>
    <mergeCell ref="A31:A35"/>
    <mergeCell ref="B31:B35"/>
    <mergeCell ref="C31:C35"/>
    <mergeCell ref="X31:X35"/>
    <mergeCell ref="A37:A41"/>
    <mergeCell ref="B37:B41"/>
    <mergeCell ref="C37:C41"/>
    <mergeCell ref="X37:X41"/>
    <mergeCell ref="A42:A46"/>
    <mergeCell ref="B42:B46"/>
    <mergeCell ref="C42:C46"/>
    <mergeCell ref="X42:X46"/>
    <mergeCell ref="A47:A51"/>
    <mergeCell ref="B47:B51"/>
    <mergeCell ref="C47:C51"/>
    <mergeCell ref="X47:X51"/>
    <mergeCell ref="A11:A15"/>
    <mergeCell ref="A21:A25"/>
    <mergeCell ref="B21:B25"/>
    <mergeCell ref="C21:C25"/>
    <mergeCell ref="A16:A20"/>
    <mergeCell ref="B16:B20"/>
    <mergeCell ref="C16:C20"/>
    <mergeCell ref="B11:B15"/>
    <mergeCell ref="C11:C15"/>
    <mergeCell ref="A1:H1"/>
    <mergeCell ref="A2:H2"/>
    <mergeCell ref="A6:A9"/>
    <mergeCell ref="B6:B9"/>
    <mergeCell ref="C6:C9"/>
    <mergeCell ref="A4:Y4"/>
    <mergeCell ref="V5:Y5"/>
    <mergeCell ref="Y6:Y10"/>
    <mergeCell ref="V7:V8"/>
    <mergeCell ref="W7:W8"/>
    <mergeCell ref="A10:C10"/>
    <mergeCell ref="T7:T8"/>
    <mergeCell ref="G7:G8"/>
    <mergeCell ref="H7:I7"/>
    <mergeCell ref="D6:F9"/>
    <mergeCell ref="G6:W6"/>
    <mergeCell ref="X6:X10"/>
    <mergeCell ref="J7:K7"/>
    <mergeCell ref="L7:N7"/>
    <mergeCell ref="O7:R7"/>
    <mergeCell ref="S7:S8"/>
    <mergeCell ref="U7:U8"/>
  </mergeCells>
  <phoneticPr fontId="57" type="noConversion"/>
  <pageMargins left="0.26" right="0.2" top="0.39" bottom="0.26" header="0.3" footer="0.2"/>
  <pageSetup paperSize="9" scale="90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29"/>
  <sheetViews>
    <sheetView topLeftCell="A4" zoomScaleNormal="100" workbookViewId="0">
      <selection activeCell="G11" sqref="G11"/>
    </sheetView>
  </sheetViews>
  <sheetFormatPr defaultColWidth="9" defaultRowHeight="15"/>
  <cols>
    <col min="1" max="1" width="4.125" style="289" customWidth="1"/>
    <col min="2" max="2" width="15.25" style="289" customWidth="1"/>
    <col min="3" max="4" width="13.375" style="29" customWidth="1"/>
    <col min="5" max="5" width="20.25" style="29" customWidth="1"/>
    <col min="6" max="6" width="9.375" style="29" hidden="1" customWidth="1"/>
    <col min="7" max="7" width="15" style="29" customWidth="1"/>
    <col min="8" max="8" width="15.125" style="29" customWidth="1"/>
    <col min="9" max="9" width="17.875" style="29" customWidth="1"/>
    <col min="10" max="10" width="16.375" style="29" customWidth="1"/>
    <col min="11" max="11" width="12.75" style="599" customWidth="1"/>
    <col min="12" max="12" width="9" style="599"/>
    <col min="13" max="13" width="12.125" style="599" bestFit="1" customWidth="1"/>
    <col min="14" max="16384" width="9" style="599"/>
  </cols>
  <sheetData>
    <row r="1" spans="1:21" ht="15.75">
      <c r="A1" s="3751" t="s">
        <v>165</v>
      </c>
      <c r="B1" s="3751"/>
      <c r="C1" s="3751"/>
      <c r="D1" s="3751"/>
      <c r="E1" s="3751"/>
      <c r="F1" s="3751"/>
      <c r="G1" s="3751"/>
      <c r="H1" s="3751"/>
      <c r="I1" s="3751"/>
      <c r="J1" s="3751"/>
    </row>
    <row r="2" spans="1:21" ht="15.75">
      <c r="A2" s="3751" t="s">
        <v>171</v>
      </c>
      <c r="B2" s="3751"/>
      <c r="C2" s="3751"/>
      <c r="D2" s="3751"/>
      <c r="E2" s="3751"/>
      <c r="F2" s="3751"/>
      <c r="G2" s="3751"/>
      <c r="H2" s="3751"/>
      <c r="I2" s="3751"/>
      <c r="J2" s="3751"/>
    </row>
    <row r="3" spans="1:21" ht="14.25">
      <c r="A3" s="3671" t="s">
        <v>726</v>
      </c>
      <c r="B3" s="3671"/>
      <c r="C3" s="3671"/>
      <c r="D3" s="3671"/>
      <c r="E3" s="3671"/>
      <c r="F3" s="3671"/>
      <c r="G3" s="3671"/>
      <c r="H3" s="3671"/>
      <c r="I3" s="3671"/>
      <c r="J3" s="3671"/>
      <c r="K3" s="1473"/>
      <c r="L3" s="1473"/>
      <c r="M3" s="1473"/>
      <c r="N3" s="1473"/>
      <c r="O3" s="1473"/>
      <c r="P3" s="1473"/>
      <c r="Q3" s="1473"/>
      <c r="R3" s="1473"/>
      <c r="S3" s="1473"/>
      <c r="T3" s="1473"/>
      <c r="U3" s="1473"/>
    </row>
    <row r="4" spans="1:21" ht="15.75">
      <c r="A4" s="4302" t="s">
        <v>734</v>
      </c>
      <c r="B4" s="4302"/>
      <c r="C4" s="4302"/>
      <c r="D4" s="4302"/>
      <c r="E4" s="4302"/>
      <c r="F4" s="40"/>
      <c r="G4" s="599"/>
      <c r="H4" s="599"/>
      <c r="I4" s="599"/>
      <c r="J4" s="599"/>
      <c r="K4" s="42"/>
    </row>
    <row r="5" spans="1:21" ht="15.75">
      <c r="A5" s="3751" t="s">
        <v>541</v>
      </c>
      <c r="B5" s="3751"/>
      <c r="C5" s="3751"/>
      <c r="D5" s="3751"/>
      <c r="E5" s="3751"/>
      <c r="F5" s="42"/>
      <c r="G5" s="599"/>
      <c r="H5" s="599"/>
      <c r="I5" s="599"/>
      <c r="J5" s="599"/>
      <c r="K5" s="42"/>
    </row>
    <row r="6" spans="1:21" ht="13.5" customHeight="1">
      <c r="J6" s="600"/>
    </row>
    <row r="7" spans="1:21" ht="18.75">
      <c r="A7" s="3672" t="s">
        <v>1809</v>
      </c>
      <c r="B7" s="3672"/>
      <c r="C7" s="3672"/>
      <c r="D7" s="3672"/>
      <c r="E7" s="3672"/>
      <c r="F7" s="3672"/>
      <c r="G7" s="3672"/>
      <c r="H7" s="3672"/>
      <c r="I7" s="3672"/>
      <c r="J7" s="3672"/>
    </row>
    <row r="8" spans="1:21" ht="17.25" customHeight="1"/>
    <row r="9" spans="1:21" ht="24.75" customHeight="1">
      <c r="A9" s="4142" t="s">
        <v>1</v>
      </c>
      <c r="B9" s="4341" t="s">
        <v>509</v>
      </c>
      <c r="C9" s="4142" t="s">
        <v>542</v>
      </c>
      <c r="D9" s="4337" t="s">
        <v>1583</v>
      </c>
      <c r="E9" s="4142" t="s">
        <v>543</v>
      </c>
      <c r="F9" s="4337" t="s">
        <v>544</v>
      </c>
      <c r="G9" s="4341" t="s">
        <v>1810</v>
      </c>
      <c r="H9" s="4341" t="s">
        <v>545</v>
      </c>
      <c r="I9" s="4341" t="s">
        <v>546</v>
      </c>
      <c r="J9" s="4142" t="s">
        <v>345</v>
      </c>
    </row>
    <row r="10" spans="1:21" ht="24.75" customHeight="1">
      <c r="A10" s="4142"/>
      <c r="B10" s="4342"/>
      <c r="C10" s="4142"/>
      <c r="D10" s="4338"/>
      <c r="E10" s="4142"/>
      <c r="F10" s="4338"/>
      <c r="G10" s="4342"/>
      <c r="H10" s="4342"/>
      <c r="I10" s="4342"/>
      <c r="J10" s="4142"/>
    </row>
    <row r="11" spans="1:21" ht="18" customHeight="1">
      <c r="A11" s="774">
        <v>1</v>
      </c>
      <c r="B11" s="602" t="s">
        <v>728</v>
      </c>
      <c r="C11" s="774" t="s">
        <v>548</v>
      </c>
      <c r="D11" s="774">
        <v>19</v>
      </c>
      <c r="E11" s="774" t="s">
        <v>549</v>
      </c>
      <c r="F11" s="606">
        <v>0</v>
      </c>
      <c r="G11" s="3292">
        <v>500000</v>
      </c>
      <c r="H11" s="604">
        <f>G11</f>
        <v>500000</v>
      </c>
      <c r="I11" s="605"/>
      <c r="J11" s="606"/>
      <c r="K11" s="606">
        <v>304788375</v>
      </c>
    </row>
    <row r="12" spans="1:21" ht="18" customHeight="1">
      <c r="A12" s="682">
        <v>2</v>
      </c>
      <c r="B12" s="607" t="s">
        <v>729</v>
      </c>
      <c r="C12" s="682" t="s">
        <v>551</v>
      </c>
      <c r="D12" s="682">
        <v>20</v>
      </c>
      <c r="E12" s="682" t="s">
        <v>549</v>
      </c>
      <c r="F12" s="611">
        <v>4</v>
      </c>
      <c r="G12" s="609">
        <v>500000</v>
      </c>
      <c r="H12" s="609">
        <f t="shared" ref="H12:H19" si="0">G12</f>
        <v>500000</v>
      </c>
      <c r="I12" s="610"/>
      <c r="J12" s="611"/>
      <c r="K12" s="611"/>
    </row>
    <row r="13" spans="1:21" ht="18" customHeight="1">
      <c r="A13" s="682">
        <v>3</v>
      </c>
      <c r="B13" s="607" t="s">
        <v>652</v>
      </c>
      <c r="C13" s="682" t="s">
        <v>557</v>
      </c>
      <c r="D13" s="682">
        <v>32</v>
      </c>
      <c r="E13" s="682" t="s">
        <v>549</v>
      </c>
      <c r="F13" s="611">
        <v>12</v>
      </c>
      <c r="G13" s="3293">
        <v>600000</v>
      </c>
      <c r="H13" s="609">
        <f t="shared" si="0"/>
        <v>600000</v>
      </c>
      <c r="I13" s="610"/>
      <c r="J13" s="611"/>
      <c r="K13" s="611">
        <v>97105288</v>
      </c>
    </row>
    <row r="14" spans="1:21" ht="18" customHeight="1">
      <c r="A14" s="682">
        <v>4</v>
      </c>
      <c r="B14" s="607" t="s">
        <v>730</v>
      </c>
      <c r="C14" s="682" t="s">
        <v>555</v>
      </c>
      <c r="D14" s="682">
        <v>0</v>
      </c>
      <c r="E14" s="682" t="s">
        <v>549</v>
      </c>
      <c r="F14" s="611">
        <v>0</v>
      </c>
      <c r="G14" s="3294">
        <v>150000</v>
      </c>
      <c r="H14" s="609">
        <f t="shared" si="0"/>
        <v>150000</v>
      </c>
      <c r="I14" s="610"/>
      <c r="J14" s="611"/>
      <c r="K14" s="611">
        <v>97355399</v>
      </c>
    </row>
    <row r="15" spans="1:21" ht="18" customHeight="1">
      <c r="A15" s="682">
        <v>5</v>
      </c>
      <c r="B15" s="607" t="s">
        <v>556</v>
      </c>
      <c r="C15" s="682" t="s">
        <v>976</v>
      </c>
      <c r="D15" s="682">
        <v>34</v>
      </c>
      <c r="E15" s="682" t="s">
        <v>549</v>
      </c>
      <c r="F15" s="611">
        <v>1</v>
      </c>
      <c r="G15" s="609">
        <v>600000</v>
      </c>
      <c r="H15" s="609">
        <f t="shared" si="0"/>
        <v>600000</v>
      </c>
      <c r="I15" s="610"/>
      <c r="J15" s="611"/>
      <c r="K15" s="611">
        <v>304559731</v>
      </c>
    </row>
    <row r="16" spans="1:21" ht="18" customHeight="1">
      <c r="A16" s="682">
        <v>6</v>
      </c>
      <c r="B16" s="607" t="s">
        <v>731</v>
      </c>
      <c r="C16" s="682" t="s">
        <v>559</v>
      </c>
      <c r="D16" s="682">
        <v>20</v>
      </c>
      <c r="E16" s="682" t="s">
        <v>549</v>
      </c>
      <c r="F16" s="611">
        <v>2</v>
      </c>
      <c r="G16" s="3293">
        <v>600000</v>
      </c>
      <c r="H16" s="609">
        <f t="shared" si="0"/>
        <v>600000</v>
      </c>
      <c r="I16" s="610"/>
      <c r="J16" s="611"/>
      <c r="K16" s="611">
        <v>91287661</v>
      </c>
      <c r="Q16" s="599">
        <f>2300+900</f>
        <v>3200</v>
      </c>
    </row>
    <row r="17" spans="1:11" ht="18" customHeight="1">
      <c r="A17" s="682">
        <v>7</v>
      </c>
      <c r="B17" s="607" t="s">
        <v>651</v>
      </c>
      <c r="C17" s="682" t="s">
        <v>561</v>
      </c>
      <c r="D17" s="682">
        <v>3</v>
      </c>
      <c r="E17" s="682" t="s">
        <v>549</v>
      </c>
      <c r="F17" s="611">
        <v>3</v>
      </c>
      <c r="G17" s="3294">
        <v>150000</v>
      </c>
      <c r="H17" s="609">
        <f t="shared" si="0"/>
        <v>150000</v>
      </c>
      <c r="I17" s="610"/>
      <c r="J17" s="611"/>
      <c r="K17" s="611"/>
    </row>
    <row r="18" spans="1:11" ht="18" customHeight="1">
      <c r="A18" s="682">
        <v>8</v>
      </c>
      <c r="B18" s="607" t="s">
        <v>732</v>
      </c>
      <c r="C18" s="1705" t="s">
        <v>563</v>
      </c>
      <c r="D18" s="1705">
        <v>11</v>
      </c>
      <c r="E18" s="682" t="s">
        <v>549</v>
      </c>
      <c r="F18" s="258">
        <v>0</v>
      </c>
      <c r="G18" s="609">
        <v>500000</v>
      </c>
      <c r="H18" s="609">
        <f t="shared" si="0"/>
        <v>500000</v>
      </c>
      <c r="I18" s="610"/>
      <c r="J18" s="611"/>
      <c r="K18" s="611"/>
    </row>
    <row r="19" spans="1:11" ht="18" customHeight="1">
      <c r="A19" s="682">
        <v>9</v>
      </c>
      <c r="B19" s="607" t="s">
        <v>733</v>
      </c>
      <c r="C19" s="1705" t="s">
        <v>565</v>
      </c>
      <c r="D19" s="1705">
        <v>0</v>
      </c>
      <c r="E19" s="682" t="s">
        <v>549</v>
      </c>
      <c r="F19" s="258">
        <v>0</v>
      </c>
      <c r="G19" s="609">
        <v>150000</v>
      </c>
      <c r="H19" s="609">
        <f t="shared" si="0"/>
        <v>150000</v>
      </c>
      <c r="I19" s="610"/>
      <c r="J19" s="611"/>
      <c r="K19" s="611">
        <v>22626101</v>
      </c>
    </row>
    <row r="20" spans="1:11" ht="22.5" customHeight="1">
      <c r="A20" s="3669" t="s">
        <v>21</v>
      </c>
      <c r="B20" s="3669"/>
      <c r="C20" s="3669"/>
      <c r="D20" s="3216">
        <f>SUM(D11:D19)</f>
        <v>139</v>
      </c>
      <c r="E20" s="772"/>
      <c r="F20" s="773">
        <f>SUM(F11:F19)</f>
        <v>22</v>
      </c>
      <c r="G20" s="615">
        <f>SUM(G11:G19)</f>
        <v>3750000</v>
      </c>
      <c r="H20" s="615">
        <f>SUM(H11:H19)</f>
        <v>3750000</v>
      </c>
      <c r="I20" s="615"/>
      <c r="J20" s="614"/>
    </row>
    <row r="21" spans="1:11" ht="22.5" customHeight="1">
      <c r="A21" s="4408" t="s">
        <v>1594</v>
      </c>
      <c r="B21" s="4408"/>
      <c r="C21" s="4408"/>
      <c r="D21" s="4408"/>
      <c r="E21" s="4408"/>
      <c r="F21" s="4408"/>
      <c r="G21" s="4408"/>
      <c r="H21" s="4408"/>
      <c r="I21" s="4408"/>
      <c r="J21" s="4408"/>
    </row>
    <row r="22" spans="1:11" ht="16.5">
      <c r="A22" s="157"/>
      <c r="B22" s="157"/>
      <c r="C22" s="157"/>
      <c r="D22" s="157"/>
      <c r="E22" s="157"/>
      <c r="F22" s="283"/>
      <c r="G22" s="283"/>
      <c r="I22" s="4457" t="s">
        <v>1773</v>
      </c>
      <c r="J22" s="4457"/>
    </row>
    <row r="23" spans="1:11" s="2470" customFormat="1" ht="18.75" customHeight="1">
      <c r="A23" s="3751" t="s">
        <v>567</v>
      </c>
      <c r="B23" s="3751"/>
      <c r="C23" s="3751"/>
      <c r="D23" s="3217"/>
      <c r="G23" s="1741" t="s">
        <v>44</v>
      </c>
      <c r="H23" s="1742"/>
      <c r="I23" s="3751" t="s">
        <v>1107</v>
      </c>
      <c r="J23" s="3751"/>
    </row>
    <row r="29" spans="1:11">
      <c r="G29" s="4336"/>
      <c r="H29" s="4336"/>
      <c r="I29" s="4336"/>
      <c r="J29" s="4336"/>
    </row>
  </sheetData>
  <mergeCells count="23">
    <mergeCell ref="I29:J29"/>
    <mergeCell ref="I23:J23"/>
    <mergeCell ref="G9:G10"/>
    <mergeCell ref="J9:J10"/>
    <mergeCell ref="G29:H29"/>
    <mergeCell ref="I9:I10"/>
    <mergeCell ref="I22:J22"/>
    <mergeCell ref="A21:J21"/>
    <mergeCell ref="A20:C20"/>
    <mergeCell ref="H9:H10"/>
    <mergeCell ref="E9:E10"/>
    <mergeCell ref="A23:C23"/>
    <mergeCell ref="A1:J1"/>
    <mergeCell ref="A4:E4"/>
    <mergeCell ref="A5:E5"/>
    <mergeCell ref="A7:J7"/>
    <mergeCell ref="A9:A10"/>
    <mergeCell ref="B9:B10"/>
    <mergeCell ref="C9:C10"/>
    <mergeCell ref="A2:J2"/>
    <mergeCell ref="A3:J3"/>
    <mergeCell ref="F9:F10"/>
    <mergeCell ref="D9:D10"/>
  </mergeCells>
  <printOptions horizontalCentered="1"/>
  <pageMargins left="0.19685039370078741" right="0.19685039370078741" top="0.35433070866141736" bottom="0.39370078740157483" header="0.31496062992125984" footer="0.31496062992125984"/>
  <pageSetup paperSize="9" orientation="landscape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29"/>
  <sheetViews>
    <sheetView topLeftCell="A7" workbookViewId="0">
      <selection activeCell="I19" sqref="I19"/>
    </sheetView>
  </sheetViews>
  <sheetFormatPr defaultColWidth="9" defaultRowHeight="15"/>
  <cols>
    <col min="1" max="1" width="4.125" style="289" customWidth="1"/>
    <col min="2" max="2" width="15.25" style="289" customWidth="1"/>
    <col min="3" max="3" width="13.375" style="29" customWidth="1"/>
    <col min="4" max="4" width="9.25" style="29" customWidth="1"/>
    <col min="5" max="5" width="20.25" style="29" customWidth="1"/>
    <col min="6" max="6" width="9.375" style="29" hidden="1" customWidth="1"/>
    <col min="7" max="7" width="15" style="29" customWidth="1"/>
    <col min="8" max="8" width="15.125" style="29" customWidth="1"/>
    <col min="9" max="9" width="16.875" style="29" customWidth="1"/>
    <col min="10" max="10" width="14.375" style="29" customWidth="1"/>
    <col min="11" max="11" width="12.75" style="599" customWidth="1"/>
    <col min="12" max="12" width="9" style="599"/>
    <col min="13" max="13" width="12.125" style="599" bestFit="1" customWidth="1"/>
    <col min="14" max="16384" width="9" style="599"/>
  </cols>
  <sheetData>
    <row r="1" spans="1:21" ht="15.75">
      <c r="A1" s="3751" t="s">
        <v>165</v>
      </c>
      <c r="B1" s="3751"/>
      <c r="C1" s="3751"/>
      <c r="D1" s="3751"/>
      <c r="E1" s="3751"/>
      <c r="F1" s="3751"/>
      <c r="G1" s="3751"/>
      <c r="H1" s="3751"/>
      <c r="I1" s="3751"/>
      <c r="J1" s="3751"/>
    </row>
    <row r="2" spans="1:21" ht="15.75">
      <c r="A2" s="3751" t="s">
        <v>171</v>
      </c>
      <c r="B2" s="3751"/>
      <c r="C2" s="3751"/>
      <c r="D2" s="3751"/>
      <c r="E2" s="3751"/>
      <c r="F2" s="3751"/>
      <c r="G2" s="3751"/>
      <c r="H2" s="3751"/>
      <c r="I2" s="3751"/>
      <c r="J2" s="3751"/>
    </row>
    <row r="3" spans="1:21" ht="14.25">
      <c r="A3" s="3671" t="s">
        <v>726</v>
      </c>
      <c r="B3" s="3671"/>
      <c r="C3" s="3671"/>
      <c r="D3" s="3671"/>
      <c r="E3" s="3671"/>
      <c r="F3" s="3671"/>
      <c r="G3" s="3671"/>
      <c r="H3" s="3671"/>
      <c r="I3" s="3671"/>
      <c r="J3" s="3671"/>
      <c r="K3" s="1473"/>
      <c r="L3" s="1473"/>
      <c r="M3" s="1473"/>
      <c r="N3" s="1473"/>
      <c r="O3" s="1473"/>
      <c r="P3" s="1473"/>
      <c r="Q3" s="1473"/>
      <c r="R3" s="1473"/>
      <c r="S3" s="1473"/>
      <c r="T3" s="1473"/>
      <c r="U3" s="1473"/>
    </row>
    <row r="4" spans="1:21" ht="15.75">
      <c r="A4" s="4302" t="s">
        <v>734</v>
      </c>
      <c r="B4" s="4302"/>
      <c r="C4" s="4302"/>
      <c r="D4" s="4302"/>
      <c r="E4" s="4302"/>
      <c r="F4" s="40"/>
      <c r="G4" s="599"/>
      <c r="H4" s="599"/>
      <c r="I4" s="599"/>
      <c r="J4" s="599"/>
      <c r="K4" s="42"/>
    </row>
    <row r="5" spans="1:21" ht="15.75">
      <c r="A5" s="3751" t="s">
        <v>541</v>
      </c>
      <c r="B5" s="3751"/>
      <c r="C5" s="3751"/>
      <c r="D5" s="3751"/>
      <c r="E5" s="3751"/>
      <c r="F5" s="42"/>
      <c r="G5" s="599"/>
      <c r="H5" s="599"/>
      <c r="I5" s="599"/>
      <c r="J5" s="599"/>
      <c r="K5" s="42"/>
    </row>
    <row r="6" spans="1:21" ht="13.5" customHeight="1">
      <c r="J6" s="600"/>
    </row>
    <row r="7" spans="1:21" ht="18.75">
      <c r="A7" s="3672" t="s">
        <v>1723</v>
      </c>
      <c r="B7" s="3672"/>
      <c r="C7" s="3672"/>
      <c r="D7" s="3672"/>
      <c r="E7" s="3672"/>
      <c r="F7" s="3672"/>
      <c r="G7" s="3672"/>
      <c r="H7" s="3672"/>
      <c r="I7" s="3672"/>
      <c r="J7" s="3672"/>
    </row>
    <row r="8" spans="1:21" ht="17.25" customHeight="1"/>
    <row r="9" spans="1:21" ht="24.75" customHeight="1">
      <c r="A9" s="4142" t="s">
        <v>1</v>
      </c>
      <c r="B9" s="4341" t="s">
        <v>509</v>
      </c>
      <c r="C9" s="4142" t="s">
        <v>542</v>
      </c>
      <c r="D9" s="4337" t="s">
        <v>1583</v>
      </c>
      <c r="E9" s="4142" t="s">
        <v>543</v>
      </c>
      <c r="F9" s="4337" t="s">
        <v>544</v>
      </c>
      <c r="G9" s="4341" t="s">
        <v>1724</v>
      </c>
      <c r="H9" s="4341" t="s">
        <v>545</v>
      </c>
      <c r="I9" s="4341" t="s">
        <v>546</v>
      </c>
      <c r="J9" s="4142" t="s">
        <v>345</v>
      </c>
    </row>
    <row r="10" spans="1:21" ht="24.75" customHeight="1">
      <c r="A10" s="4142"/>
      <c r="B10" s="4342"/>
      <c r="C10" s="4142"/>
      <c r="D10" s="4338"/>
      <c r="E10" s="4142"/>
      <c r="F10" s="4338"/>
      <c r="G10" s="4342"/>
      <c r="H10" s="4342"/>
      <c r="I10" s="4342"/>
      <c r="J10" s="4142"/>
    </row>
    <row r="11" spans="1:21" ht="18" customHeight="1">
      <c r="A11" s="774">
        <v>1</v>
      </c>
      <c r="B11" s="602" t="s">
        <v>728</v>
      </c>
      <c r="C11" s="774" t="s">
        <v>548</v>
      </c>
      <c r="D11" s="774">
        <v>19</v>
      </c>
      <c r="E11" s="774" t="s">
        <v>549</v>
      </c>
      <c r="F11" s="606">
        <v>0</v>
      </c>
      <c r="G11" s="3292">
        <v>400000</v>
      </c>
      <c r="H11" s="604">
        <f>G11</f>
        <v>400000</v>
      </c>
      <c r="I11" s="605"/>
      <c r="J11" s="606"/>
      <c r="K11" s="606">
        <v>304788375</v>
      </c>
    </row>
    <row r="12" spans="1:21" ht="18" customHeight="1">
      <c r="A12" s="682">
        <v>2</v>
      </c>
      <c r="B12" s="607" t="s">
        <v>729</v>
      </c>
      <c r="C12" s="682" t="s">
        <v>551</v>
      </c>
      <c r="D12" s="682">
        <v>20</v>
      </c>
      <c r="E12" s="682" t="s">
        <v>549</v>
      </c>
      <c r="F12" s="611">
        <v>4</v>
      </c>
      <c r="G12" s="609">
        <v>500000</v>
      </c>
      <c r="H12" s="609">
        <f t="shared" ref="H12:H19" si="0">G12</f>
        <v>500000</v>
      </c>
      <c r="I12" s="610"/>
      <c r="J12" s="611"/>
      <c r="K12" s="611"/>
    </row>
    <row r="13" spans="1:21" ht="18" customHeight="1">
      <c r="A13" s="682">
        <v>3</v>
      </c>
      <c r="B13" s="607" t="s">
        <v>652</v>
      </c>
      <c r="C13" s="682" t="s">
        <v>557</v>
      </c>
      <c r="D13" s="682">
        <v>32</v>
      </c>
      <c r="E13" s="682" t="s">
        <v>549</v>
      </c>
      <c r="F13" s="611">
        <v>12</v>
      </c>
      <c r="G13" s="3293">
        <v>600000</v>
      </c>
      <c r="H13" s="609">
        <f t="shared" si="0"/>
        <v>600000</v>
      </c>
      <c r="I13" s="610"/>
      <c r="J13" s="611"/>
      <c r="K13" s="611">
        <v>97105288</v>
      </c>
    </row>
    <row r="14" spans="1:21" ht="18" customHeight="1">
      <c r="A14" s="682">
        <v>4</v>
      </c>
      <c r="B14" s="607" t="s">
        <v>730</v>
      </c>
      <c r="C14" s="682" t="s">
        <v>555</v>
      </c>
      <c r="D14" s="682">
        <v>0</v>
      </c>
      <c r="E14" s="682" t="s">
        <v>549</v>
      </c>
      <c r="F14" s="611">
        <v>0</v>
      </c>
      <c r="G14" s="3294">
        <v>350000</v>
      </c>
      <c r="H14" s="609">
        <f t="shared" si="0"/>
        <v>350000</v>
      </c>
      <c r="I14" s="610"/>
      <c r="J14" s="611"/>
      <c r="K14" s="611">
        <v>97355399</v>
      </c>
    </row>
    <row r="15" spans="1:21" ht="18" customHeight="1">
      <c r="A15" s="682">
        <v>5</v>
      </c>
      <c r="B15" s="607" t="s">
        <v>556</v>
      </c>
      <c r="C15" s="682" t="s">
        <v>976</v>
      </c>
      <c r="D15" s="682">
        <v>34</v>
      </c>
      <c r="E15" s="682" t="s">
        <v>549</v>
      </c>
      <c r="F15" s="611">
        <v>1</v>
      </c>
      <c r="G15" s="609">
        <v>600000</v>
      </c>
      <c r="H15" s="609">
        <f t="shared" si="0"/>
        <v>600000</v>
      </c>
      <c r="I15" s="610"/>
      <c r="J15" s="611"/>
      <c r="K15" s="611">
        <v>304559731</v>
      </c>
    </row>
    <row r="16" spans="1:21" ht="18" customHeight="1">
      <c r="A16" s="682">
        <v>6</v>
      </c>
      <c r="B16" s="607" t="s">
        <v>731</v>
      </c>
      <c r="C16" s="682" t="s">
        <v>559</v>
      </c>
      <c r="D16" s="682">
        <v>20</v>
      </c>
      <c r="E16" s="682" t="s">
        <v>549</v>
      </c>
      <c r="F16" s="611">
        <v>2</v>
      </c>
      <c r="G16" s="3293">
        <v>600000</v>
      </c>
      <c r="H16" s="609">
        <f t="shared" si="0"/>
        <v>600000</v>
      </c>
      <c r="I16" s="610"/>
      <c r="J16" s="611"/>
      <c r="K16" s="611">
        <v>91287661</v>
      </c>
      <c r="Q16" s="599">
        <f>2300+900</f>
        <v>3200</v>
      </c>
    </row>
    <row r="17" spans="1:11" ht="18" customHeight="1">
      <c r="A17" s="682">
        <v>7</v>
      </c>
      <c r="B17" s="607" t="s">
        <v>651</v>
      </c>
      <c r="C17" s="682" t="s">
        <v>561</v>
      </c>
      <c r="D17" s="682">
        <v>3</v>
      </c>
      <c r="E17" s="682" t="s">
        <v>549</v>
      </c>
      <c r="F17" s="611">
        <v>3</v>
      </c>
      <c r="G17" s="3294">
        <v>200000</v>
      </c>
      <c r="H17" s="609">
        <f t="shared" si="0"/>
        <v>200000</v>
      </c>
      <c r="I17" s="610"/>
      <c r="J17" s="611"/>
      <c r="K17" s="611"/>
    </row>
    <row r="18" spans="1:11" ht="18" customHeight="1">
      <c r="A18" s="682">
        <v>8</v>
      </c>
      <c r="B18" s="607" t="s">
        <v>732</v>
      </c>
      <c r="C18" s="1705" t="s">
        <v>563</v>
      </c>
      <c r="D18" s="1705">
        <v>11</v>
      </c>
      <c r="E18" s="682" t="s">
        <v>549</v>
      </c>
      <c r="F18" s="258">
        <v>0</v>
      </c>
      <c r="G18" s="609">
        <v>300000</v>
      </c>
      <c r="H18" s="609">
        <f t="shared" si="0"/>
        <v>300000</v>
      </c>
      <c r="I18" s="610"/>
      <c r="J18" s="611"/>
      <c r="K18" s="611"/>
    </row>
    <row r="19" spans="1:11" ht="18" customHeight="1">
      <c r="A19" s="682">
        <v>9</v>
      </c>
      <c r="B19" s="607" t="s">
        <v>733</v>
      </c>
      <c r="C19" s="1705" t="s">
        <v>565</v>
      </c>
      <c r="D19" s="1705">
        <v>0</v>
      </c>
      <c r="E19" s="682" t="s">
        <v>549</v>
      </c>
      <c r="F19" s="258">
        <v>0</v>
      </c>
      <c r="G19" s="609">
        <v>200000</v>
      </c>
      <c r="H19" s="609">
        <f t="shared" si="0"/>
        <v>200000</v>
      </c>
      <c r="I19" s="610"/>
      <c r="J19" s="611"/>
      <c r="K19" s="611">
        <v>22626101</v>
      </c>
    </row>
    <row r="20" spans="1:11" ht="22.5" customHeight="1">
      <c r="A20" s="3669" t="s">
        <v>21</v>
      </c>
      <c r="B20" s="3669"/>
      <c r="C20" s="3669"/>
      <c r="D20" s="3529">
        <f>SUM(D11:D19)</f>
        <v>139</v>
      </c>
      <c r="E20" s="772"/>
      <c r="F20" s="773">
        <f>SUM(F11:F19)</f>
        <v>22</v>
      </c>
      <c r="G20" s="615">
        <f>SUM(G11:G19)</f>
        <v>3750000</v>
      </c>
      <c r="H20" s="615">
        <f>SUM(H11:H19)</f>
        <v>3750000</v>
      </c>
      <c r="I20" s="615"/>
      <c r="J20" s="614"/>
    </row>
    <row r="21" spans="1:11" ht="22.5" customHeight="1">
      <c r="A21" s="4408" t="s">
        <v>1594</v>
      </c>
      <c r="B21" s="4408"/>
      <c r="C21" s="4408"/>
      <c r="D21" s="4408"/>
      <c r="E21" s="4408"/>
      <c r="F21" s="4408"/>
      <c r="G21" s="4408"/>
      <c r="H21" s="4408"/>
      <c r="I21" s="4408"/>
      <c r="J21" s="4408"/>
    </row>
    <row r="22" spans="1:11" ht="16.5">
      <c r="A22" s="157"/>
      <c r="B22" s="157"/>
      <c r="C22" s="157"/>
      <c r="D22" s="157"/>
      <c r="E22" s="157"/>
      <c r="F22" s="283"/>
      <c r="G22" s="283"/>
      <c r="I22" s="4457" t="s">
        <v>1722</v>
      </c>
      <c r="J22" s="4457"/>
    </row>
    <row r="23" spans="1:11" s="2470" customFormat="1" ht="18.75" customHeight="1">
      <c r="A23" s="3751" t="s">
        <v>567</v>
      </c>
      <c r="B23" s="3751"/>
      <c r="C23" s="3751"/>
      <c r="D23" s="3530"/>
      <c r="G23" s="1741" t="s">
        <v>44</v>
      </c>
      <c r="H23" s="1742"/>
      <c r="I23" s="3751" t="s">
        <v>1107</v>
      </c>
      <c r="J23" s="3751"/>
    </row>
    <row r="29" spans="1:11">
      <c r="G29" s="4336"/>
      <c r="H29" s="4336"/>
      <c r="I29" s="4336"/>
      <c r="J29" s="4336"/>
    </row>
  </sheetData>
  <mergeCells count="23">
    <mergeCell ref="I22:J22"/>
    <mergeCell ref="A23:C23"/>
    <mergeCell ref="I23:J23"/>
    <mergeCell ref="G29:H29"/>
    <mergeCell ref="I29:J29"/>
    <mergeCell ref="A21:J21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A20:C20"/>
    <mergeCell ref="A7:J7"/>
    <mergeCell ref="A1:J1"/>
    <mergeCell ref="A2:J2"/>
    <mergeCell ref="A3:J3"/>
    <mergeCell ref="A4:E4"/>
    <mergeCell ref="A5:E5"/>
  </mergeCells>
  <pageMargins left="0.7" right="0.32" top="0.75" bottom="0.75" header="0.3" footer="0.3"/>
  <pageSetup paperSize="9" orientation="landscape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L32"/>
  <sheetViews>
    <sheetView topLeftCell="A4" workbookViewId="0">
      <selection activeCell="A19" sqref="A19"/>
    </sheetView>
  </sheetViews>
  <sheetFormatPr defaultColWidth="9.125" defaultRowHeight="15.75"/>
  <cols>
    <col min="1" max="1" width="9.75" style="3220" customWidth="1"/>
    <col min="2" max="2" width="38.625" style="3220" customWidth="1"/>
    <col min="3" max="3" width="13.75" style="2125" customWidth="1"/>
    <col min="4" max="4" width="13.25" style="3221" hidden="1" customWidth="1"/>
    <col min="5" max="5" width="15.75" style="3222" hidden="1" customWidth="1"/>
    <col min="6" max="6" width="16.375" style="3223" hidden="1" customWidth="1"/>
    <col min="7" max="7" width="28.375" style="3223" customWidth="1"/>
    <col min="8" max="8" width="29.375" style="3275" customWidth="1"/>
    <col min="9" max="9" width="11.75" style="3220" bestFit="1" customWidth="1"/>
    <col min="10" max="10" width="29.125" style="3220" bestFit="1" customWidth="1"/>
    <col min="11" max="11" width="21.25" style="3220" bestFit="1" customWidth="1"/>
    <col min="12" max="12" width="15.625" style="3220" bestFit="1" customWidth="1"/>
    <col min="13" max="13" width="11.875" style="3220" customWidth="1"/>
    <col min="14" max="16384" width="9.125" style="3220"/>
  </cols>
  <sheetData>
    <row r="1" spans="1:12">
      <c r="A1" s="4464" t="s">
        <v>165</v>
      </c>
      <c r="B1" s="4464"/>
      <c r="C1" s="4464"/>
      <c r="D1" s="4464"/>
      <c r="E1" s="4464"/>
      <c r="F1" s="4464"/>
      <c r="G1" s="4464"/>
      <c r="H1" s="4464"/>
    </row>
    <row r="2" spans="1:12">
      <c r="A2" s="4464" t="s">
        <v>171</v>
      </c>
      <c r="B2" s="4464"/>
      <c r="C2" s="4464"/>
      <c r="D2" s="4464"/>
      <c r="E2" s="4464"/>
      <c r="F2" s="4464"/>
      <c r="G2" s="4464"/>
      <c r="H2" s="4464"/>
    </row>
    <row r="3" spans="1:12">
      <c r="A3" s="4465" t="s">
        <v>1576</v>
      </c>
      <c r="B3" s="4464"/>
      <c r="C3" s="4464"/>
      <c r="D3" s="4464"/>
      <c r="E3" s="4464"/>
      <c r="F3" s="4464"/>
      <c r="G3" s="4464"/>
      <c r="H3" s="4464"/>
    </row>
    <row r="4" spans="1:12">
      <c r="G4" s="3221"/>
      <c r="H4" s="3224"/>
    </row>
    <row r="5" spans="1:12">
      <c r="A5" s="4466" t="s">
        <v>574</v>
      </c>
      <c r="B5" s="4466"/>
      <c r="C5" s="4466"/>
      <c r="D5" s="3225"/>
      <c r="E5" s="3225"/>
      <c r="F5" s="3225"/>
      <c r="G5" s="3225"/>
      <c r="H5" s="3224"/>
    </row>
    <row r="6" spans="1:12">
      <c r="A6" s="4467" t="s">
        <v>541</v>
      </c>
      <c r="B6" s="4467"/>
      <c r="C6" s="4467"/>
      <c r="D6" s="3226"/>
      <c r="E6" s="3226"/>
      <c r="F6" s="3226"/>
      <c r="G6" s="3226"/>
      <c r="H6" s="3224"/>
    </row>
    <row r="7" spans="1:12">
      <c r="A7" s="3227"/>
      <c r="B7" s="3227"/>
      <c r="C7" s="3227"/>
      <c r="G7" s="3221"/>
      <c r="H7" s="3224"/>
    </row>
    <row r="8" spans="1:12" s="3226" customFormat="1" ht="20.25">
      <c r="A8" s="4463" t="s">
        <v>1807</v>
      </c>
      <c r="B8" s="4463"/>
      <c r="C8" s="4463"/>
      <c r="D8" s="4463"/>
      <c r="E8" s="4463"/>
      <c r="F8" s="4463"/>
      <c r="G8" s="4463"/>
      <c r="H8" s="4463"/>
    </row>
    <row r="9" spans="1:12">
      <c r="A9" s="4459" t="s">
        <v>1808</v>
      </c>
      <c r="B9" s="4459"/>
      <c r="C9" s="4459"/>
      <c r="D9" s="4459"/>
      <c r="E9" s="4459"/>
      <c r="F9" s="4459"/>
      <c r="G9" s="4459"/>
      <c r="H9" s="4459"/>
    </row>
    <row r="10" spans="1:12">
      <c r="A10" s="3228"/>
      <c r="B10" s="3228"/>
      <c r="F10" s="3221"/>
      <c r="G10" s="3221"/>
      <c r="H10" s="3224"/>
    </row>
    <row r="11" spans="1:12" s="3233" customFormat="1" ht="31.5">
      <c r="A11" s="3229" t="s">
        <v>1</v>
      </c>
      <c r="B11" s="3229" t="s">
        <v>669</v>
      </c>
      <c r="C11" s="3230" t="s">
        <v>7</v>
      </c>
      <c r="D11" s="3231" t="s">
        <v>670</v>
      </c>
      <c r="E11" s="3231" t="s">
        <v>671</v>
      </c>
      <c r="F11" s="3231" t="s">
        <v>1577</v>
      </c>
      <c r="G11" s="3231" t="s">
        <v>1578</v>
      </c>
      <c r="H11" s="3232" t="s">
        <v>634</v>
      </c>
    </row>
    <row r="12" spans="1:12" s="3239" customFormat="1">
      <c r="A12" s="3234">
        <v>1</v>
      </c>
      <c r="B12" s="3235" t="s">
        <v>1609</v>
      </c>
      <c r="C12" s="3236" t="s">
        <v>247</v>
      </c>
      <c r="D12" s="3237"/>
      <c r="E12" s="3237"/>
      <c r="F12" s="3237"/>
      <c r="G12" s="3237">
        <v>3750000</v>
      </c>
      <c r="H12" s="3238"/>
      <c r="J12" s="3220"/>
      <c r="K12" s="3240">
        <v>4500000</v>
      </c>
    </row>
    <row r="13" spans="1:12" s="3239" customFormat="1">
      <c r="A13" s="3234">
        <v>2</v>
      </c>
      <c r="B13" s="3235" t="s">
        <v>1579</v>
      </c>
      <c r="C13" s="3236" t="s">
        <v>247</v>
      </c>
      <c r="D13" s="3237"/>
      <c r="E13" s="3237"/>
      <c r="F13" s="3237"/>
      <c r="G13" s="3237">
        <v>3000000</v>
      </c>
      <c r="H13" s="3238"/>
      <c r="J13" s="3220"/>
      <c r="K13" s="3240">
        <v>5000000</v>
      </c>
      <c r="L13" s="3239">
        <v>870</v>
      </c>
    </row>
    <row r="14" spans="1:12" s="3239" customFormat="1">
      <c r="A14" s="3234">
        <v>3</v>
      </c>
      <c r="B14" s="3235" t="s">
        <v>1580</v>
      </c>
      <c r="C14" s="3236" t="s">
        <v>247</v>
      </c>
      <c r="D14" s="3237"/>
      <c r="E14" s="3237"/>
      <c r="F14" s="3237"/>
      <c r="G14" s="3241">
        <v>500000</v>
      </c>
      <c r="H14" s="3238"/>
      <c r="J14" s="3242" t="e">
        <f>G17-#REF!</f>
        <v>#REF!</v>
      </c>
      <c r="K14" s="3240">
        <v>4356250</v>
      </c>
      <c r="L14" s="3239">
        <v>600</v>
      </c>
    </row>
    <row r="15" spans="1:12" s="3239" customFormat="1">
      <c r="A15" s="3234">
        <v>4</v>
      </c>
      <c r="B15" s="3235" t="s">
        <v>1581</v>
      </c>
      <c r="C15" s="3236" t="s">
        <v>247</v>
      </c>
      <c r="D15" s="3237"/>
      <c r="E15" s="3237"/>
      <c r="F15" s="3237"/>
      <c r="G15" s="3237">
        <v>500000</v>
      </c>
      <c r="H15" s="3238"/>
      <c r="J15" s="3220"/>
      <c r="K15" s="3240">
        <v>1573120</v>
      </c>
      <c r="L15" s="3239">
        <v>4560</v>
      </c>
    </row>
    <row r="16" spans="1:12" s="3239" customFormat="1">
      <c r="A16" s="3234">
        <v>5</v>
      </c>
      <c r="B16" s="3235" t="s">
        <v>1853</v>
      </c>
      <c r="C16" s="3236" t="s">
        <v>247</v>
      </c>
      <c r="D16" s="3237"/>
      <c r="E16" s="3237"/>
      <c r="F16" s="3237"/>
      <c r="G16" s="3237">
        <f>'PC XĂNG XE'!J15</f>
        <v>1620000</v>
      </c>
      <c r="H16" s="3238"/>
      <c r="J16" s="3220"/>
      <c r="K16" s="3240"/>
    </row>
    <row r="17" spans="1:12">
      <c r="A17" s="4460" t="s">
        <v>677</v>
      </c>
      <c r="B17" s="4460"/>
      <c r="C17" s="3243"/>
      <c r="D17" s="3237"/>
      <c r="E17" s="3244"/>
      <c r="F17" s="3237"/>
      <c r="G17" s="3244">
        <f>SUM(G12:G16)</f>
        <v>9370000</v>
      </c>
      <c r="H17" s="3245"/>
      <c r="J17" s="56" t="e">
        <f>#REF!</f>
        <v>#REF!</v>
      </c>
      <c r="K17" s="3223">
        <f>SUM(K12:K15)</f>
        <v>15429370</v>
      </c>
      <c r="L17" s="3246"/>
    </row>
    <row r="18" spans="1:12">
      <c r="A18" s="4042" t="s">
        <v>1854</v>
      </c>
      <c r="B18" s="4043"/>
      <c r="C18" s="4043"/>
      <c r="D18" s="4043"/>
      <c r="E18" s="4043"/>
      <c r="F18" s="4043"/>
      <c r="G18" s="4043"/>
      <c r="H18" s="4044"/>
      <c r="J18" s="3246">
        <v>5960000</v>
      </c>
      <c r="K18" s="2683"/>
    </row>
    <row r="19" spans="1:12" s="3253" customFormat="1" ht="18.75">
      <c r="A19" s="3247"/>
      <c r="B19" s="3247"/>
      <c r="C19" s="3248"/>
      <c r="D19" s="3249"/>
      <c r="E19" s="3250"/>
      <c r="F19" s="3251"/>
      <c r="G19" s="3251"/>
      <c r="H19" s="3252"/>
      <c r="J19" s="3254" t="e">
        <f>G17+#REF!</f>
        <v>#REF!</v>
      </c>
      <c r="K19" s="3255"/>
      <c r="L19" s="3256"/>
    </row>
    <row r="20" spans="1:12" s="3253" customFormat="1" ht="18.75">
      <c r="A20" s="3257"/>
      <c r="B20" s="3257"/>
      <c r="C20" s="4461" t="s">
        <v>1773</v>
      </c>
      <c r="D20" s="4461"/>
      <c r="E20" s="4461"/>
      <c r="F20" s="4461"/>
      <c r="G20" s="4461"/>
      <c r="H20" s="4461"/>
      <c r="J20" s="3258">
        <v>5940000</v>
      </c>
      <c r="K20" s="3259"/>
    </row>
    <row r="21" spans="1:12" s="3253" customFormat="1" ht="18.75">
      <c r="A21" s="3257"/>
      <c r="B21" s="3257"/>
      <c r="C21" s="3260"/>
      <c r="D21" s="3261"/>
      <c r="E21" s="3250"/>
      <c r="F21" s="3218"/>
      <c r="G21" s="3218"/>
      <c r="H21" s="3218"/>
      <c r="J21" s="3258"/>
      <c r="K21" s="3259"/>
    </row>
    <row r="22" spans="1:12" s="3262" customFormat="1" ht="18.75">
      <c r="A22" s="4462" t="s">
        <v>1582</v>
      </c>
      <c r="B22" s="4462"/>
      <c r="C22" s="4462"/>
      <c r="D22" s="4462"/>
      <c r="E22" s="4462"/>
      <c r="F22" s="4462"/>
      <c r="G22" s="4462"/>
      <c r="H22" s="4462"/>
      <c r="J22" s="3263" t="e">
        <f>SUM(J17:J18)</f>
        <v>#REF!</v>
      </c>
      <c r="K22" s="3264"/>
    </row>
    <row r="23" spans="1:12" s="3253" customFormat="1" ht="18.75">
      <c r="A23" s="3257"/>
      <c r="B23" s="3257"/>
      <c r="C23" s="3260"/>
      <c r="D23" s="3261"/>
      <c r="E23" s="3250"/>
      <c r="F23" s="3265"/>
      <c r="G23" s="3261"/>
      <c r="H23" s="3266"/>
      <c r="J23" s="3267">
        <v>109000000</v>
      </c>
    </row>
    <row r="24" spans="1:12" s="3253" customFormat="1" ht="18.75">
      <c r="A24" s="3257"/>
      <c r="B24" s="3257"/>
      <c r="C24" s="3260"/>
      <c r="D24" s="3261"/>
      <c r="E24" s="3250"/>
      <c r="F24" s="3265"/>
      <c r="G24" s="3261"/>
      <c r="H24" s="3266"/>
      <c r="J24" s="3267" t="e">
        <f>J23-J22</f>
        <v>#REF!</v>
      </c>
    </row>
    <row r="25" spans="1:12" s="3253" customFormat="1" ht="18.75">
      <c r="A25" s="3257"/>
      <c r="B25" s="3257"/>
      <c r="C25" s="3260"/>
      <c r="D25" s="3261"/>
      <c r="E25" s="3250"/>
      <c r="F25" s="3265"/>
      <c r="G25" s="3261"/>
      <c r="H25" s="3266"/>
    </row>
    <row r="26" spans="1:12" s="3253" customFormat="1" ht="18.75">
      <c r="A26" s="3257"/>
      <c r="B26" s="3257"/>
      <c r="C26" s="3260"/>
      <c r="D26" s="3261"/>
      <c r="E26" s="3250"/>
      <c r="F26" s="3265"/>
      <c r="G26" s="3261"/>
      <c r="H26" s="3266"/>
    </row>
    <row r="27" spans="1:12" s="3253" customFormat="1" ht="18.75">
      <c r="A27" s="3257"/>
      <c r="B27" s="3257"/>
      <c r="C27" s="3260"/>
      <c r="D27" s="3261"/>
      <c r="E27" s="3250"/>
      <c r="F27" s="4458"/>
      <c r="G27" s="4458"/>
      <c r="H27" s="4458"/>
    </row>
    <row r="28" spans="1:12">
      <c r="A28" s="3268"/>
      <c r="B28" s="3268"/>
      <c r="C28" s="3269"/>
      <c r="D28" s="3270"/>
      <c r="E28" s="3270"/>
      <c r="F28" s="3270"/>
      <c r="G28" s="3270"/>
      <c r="H28" s="3271"/>
    </row>
    <row r="29" spans="1:12">
      <c r="A29" s="3268"/>
      <c r="B29" s="3272"/>
      <c r="C29" s="3269"/>
      <c r="D29" s="3270"/>
      <c r="E29" s="3273"/>
      <c r="F29" s="3273"/>
      <c r="G29" s="3273"/>
      <c r="H29" s="3274"/>
      <c r="J29" s="3242" t="e">
        <f>G17+#REF!</f>
        <v>#REF!</v>
      </c>
    </row>
    <row r="32" spans="1:12" ht="18.75">
      <c r="A32" s="4458"/>
      <c r="B32" s="4458"/>
      <c r="C32" s="4458"/>
      <c r="D32" s="4458"/>
      <c r="E32" s="4458"/>
      <c r="F32" s="4458"/>
      <c r="G32" s="4458"/>
      <c r="H32" s="4458"/>
    </row>
  </sheetData>
  <mergeCells count="13">
    <mergeCell ref="A8:H8"/>
    <mergeCell ref="A1:H1"/>
    <mergeCell ref="A2:H2"/>
    <mergeCell ref="A3:H3"/>
    <mergeCell ref="A5:C5"/>
    <mergeCell ref="A6:C6"/>
    <mergeCell ref="A32:H32"/>
    <mergeCell ref="A9:H9"/>
    <mergeCell ref="A17:B17"/>
    <mergeCell ref="A18:H18"/>
    <mergeCell ref="C20:H20"/>
    <mergeCell ref="A22:H22"/>
    <mergeCell ref="F27:H27"/>
  </mergeCells>
  <pageMargins left="0.7" right="0.7" top="0.75" bottom="0.31" header="0.3" footer="0.3"/>
  <pageSetup paperSize="9" orientation="landscape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13"/>
  <sheetViews>
    <sheetView workbookViewId="0">
      <selection sqref="A1:XFD1048576"/>
    </sheetView>
  </sheetViews>
  <sheetFormatPr defaultRowHeight="15.75"/>
  <cols>
    <col min="1" max="1" width="4.25" style="1852" customWidth="1"/>
    <col min="2" max="2" width="28" style="1853" customWidth="1"/>
    <col min="3" max="3" width="6" style="1854" customWidth="1"/>
    <col min="4" max="4" width="5.125" style="2369" customWidth="1"/>
    <col min="5" max="5" width="5.75" style="1856" customWidth="1"/>
    <col min="6" max="6" width="5.75" style="1857" customWidth="1"/>
    <col min="7" max="7" width="5.75" style="1858" customWidth="1"/>
    <col min="8" max="8" width="5.75" style="1857" customWidth="1"/>
    <col min="9" max="9" width="5.75" style="2370" customWidth="1"/>
    <col min="10" max="10" width="5.75" style="2371" customWidth="1"/>
    <col min="11" max="11" width="5.75" style="2372" customWidth="1"/>
    <col min="12" max="12" width="5.75" style="2373" customWidth="1"/>
    <col min="13" max="13" width="7.25" style="1859" customWidth="1"/>
    <col min="14" max="14" width="3.75" style="1857" customWidth="1"/>
    <col min="15" max="15" width="8.875" style="1847" customWidth="1"/>
    <col min="16" max="17" width="6.375" style="1860" customWidth="1"/>
    <col min="18" max="18" width="9.75" customWidth="1"/>
  </cols>
  <sheetData>
    <row r="1" spans="1:21" ht="16.5">
      <c r="A1" s="4081" t="s">
        <v>165</v>
      </c>
      <c r="B1" s="4081"/>
      <c r="C1" s="4081"/>
      <c r="D1" s="4081"/>
      <c r="E1" s="4081"/>
      <c r="F1" s="4081"/>
      <c r="G1" s="4081"/>
      <c r="H1" s="4081"/>
      <c r="I1" s="4081"/>
      <c r="J1" s="4081"/>
      <c r="K1" s="4081"/>
      <c r="L1" s="4081"/>
      <c r="M1" s="4081"/>
      <c r="N1" s="4081"/>
      <c r="O1" s="4081"/>
      <c r="P1" s="4081"/>
    </row>
    <row r="2" spans="1:21" ht="16.5">
      <c r="A2" s="4081" t="s">
        <v>171</v>
      </c>
      <c r="B2" s="4081"/>
      <c r="C2" s="4081"/>
      <c r="D2" s="4081"/>
      <c r="E2" s="4081"/>
      <c r="F2" s="4081"/>
      <c r="G2" s="4081"/>
      <c r="H2" s="4081"/>
      <c r="I2" s="4081"/>
      <c r="J2" s="4081"/>
      <c r="K2" s="4081"/>
      <c r="L2" s="4081"/>
      <c r="M2" s="4081"/>
      <c r="N2" s="4081"/>
      <c r="O2" s="4081"/>
      <c r="P2" s="4081"/>
    </row>
    <row r="3" spans="1:21" ht="16.5">
      <c r="A3" s="4087" t="s">
        <v>726</v>
      </c>
      <c r="B3" s="4087"/>
      <c r="C3" s="4087"/>
      <c r="D3" s="4087"/>
      <c r="E3" s="4087"/>
      <c r="F3" s="4087"/>
      <c r="G3" s="4087"/>
      <c r="H3" s="4087"/>
      <c r="I3" s="4087"/>
      <c r="J3" s="4087"/>
      <c r="K3" s="4087"/>
      <c r="L3" s="4087"/>
      <c r="M3" s="4087"/>
      <c r="N3" s="4087"/>
      <c r="O3" s="4087"/>
      <c r="P3" s="4087"/>
    </row>
    <row r="4" spans="1:21">
      <c r="A4" s="4512" t="s">
        <v>809</v>
      </c>
      <c r="B4" s="4512"/>
      <c r="C4" s="4512"/>
      <c r="D4" s="4512"/>
      <c r="E4" s="4512"/>
      <c r="F4" s="4512"/>
      <c r="G4" s="4512"/>
      <c r="H4" s="4512"/>
      <c r="I4" s="4512"/>
      <c r="J4" s="4512"/>
      <c r="K4" s="4512"/>
      <c r="L4" s="4512"/>
      <c r="M4" s="4512"/>
      <c r="N4" s="4512"/>
      <c r="O4" s="4512"/>
      <c r="P4" s="4512"/>
      <c r="Q4" s="2311"/>
    </row>
    <row r="5" spans="1:21">
      <c r="A5" s="4512" t="s">
        <v>541</v>
      </c>
      <c r="B5" s="4512"/>
      <c r="C5" s="4512"/>
      <c r="D5" s="4512"/>
      <c r="E5" s="4512"/>
      <c r="F5" s="4512"/>
      <c r="G5" s="4512"/>
      <c r="H5" s="4512"/>
      <c r="I5" s="4512"/>
      <c r="J5" s="4512"/>
      <c r="K5" s="4512"/>
      <c r="L5" s="4512"/>
      <c r="M5" s="4512"/>
      <c r="N5" s="4512"/>
      <c r="O5" s="4512"/>
      <c r="P5" s="4512"/>
      <c r="Q5" s="2311"/>
    </row>
    <row r="6" spans="1:21" ht="18.75" customHeight="1">
      <c r="A6" s="1755"/>
      <c r="B6" s="1755"/>
      <c r="C6" s="1755"/>
      <c r="D6" s="1757"/>
      <c r="E6" s="1752"/>
      <c r="F6" s="1753"/>
      <c r="G6" s="1754"/>
      <c r="H6" s="1753"/>
      <c r="I6" s="2331"/>
      <c r="J6" s="2332"/>
      <c r="K6" s="1756"/>
      <c r="L6" s="1757"/>
      <c r="M6" s="1758"/>
      <c r="N6" s="1755"/>
      <c r="O6" s="1759"/>
      <c r="P6" s="1755"/>
      <c r="Q6" s="1755"/>
    </row>
    <row r="7" spans="1:21" ht="18.75">
      <c r="A7" s="4504" t="s">
        <v>1215</v>
      </c>
      <c r="B7" s="4504"/>
      <c r="C7" s="4504"/>
      <c r="D7" s="4504"/>
      <c r="E7" s="4504"/>
      <c r="F7" s="4504"/>
      <c r="G7" s="4504"/>
      <c r="H7" s="4504"/>
      <c r="I7" s="4504"/>
      <c r="J7" s="4504"/>
      <c r="K7" s="4504"/>
      <c r="L7" s="4504"/>
      <c r="M7" s="4504"/>
      <c r="N7" s="4504"/>
      <c r="O7" s="4504"/>
      <c r="P7" s="4504"/>
      <c r="Q7" s="2312"/>
      <c r="R7" s="1760"/>
      <c r="S7" s="1760"/>
      <c r="T7" s="1760"/>
      <c r="U7" s="1760"/>
    </row>
    <row r="8" spans="1:21" ht="15">
      <c r="A8" s="4505" t="s">
        <v>1216</v>
      </c>
      <c r="B8" s="4505"/>
      <c r="C8" s="4505"/>
      <c r="D8" s="4505"/>
      <c r="E8" s="4505"/>
      <c r="F8" s="4505"/>
      <c r="G8" s="4505"/>
      <c r="H8" s="4505"/>
      <c r="I8" s="4505"/>
      <c r="J8" s="4505"/>
      <c r="K8" s="4505"/>
      <c r="L8" s="4505"/>
      <c r="M8" s="4505"/>
      <c r="N8" s="4505"/>
      <c r="O8" s="4505"/>
      <c r="P8" s="4505"/>
      <c r="Q8" s="2310"/>
      <c r="R8" s="1760"/>
      <c r="S8" s="1760"/>
      <c r="T8" s="1760"/>
      <c r="U8" s="1760"/>
    </row>
    <row r="9" spans="1:21" ht="16.5">
      <c r="A9" s="4506" t="s">
        <v>19</v>
      </c>
      <c r="B9" s="4506" t="s">
        <v>1217</v>
      </c>
      <c r="C9" s="4507" t="s">
        <v>623</v>
      </c>
      <c r="D9" s="4508" t="s">
        <v>361</v>
      </c>
      <c r="E9" s="4509" t="s">
        <v>811</v>
      </c>
      <c r="F9" s="4509"/>
      <c r="G9" s="4509"/>
      <c r="H9" s="4509"/>
      <c r="I9" s="4509"/>
      <c r="J9" s="4509"/>
      <c r="K9" s="4509"/>
      <c r="L9" s="4509"/>
      <c r="M9" s="4509"/>
      <c r="N9" s="4509" t="s">
        <v>812</v>
      </c>
      <c r="O9" s="4510" t="s">
        <v>47</v>
      </c>
      <c r="P9" s="4511" t="s">
        <v>813</v>
      </c>
      <c r="Q9" s="2333"/>
      <c r="R9" s="1760"/>
      <c r="S9" s="1760"/>
      <c r="T9" s="1760"/>
      <c r="U9" s="1760"/>
    </row>
    <row r="10" spans="1:21" ht="16.5">
      <c r="A10" s="4506"/>
      <c r="B10" s="4506"/>
      <c r="C10" s="4507"/>
      <c r="D10" s="4508"/>
      <c r="E10" s="1761" t="s">
        <v>814</v>
      </c>
      <c r="F10" s="1761" t="s">
        <v>815</v>
      </c>
      <c r="G10" s="1761" t="s">
        <v>814</v>
      </c>
      <c r="H10" s="1761" t="s">
        <v>815</v>
      </c>
      <c r="I10" s="1761" t="s">
        <v>814</v>
      </c>
      <c r="J10" s="1761" t="s">
        <v>815</v>
      </c>
      <c r="K10" s="1761" t="s">
        <v>814</v>
      </c>
      <c r="L10" s="1762" t="s">
        <v>815</v>
      </c>
      <c r="M10" s="1763" t="s">
        <v>21</v>
      </c>
      <c r="N10" s="4509"/>
      <c r="O10" s="4510"/>
      <c r="P10" s="4511"/>
      <c r="Q10" s="2333"/>
      <c r="R10" s="1760"/>
      <c r="S10" s="1760"/>
      <c r="T10" s="1760"/>
      <c r="U10" s="1760"/>
    </row>
    <row r="11" spans="1:21" ht="33" customHeight="1">
      <c r="A11" s="1764" t="s">
        <v>52</v>
      </c>
      <c r="B11" s="1765" t="s">
        <v>816</v>
      </c>
      <c r="C11" s="1766"/>
      <c r="D11" s="2334"/>
      <c r="E11" s="1767"/>
      <c r="F11" s="1767"/>
      <c r="G11" s="1767"/>
      <c r="H11" s="1767"/>
      <c r="I11" s="1767"/>
      <c r="J11" s="1767"/>
      <c r="K11" s="1767"/>
      <c r="L11" s="1768"/>
      <c r="M11" s="1769"/>
      <c r="N11" s="1767"/>
      <c r="O11" s="1770">
        <f>O20+O15+O12</f>
        <v>11719.650720607002</v>
      </c>
      <c r="P11" s="1771"/>
      <c r="Q11" s="2335"/>
      <c r="R11" s="1760"/>
      <c r="S11" s="1760"/>
      <c r="T11" s="1760"/>
      <c r="U11" s="1760"/>
    </row>
    <row r="12" spans="1:21" ht="32.25" customHeight="1">
      <c r="A12" s="1772" t="s">
        <v>147</v>
      </c>
      <c r="B12" s="1773" t="s">
        <v>817</v>
      </c>
      <c r="C12" s="1774"/>
      <c r="D12" s="1776"/>
      <c r="E12" s="1775"/>
      <c r="F12" s="1775"/>
      <c r="G12" s="1775"/>
      <c r="H12" s="1775"/>
      <c r="I12" s="1775"/>
      <c r="J12" s="1775"/>
      <c r="K12" s="1775"/>
      <c r="L12" s="1776"/>
      <c r="M12" s="1777"/>
      <c r="N12" s="1775"/>
      <c r="O12" s="1778"/>
      <c r="P12" s="1779"/>
      <c r="Q12" s="2336"/>
      <c r="R12" s="1760"/>
      <c r="S12" s="1760"/>
      <c r="T12" s="1760"/>
      <c r="U12" s="1760"/>
    </row>
    <row r="13" spans="1:21" ht="32.25" customHeight="1">
      <c r="A13" s="1780">
        <v>1</v>
      </c>
      <c r="B13" s="1781" t="s">
        <v>49</v>
      </c>
      <c r="C13" s="1782" t="s">
        <v>818</v>
      </c>
      <c r="D13" s="2337"/>
      <c r="E13" s="1775"/>
      <c r="F13" s="2309"/>
      <c r="G13" s="1775"/>
      <c r="H13" s="1775"/>
      <c r="I13" s="1775"/>
      <c r="J13" s="1775"/>
      <c r="K13" s="1775"/>
      <c r="L13" s="1776"/>
      <c r="M13" s="1777"/>
      <c r="N13" s="2309"/>
      <c r="O13" s="1778"/>
      <c r="P13" s="1783"/>
      <c r="Q13" s="2338"/>
      <c r="R13" s="1760"/>
      <c r="S13" s="1760"/>
      <c r="T13" s="1760"/>
      <c r="U13" s="1760"/>
    </row>
    <row r="14" spans="1:21" ht="32.25" customHeight="1">
      <c r="A14" s="1780">
        <v>2</v>
      </c>
      <c r="B14" s="1781" t="s">
        <v>819</v>
      </c>
      <c r="C14" s="1782" t="s">
        <v>818</v>
      </c>
      <c r="D14" s="2337"/>
      <c r="E14" s="1775"/>
      <c r="F14" s="2309"/>
      <c r="G14" s="1775"/>
      <c r="H14" s="1775"/>
      <c r="I14" s="1775"/>
      <c r="J14" s="1775"/>
      <c r="K14" s="1775"/>
      <c r="L14" s="1776"/>
      <c r="M14" s="2339">
        <v>92</v>
      </c>
      <c r="N14" s="2309"/>
      <c r="O14" s="1778"/>
      <c r="P14" s="1785"/>
      <c r="Q14" s="2340"/>
      <c r="R14" s="1760"/>
      <c r="S14" s="1760"/>
      <c r="T14" s="1760"/>
      <c r="U14" s="1760"/>
    </row>
    <row r="15" spans="1:21" ht="27.75" customHeight="1">
      <c r="A15" s="1772" t="s">
        <v>148</v>
      </c>
      <c r="B15" s="1773" t="s">
        <v>820</v>
      </c>
      <c r="C15" s="1786"/>
      <c r="D15" s="1776"/>
      <c r="E15" s="1775"/>
      <c r="F15" s="1775"/>
      <c r="G15" s="1775"/>
      <c r="H15" s="1775"/>
      <c r="I15" s="1775"/>
      <c r="J15" s="1775"/>
      <c r="K15" s="1775"/>
      <c r="L15" s="1776"/>
      <c r="M15" s="1777"/>
      <c r="N15" s="1775"/>
      <c r="O15" s="1778">
        <f>SUM(O16:O19)</f>
        <v>4566.8</v>
      </c>
      <c r="P15" s="1779"/>
      <c r="Q15" s="2336"/>
      <c r="R15" s="1760"/>
      <c r="S15" s="1760"/>
      <c r="T15" s="1760"/>
      <c r="U15" s="1760"/>
    </row>
    <row r="16" spans="1:21" ht="38.25" customHeight="1">
      <c r="A16" s="1780">
        <v>1</v>
      </c>
      <c r="B16" s="1781" t="s">
        <v>821</v>
      </c>
      <c r="C16" s="1787" t="s">
        <v>362</v>
      </c>
      <c r="D16" s="2337"/>
      <c r="E16" s="4501" t="s">
        <v>1039</v>
      </c>
      <c r="F16" s="4501"/>
      <c r="G16" s="4501"/>
      <c r="H16" s="4501"/>
      <c r="I16" s="4501"/>
      <c r="J16" s="4501"/>
      <c r="K16" s="4501"/>
      <c r="L16" s="4501"/>
      <c r="M16" s="1777"/>
      <c r="N16" s="2309"/>
      <c r="O16" s="1788">
        <f>59*4*70/25</f>
        <v>660.8</v>
      </c>
      <c r="P16" s="1785"/>
      <c r="Q16" s="2340"/>
      <c r="R16" s="1760"/>
      <c r="S16" s="1760"/>
      <c r="T16" s="1760"/>
      <c r="U16" s="1760"/>
    </row>
    <row r="17" spans="1:29" ht="38.25" customHeight="1">
      <c r="A17" s="1780">
        <v>2</v>
      </c>
      <c r="B17" s="1781" t="s">
        <v>822</v>
      </c>
      <c r="C17" s="1782" t="s">
        <v>362</v>
      </c>
      <c r="D17" s="2337"/>
      <c r="E17" s="4501" t="s">
        <v>1040</v>
      </c>
      <c r="F17" s="4501"/>
      <c r="G17" s="4501"/>
      <c r="H17" s="4501"/>
      <c r="I17" s="4501"/>
      <c r="J17" s="4501"/>
      <c r="K17" s="4501"/>
      <c r="L17" s="4501"/>
      <c r="M17" s="1777"/>
      <c r="N17" s="2309"/>
      <c r="O17" s="1788">
        <f>59*27*50/25</f>
        <v>3186</v>
      </c>
      <c r="P17" s="1785"/>
      <c r="Q17" s="2340"/>
      <c r="R17" s="1760"/>
      <c r="S17" s="1760"/>
      <c r="T17" s="1760"/>
      <c r="U17" s="1760"/>
    </row>
    <row r="18" spans="1:29" ht="38.25" customHeight="1">
      <c r="A18" s="1780">
        <v>3</v>
      </c>
      <c r="B18" s="1781" t="s">
        <v>1041</v>
      </c>
      <c r="C18" s="1787" t="s">
        <v>362</v>
      </c>
      <c r="D18" s="2337"/>
      <c r="E18" s="4501" t="s">
        <v>1042</v>
      </c>
      <c r="F18" s="4501"/>
      <c r="G18" s="4501"/>
      <c r="H18" s="4501"/>
      <c r="I18" s="4501"/>
      <c r="J18" s="4501"/>
      <c r="K18" s="4501"/>
      <c r="L18" s="4501"/>
      <c r="M18" s="1777"/>
      <c r="N18" s="2309"/>
      <c r="O18" s="1788">
        <f>8*4*90/25</f>
        <v>115.2</v>
      </c>
      <c r="P18" s="1785"/>
      <c r="Q18" s="2340"/>
      <c r="R18" s="1760"/>
      <c r="S18" s="1760"/>
      <c r="T18" s="1760"/>
      <c r="U18" s="1760"/>
    </row>
    <row r="19" spans="1:29" ht="37.5" customHeight="1">
      <c r="A19" s="1780">
        <v>4</v>
      </c>
      <c r="B19" s="1781" t="s">
        <v>1043</v>
      </c>
      <c r="C19" s="1782" t="s">
        <v>362</v>
      </c>
      <c r="D19" s="2337"/>
      <c r="E19" s="4501" t="s">
        <v>1044</v>
      </c>
      <c r="F19" s="4501"/>
      <c r="G19" s="4501"/>
      <c r="H19" s="4501"/>
      <c r="I19" s="4501"/>
      <c r="J19" s="4501"/>
      <c r="K19" s="4501"/>
      <c r="L19" s="4501"/>
      <c r="M19" s="1777"/>
      <c r="N19" s="2309"/>
      <c r="O19" s="1788">
        <f>8*27*70/25</f>
        <v>604.79999999999995</v>
      </c>
      <c r="P19" s="1785"/>
      <c r="Q19" s="2340"/>
      <c r="R19" s="1760"/>
      <c r="S19" s="1760"/>
      <c r="T19" s="1760"/>
      <c r="U19" s="1760"/>
    </row>
    <row r="20" spans="1:29" ht="27" customHeight="1">
      <c r="A20" s="1789" t="s">
        <v>149</v>
      </c>
      <c r="B20" s="1790" t="s">
        <v>958</v>
      </c>
      <c r="C20" s="1787"/>
      <c r="D20" s="1820"/>
      <c r="E20" s="1792"/>
      <c r="F20" s="1793"/>
      <c r="G20" s="1792"/>
      <c r="H20" s="1793"/>
      <c r="I20" s="1816"/>
      <c r="J20" s="1795"/>
      <c r="K20" s="1816"/>
      <c r="L20" s="2341"/>
      <c r="M20" s="1794"/>
      <c r="N20" s="1795"/>
      <c r="O20" s="1796">
        <f>+O21+O49+O30</f>
        <v>7152.8507206070008</v>
      </c>
      <c r="P20" s="2342"/>
      <c r="Q20" s="2343"/>
      <c r="R20" s="1760"/>
      <c r="S20" s="1760"/>
      <c r="T20" s="1760"/>
      <c r="U20" s="1760"/>
    </row>
    <row r="21" spans="1:29" ht="27.75" customHeight="1">
      <c r="A21" s="1789">
        <v>1</v>
      </c>
      <c r="B21" s="1790" t="s">
        <v>927</v>
      </c>
      <c r="C21" s="1787"/>
      <c r="D21" s="1820"/>
      <c r="E21" s="1792"/>
      <c r="F21" s="1793"/>
      <c r="G21" s="1792"/>
      <c r="H21" s="1793"/>
      <c r="I21" s="1816"/>
      <c r="J21" s="1795"/>
      <c r="K21" s="1816"/>
      <c r="L21" s="2341"/>
      <c r="M21" s="1794"/>
      <c r="N21" s="1795"/>
      <c r="O21" s="1796">
        <f>+SUM(O22:O29)</f>
        <v>628.12057225199999</v>
      </c>
      <c r="P21" s="2342"/>
      <c r="Q21" s="2343"/>
      <c r="R21" s="4502" t="s">
        <v>1213</v>
      </c>
      <c r="S21" s="4503"/>
      <c r="T21" s="2344" t="s">
        <v>1218</v>
      </c>
      <c r="U21" s="2344"/>
      <c r="V21" s="2345" t="s">
        <v>1219</v>
      </c>
      <c r="W21" s="2345"/>
      <c r="X21" s="2345" t="s">
        <v>1220</v>
      </c>
      <c r="Y21" s="2345" t="s">
        <v>1221</v>
      </c>
      <c r="Z21" s="2345" t="s">
        <v>1222</v>
      </c>
      <c r="AA21" s="2345" t="s">
        <v>1223</v>
      </c>
    </row>
    <row r="22" spans="1:29" ht="33.75" customHeight="1">
      <c r="A22" s="1798" t="s">
        <v>837</v>
      </c>
      <c r="B22" s="1781" t="s">
        <v>1045</v>
      </c>
      <c r="C22" s="1787" t="s">
        <v>959</v>
      </c>
      <c r="D22" s="1820">
        <f>25000/175000</f>
        <v>0.14285714285714285</v>
      </c>
      <c r="E22" s="1799"/>
      <c r="F22" s="1800"/>
      <c r="G22" s="1801"/>
      <c r="H22" s="1802"/>
      <c r="I22" s="1799"/>
      <c r="J22" s="1802"/>
      <c r="K22" s="1816"/>
      <c r="L22" s="2341"/>
      <c r="M22" s="1794">
        <v>23</v>
      </c>
      <c r="N22" s="1795">
        <v>1</v>
      </c>
      <c r="O22" s="1788">
        <f>ROUND((M22/D22)*N22,9)</f>
        <v>161</v>
      </c>
      <c r="P22" s="2342"/>
      <c r="Q22" s="2343"/>
      <c r="R22" s="2346" t="s">
        <v>1224</v>
      </c>
      <c r="S22" s="2344">
        <f>M25+M37</f>
        <v>89.42</v>
      </c>
      <c r="T22" s="2344">
        <f>M36+M54</f>
        <v>56.05</v>
      </c>
      <c r="U22" s="2344"/>
      <c r="V22" s="2347">
        <f>M28+M42+M55+M58</f>
        <v>330.34000000000003</v>
      </c>
      <c r="W22" s="2347"/>
      <c r="X22" s="2348">
        <f>M22+M31+M33+M51</f>
        <v>268</v>
      </c>
      <c r="Y22" s="2348">
        <f>M23+M34+M52</f>
        <v>268</v>
      </c>
      <c r="Z22" s="2348">
        <f>M24+M35+M53</f>
        <v>268</v>
      </c>
      <c r="AA22" s="2348">
        <f>M32</f>
        <v>44</v>
      </c>
    </row>
    <row r="23" spans="1:29" ht="23.25" customHeight="1">
      <c r="A23" s="1798" t="s">
        <v>838</v>
      </c>
      <c r="B23" s="1781" t="s">
        <v>1046</v>
      </c>
      <c r="C23" s="1787" t="s">
        <v>959</v>
      </c>
      <c r="D23" s="1820">
        <f>25000/150000</f>
        <v>0.16666666666666666</v>
      </c>
      <c r="E23" s="1799"/>
      <c r="F23" s="1800"/>
      <c r="G23" s="1801"/>
      <c r="H23" s="1802"/>
      <c r="I23" s="1799"/>
      <c r="J23" s="1802"/>
      <c r="K23" s="1816"/>
      <c r="L23" s="2341"/>
      <c r="M23" s="1794">
        <v>23</v>
      </c>
      <c r="N23" s="1795">
        <v>1</v>
      </c>
      <c r="O23" s="1788">
        <f>ROUND((M23/D23)*N23,9)</f>
        <v>138</v>
      </c>
      <c r="P23" s="2342"/>
      <c r="Q23" s="2343"/>
      <c r="R23" s="2346" t="s">
        <v>1075</v>
      </c>
      <c r="S23" s="2344">
        <f>M39</f>
        <v>24.12</v>
      </c>
      <c r="T23" s="2344"/>
      <c r="U23" s="2344" t="s">
        <v>1225</v>
      </c>
      <c r="V23" s="2348">
        <f>V22-M58</f>
        <v>288.17</v>
      </c>
      <c r="W23" s="2348">
        <f>V23*1.7</f>
        <v>489.88900000000001</v>
      </c>
      <c r="X23" s="2348"/>
      <c r="Y23" s="2348"/>
      <c r="Z23" s="2348"/>
      <c r="AA23" s="2348"/>
      <c r="AC23">
        <v>199.929617009677</v>
      </c>
    </row>
    <row r="24" spans="1:29" ht="23.25" customHeight="1">
      <c r="A24" s="1798" t="s">
        <v>1047</v>
      </c>
      <c r="B24" s="1781" t="s">
        <v>204</v>
      </c>
      <c r="C24" s="1787" t="s">
        <v>959</v>
      </c>
      <c r="D24" s="1820">
        <v>1.25</v>
      </c>
      <c r="E24" s="1799"/>
      <c r="F24" s="1800"/>
      <c r="G24" s="1801"/>
      <c r="H24" s="1802"/>
      <c r="I24" s="1799"/>
      <c r="J24" s="1802"/>
      <c r="K24" s="1816"/>
      <c r="L24" s="2341"/>
      <c r="M24" s="1794">
        <v>23</v>
      </c>
      <c r="N24" s="1795">
        <v>1</v>
      </c>
      <c r="O24" s="1788">
        <f>ROUND((M24/D24)*N24,9)</f>
        <v>18.399999999999999</v>
      </c>
      <c r="P24" s="2342"/>
      <c r="Q24" s="2343"/>
      <c r="R24" s="2346"/>
      <c r="S24" s="2346">
        <f>S22+S23</f>
        <v>113.54</v>
      </c>
      <c r="T24" s="2346">
        <f>T22+T23</f>
        <v>56.05</v>
      </c>
      <c r="U24" s="2346" t="s">
        <v>1226</v>
      </c>
      <c r="V24" s="2348">
        <f>V22-V23</f>
        <v>42.170000000000016</v>
      </c>
      <c r="W24" s="2348">
        <f>V24*2</f>
        <v>84.340000000000032</v>
      </c>
      <c r="X24" s="2348"/>
      <c r="Y24" s="2348"/>
      <c r="Z24" s="2348"/>
      <c r="AA24" s="2348"/>
    </row>
    <row r="25" spans="1:29" ht="24.75" customHeight="1">
      <c r="A25" s="4477" t="s">
        <v>1048</v>
      </c>
      <c r="B25" s="4479" t="s">
        <v>1055</v>
      </c>
      <c r="C25" s="4481" t="s">
        <v>1050</v>
      </c>
      <c r="D25" s="4483">
        <f>1/5</f>
        <v>0.2</v>
      </c>
      <c r="E25" s="1799">
        <v>8</v>
      </c>
      <c r="F25" s="1800">
        <v>1.87</v>
      </c>
      <c r="G25" s="1799">
        <v>9</v>
      </c>
      <c r="H25" s="1802">
        <v>9.84</v>
      </c>
      <c r="I25" s="1816" t="s">
        <v>1056</v>
      </c>
      <c r="J25" s="2341">
        <v>3.31</v>
      </c>
      <c r="K25" s="1816" t="s">
        <v>1059</v>
      </c>
      <c r="L25" s="2341">
        <v>3.5</v>
      </c>
      <c r="M25" s="4485">
        <f>+F25+H25+J25+L25+F26+H26+J26+L26</f>
        <v>30.220000000000002</v>
      </c>
      <c r="N25" s="4487">
        <v>1</v>
      </c>
      <c r="O25" s="4470">
        <f>ROUND((M25/D25)*N25,9)</f>
        <v>151.1</v>
      </c>
      <c r="P25" s="4498" t="s">
        <v>1058</v>
      </c>
      <c r="Q25" s="2349"/>
      <c r="R25" s="1760"/>
      <c r="S25" s="1797"/>
      <c r="T25" s="1797"/>
      <c r="U25" s="1797"/>
      <c r="W25">
        <f>W23+W24</f>
        <v>574.22900000000004</v>
      </c>
    </row>
    <row r="26" spans="1:29" ht="24.75" customHeight="1">
      <c r="A26" s="4492"/>
      <c r="B26" s="4480"/>
      <c r="C26" s="4494"/>
      <c r="D26" s="4495"/>
      <c r="E26" s="1801" t="s">
        <v>1057</v>
      </c>
      <c r="F26" s="1802">
        <v>6.21</v>
      </c>
      <c r="G26" s="1799" t="s">
        <v>1060</v>
      </c>
      <c r="H26" s="1802">
        <v>3.75</v>
      </c>
      <c r="I26" s="1816" t="s">
        <v>209</v>
      </c>
      <c r="J26" s="2341">
        <v>1.74</v>
      </c>
      <c r="K26" s="1816"/>
      <c r="L26" s="2341"/>
      <c r="M26" s="4496"/>
      <c r="N26" s="4497"/>
      <c r="O26" s="4491"/>
      <c r="P26" s="4500"/>
      <c r="Q26" s="2349"/>
      <c r="R26" s="1760"/>
      <c r="S26" s="1797"/>
      <c r="T26" s="1797"/>
      <c r="U26" s="1797"/>
    </row>
    <row r="27" spans="1:29" ht="24.75" customHeight="1">
      <c r="A27" s="1798" t="s">
        <v>1054</v>
      </c>
      <c r="B27" s="1781" t="s">
        <v>1063</v>
      </c>
      <c r="C27" s="1787" t="s">
        <v>818</v>
      </c>
      <c r="D27" s="1820">
        <v>1</v>
      </c>
      <c r="E27" s="1801"/>
      <c r="F27" s="1802"/>
      <c r="G27" s="1799"/>
      <c r="H27" s="1802"/>
      <c r="I27" s="1816"/>
      <c r="J27" s="2341"/>
      <c r="K27" s="1816"/>
      <c r="L27" s="2341"/>
      <c r="M27" s="1794">
        <f>M25*200/1000</f>
        <v>6.0440000000000005</v>
      </c>
      <c r="N27" s="1795">
        <v>1</v>
      </c>
      <c r="O27" s="1788">
        <f>ROUND((M27/D27)*N27,9)</f>
        <v>6.0439999999999996</v>
      </c>
      <c r="P27" s="2350"/>
      <c r="Q27" s="2349"/>
    </row>
    <row r="28" spans="1:29" ht="27.75" customHeight="1">
      <c r="A28" s="4477" t="s">
        <v>1062</v>
      </c>
      <c r="B28" s="4479" t="s">
        <v>1064</v>
      </c>
      <c r="C28" s="4481" t="s">
        <v>1050</v>
      </c>
      <c r="D28" s="4483">
        <v>0.20829999999999999</v>
      </c>
      <c r="E28" s="1801" t="s">
        <v>1061</v>
      </c>
      <c r="F28" s="1802">
        <v>1.22</v>
      </c>
      <c r="G28" s="1799" t="s">
        <v>1059</v>
      </c>
      <c r="H28" s="1802">
        <v>3.36</v>
      </c>
      <c r="I28" s="1816" t="s">
        <v>1060</v>
      </c>
      <c r="J28" s="2341">
        <v>3.99</v>
      </c>
      <c r="K28" s="1816">
        <v>8</v>
      </c>
      <c r="L28" s="2341">
        <v>2.2999999999999998</v>
      </c>
      <c r="M28" s="4485">
        <f>F28+H28+J28+L28+F29+H29+J29+L29</f>
        <v>31.990000000000002</v>
      </c>
      <c r="N28" s="4487">
        <v>1</v>
      </c>
      <c r="O28" s="4470">
        <f>ROUND((M28/D28)*N28,9)</f>
        <v>153.57657225200001</v>
      </c>
      <c r="P28" s="2350"/>
      <c r="Q28" s="2349"/>
      <c r="R28">
        <f>M28*1.7</f>
        <v>54.383000000000003</v>
      </c>
    </row>
    <row r="29" spans="1:29" ht="27.75" customHeight="1">
      <c r="A29" s="4478"/>
      <c r="B29" s="4480"/>
      <c r="C29" s="4482"/>
      <c r="D29" s="4484"/>
      <c r="E29" s="1801" t="s">
        <v>1056</v>
      </c>
      <c r="F29" s="1802">
        <v>3.16</v>
      </c>
      <c r="G29" s="1799" t="s">
        <v>1057</v>
      </c>
      <c r="H29" s="1802">
        <v>6.09</v>
      </c>
      <c r="I29" s="1816" t="s">
        <v>209</v>
      </c>
      <c r="J29" s="2341">
        <v>1.77</v>
      </c>
      <c r="K29" s="1816">
        <v>9</v>
      </c>
      <c r="L29" s="2341">
        <v>10.1</v>
      </c>
      <c r="M29" s="4486"/>
      <c r="N29" s="4488"/>
      <c r="O29" s="4471"/>
      <c r="P29" s="2350"/>
      <c r="Q29" s="2349"/>
    </row>
    <row r="30" spans="1:29" ht="21" customHeight="1">
      <c r="A30" s="1789">
        <v>2</v>
      </c>
      <c r="B30" s="1790" t="s">
        <v>824</v>
      </c>
      <c r="C30" s="1787"/>
      <c r="D30" s="1820"/>
      <c r="E30" s="1799"/>
      <c r="F30" s="1802"/>
      <c r="G30" s="1799"/>
      <c r="H30" s="1802"/>
      <c r="I30" s="1801"/>
      <c r="J30" s="1802"/>
      <c r="K30" s="1801"/>
      <c r="L30" s="1802"/>
      <c r="M30" s="1794"/>
      <c r="N30" s="1795"/>
      <c r="O30" s="1796">
        <f>+SUM(O31:O45)</f>
        <v>4170.3764513940005</v>
      </c>
      <c r="P30" s="2342"/>
      <c r="Q30" s="2343"/>
    </row>
    <row r="31" spans="1:29" ht="36" customHeight="1">
      <c r="A31" s="1798" t="s">
        <v>969</v>
      </c>
      <c r="B31" s="1781" t="s">
        <v>1045</v>
      </c>
      <c r="C31" s="1787" t="s">
        <v>959</v>
      </c>
      <c r="D31" s="1820">
        <f>25000/180000</f>
        <v>0.1388888888888889</v>
      </c>
      <c r="E31" s="1799"/>
      <c r="F31" s="1800"/>
      <c r="G31" s="1801"/>
      <c r="H31" s="1802"/>
      <c r="I31" s="1799"/>
      <c r="J31" s="1802"/>
      <c r="K31" s="1816"/>
      <c r="L31" s="2341"/>
      <c r="M31" s="1794">
        <v>88</v>
      </c>
      <c r="N31" s="1795">
        <v>1</v>
      </c>
      <c r="O31" s="1788">
        <f t="shared" ref="O31:O37" si="0">ROUND((M31/D31)*N31,9)</f>
        <v>633.6</v>
      </c>
      <c r="P31" s="2342"/>
      <c r="Q31" s="2343"/>
      <c r="R31" s="1760"/>
      <c r="T31" s="1760"/>
      <c r="U31" s="1760"/>
    </row>
    <row r="32" spans="1:29" ht="34.5" customHeight="1">
      <c r="A32" s="1798" t="s">
        <v>1065</v>
      </c>
      <c r="B32" s="2351" t="s">
        <v>1227</v>
      </c>
      <c r="C32" s="1787" t="s">
        <v>959</v>
      </c>
      <c r="D32" s="1820">
        <v>0.13</v>
      </c>
      <c r="E32" s="1799"/>
      <c r="F32" s="1802"/>
      <c r="G32" s="1801"/>
      <c r="H32" s="1802"/>
      <c r="I32" s="1799"/>
      <c r="J32" s="1802"/>
      <c r="K32" s="1799"/>
      <c r="L32" s="1802"/>
      <c r="M32" s="1794">
        <v>44</v>
      </c>
      <c r="N32" s="1795">
        <v>1</v>
      </c>
      <c r="O32" s="1788">
        <f t="shared" si="0"/>
        <v>338.46153846200002</v>
      </c>
      <c r="P32" s="2342"/>
      <c r="Q32" s="2343"/>
      <c r="R32" s="1760"/>
      <c r="S32" s="1760"/>
      <c r="T32" s="1760"/>
      <c r="U32" s="1760"/>
    </row>
    <row r="33" spans="1:21" ht="39" customHeight="1">
      <c r="A33" s="1798" t="s">
        <v>1066</v>
      </c>
      <c r="B33" s="1781" t="s">
        <v>1080</v>
      </c>
      <c r="C33" s="1787" t="s">
        <v>959</v>
      </c>
      <c r="D33" s="1820">
        <f>25000/200000</f>
        <v>0.125</v>
      </c>
      <c r="E33" s="1799"/>
      <c r="F33" s="1802"/>
      <c r="G33" s="1801"/>
      <c r="H33" s="1802"/>
      <c r="I33" s="1801"/>
      <c r="J33" s="1802"/>
      <c r="K33" s="2352"/>
      <c r="L33" s="1807"/>
      <c r="M33" s="1794">
        <v>64</v>
      </c>
      <c r="N33" s="1795">
        <v>1</v>
      </c>
      <c r="O33" s="1788">
        <f t="shared" si="0"/>
        <v>512</v>
      </c>
      <c r="P33" s="2342"/>
      <c r="Q33" s="2343"/>
      <c r="R33" s="1760"/>
      <c r="S33" s="1760"/>
      <c r="T33" s="1760"/>
      <c r="U33" s="1760"/>
    </row>
    <row r="34" spans="1:21" ht="22.5" customHeight="1">
      <c r="A34" s="1798" t="s">
        <v>1067</v>
      </c>
      <c r="B34" s="1781" t="s">
        <v>1046</v>
      </c>
      <c r="C34" s="1787" t="s">
        <v>959</v>
      </c>
      <c r="D34" s="1820">
        <f>25000/150000</f>
        <v>0.16666666666666666</v>
      </c>
      <c r="E34" s="1799"/>
      <c r="F34" s="1802"/>
      <c r="G34" s="1801"/>
      <c r="H34" s="1802"/>
      <c r="I34" s="1801"/>
      <c r="J34" s="1802"/>
      <c r="K34" s="2352"/>
      <c r="L34" s="1807"/>
      <c r="M34" s="1794">
        <v>152</v>
      </c>
      <c r="N34" s="1795">
        <v>1</v>
      </c>
      <c r="O34" s="1788">
        <f t="shared" si="0"/>
        <v>912</v>
      </c>
      <c r="P34" s="2342"/>
      <c r="Q34" s="2343"/>
      <c r="R34" s="1760"/>
      <c r="S34" s="1760"/>
      <c r="T34" s="1760"/>
      <c r="U34" s="1760"/>
    </row>
    <row r="35" spans="1:21" ht="20.25" customHeight="1">
      <c r="A35" s="1798" t="s">
        <v>1068</v>
      </c>
      <c r="B35" s="1781" t="s">
        <v>204</v>
      </c>
      <c r="C35" s="1787" t="s">
        <v>959</v>
      </c>
      <c r="D35" s="1820">
        <v>1.25</v>
      </c>
      <c r="E35" s="1799"/>
      <c r="F35" s="1802"/>
      <c r="G35" s="1801"/>
      <c r="H35" s="1802"/>
      <c r="I35" s="1801"/>
      <c r="J35" s="1802"/>
      <c r="K35" s="2352"/>
      <c r="L35" s="1807"/>
      <c r="M35" s="1794">
        <v>152</v>
      </c>
      <c r="N35" s="1795">
        <v>1</v>
      </c>
      <c r="O35" s="1788">
        <f t="shared" si="0"/>
        <v>121.6</v>
      </c>
      <c r="P35" s="2342"/>
      <c r="Q35" s="2343"/>
      <c r="R35" s="1760"/>
      <c r="S35" s="1760"/>
      <c r="T35" s="1760"/>
      <c r="U35" s="1760"/>
    </row>
    <row r="36" spans="1:21" ht="24" customHeight="1">
      <c r="A36" s="1798" t="s">
        <v>1069</v>
      </c>
      <c r="B36" s="1781" t="s">
        <v>1049</v>
      </c>
      <c r="C36" s="1787" t="s">
        <v>1050</v>
      </c>
      <c r="D36" s="1820">
        <f>1/16</f>
        <v>6.25E-2</v>
      </c>
      <c r="E36" s="1799" t="s">
        <v>1073</v>
      </c>
      <c r="F36" s="1806">
        <v>7.4</v>
      </c>
      <c r="G36" s="1799">
        <v>4</v>
      </c>
      <c r="H36" s="1802">
        <v>11.43</v>
      </c>
      <c r="I36" s="1799" t="s">
        <v>159</v>
      </c>
      <c r="J36" s="1802">
        <v>20.03</v>
      </c>
      <c r="K36" s="1799" t="s">
        <v>1086</v>
      </c>
      <c r="L36" s="2341">
        <v>3.95</v>
      </c>
      <c r="M36" s="1794">
        <f>F36+H36+J36</f>
        <v>38.86</v>
      </c>
      <c r="N36" s="1795">
        <v>1</v>
      </c>
      <c r="O36" s="1788">
        <f>ROUND((M36/D36)*N36,9)</f>
        <v>621.76</v>
      </c>
      <c r="P36" s="2342"/>
      <c r="Q36" s="2343"/>
      <c r="T36" s="1760"/>
      <c r="U36" s="1760"/>
    </row>
    <row r="37" spans="1:21" ht="24.75" customHeight="1">
      <c r="A37" s="4477" t="s">
        <v>1072</v>
      </c>
      <c r="B37" s="4479" t="s">
        <v>1055</v>
      </c>
      <c r="C37" s="4481" t="s">
        <v>1050</v>
      </c>
      <c r="D37" s="4483">
        <f>1/5</f>
        <v>0.2</v>
      </c>
      <c r="E37" s="1799">
        <v>9</v>
      </c>
      <c r="F37" s="1802">
        <v>2.23</v>
      </c>
      <c r="G37" s="1799" t="s">
        <v>1074</v>
      </c>
      <c r="H37" s="1802">
        <v>2.99</v>
      </c>
      <c r="I37" s="1799" t="s">
        <v>159</v>
      </c>
      <c r="J37" s="1802">
        <v>19.63</v>
      </c>
      <c r="K37" s="1799" t="s">
        <v>1085</v>
      </c>
      <c r="L37" s="1807">
        <v>10.68</v>
      </c>
      <c r="M37" s="4485">
        <f>L37+L38+J37+J38+H37+H38+F37+F38</f>
        <v>59.199999999999996</v>
      </c>
      <c r="N37" s="4487">
        <v>1</v>
      </c>
      <c r="O37" s="4470">
        <f t="shared" si="0"/>
        <v>296</v>
      </c>
      <c r="P37" s="4498" t="s">
        <v>1058</v>
      </c>
      <c r="Q37" s="2349"/>
      <c r="T37" s="1760"/>
      <c r="U37" s="1760"/>
    </row>
    <row r="38" spans="1:21" ht="24.75" customHeight="1">
      <c r="A38" s="4492"/>
      <c r="B38" s="4493"/>
      <c r="C38" s="4482"/>
      <c r="D38" s="4484"/>
      <c r="E38" s="1799" t="s">
        <v>158</v>
      </c>
      <c r="F38" s="1802">
        <v>12.37</v>
      </c>
      <c r="G38" s="1799" t="s">
        <v>1086</v>
      </c>
      <c r="H38" s="1802">
        <v>3.71</v>
      </c>
      <c r="I38" s="1799" t="s">
        <v>159</v>
      </c>
      <c r="J38" s="1807">
        <v>1.01</v>
      </c>
      <c r="K38" s="1799" t="s">
        <v>159</v>
      </c>
      <c r="L38" s="1807">
        <v>6.58</v>
      </c>
      <c r="M38" s="4486"/>
      <c r="N38" s="4488"/>
      <c r="O38" s="4471"/>
      <c r="P38" s="4499"/>
      <c r="Q38" s="2349"/>
      <c r="T38" s="1760"/>
      <c r="U38" s="1760"/>
    </row>
    <row r="39" spans="1:21" ht="24.75" customHeight="1">
      <c r="A39" s="4492"/>
      <c r="B39" s="4493"/>
      <c r="C39" s="4481" t="s">
        <v>1050</v>
      </c>
      <c r="D39" s="4483">
        <v>0.33</v>
      </c>
      <c r="E39" s="1808">
        <v>10</v>
      </c>
      <c r="F39" s="1800">
        <v>5.46</v>
      </c>
      <c r="G39" s="1808" t="s">
        <v>1073</v>
      </c>
      <c r="H39" s="1800">
        <v>6.92</v>
      </c>
      <c r="I39" s="1808" t="s">
        <v>209</v>
      </c>
      <c r="J39" s="1800">
        <v>2.87</v>
      </c>
      <c r="K39" s="1808" t="s">
        <v>1060</v>
      </c>
      <c r="L39" s="1800">
        <v>1.64</v>
      </c>
      <c r="M39" s="4485">
        <f>F39+H39+J39+L39+F40+H40+J40+L40</f>
        <v>24.12</v>
      </c>
      <c r="N39" s="4487">
        <v>1</v>
      </c>
      <c r="O39" s="4470">
        <f>ROUND((M39/D39)*N39,9)</f>
        <v>73.090909091</v>
      </c>
      <c r="P39" s="4498" t="s">
        <v>1075</v>
      </c>
      <c r="Q39" s="2349"/>
      <c r="T39" s="1760"/>
      <c r="U39" s="1760"/>
    </row>
    <row r="40" spans="1:21" ht="24.75" customHeight="1">
      <c r="A40" s="4478"/>
      <c r="B40" s="4480"/>
      <c r="C40" s="4482"/>
      <c r="D40" s="4484"/>
      <c r="E40" s="1808" t="s">
        <v>1073</v>
      </c>
      <c r="F40" s="1800">
        <v>7.23</v>
      </c>
      <c r="G40" s="1808"/>
      <c r="H40" s="1800"/>
      <c r="I40" s="1808"/>
      <c r="J40" s="1800"/>
      <c r="K40" s="1808"/>
      <c r="L40" s="1802"/>
      <c r="M40" s="4486"/>
      <c r="N40" s="4488"/>
      <c r="O40" s="4471"/>
      <c r="P40" s="4499"/>
      <c r="Q40" s="2349"/>
      <c r="R40" s="1715"/>
      <c r="S40" s="1715"/>
      <c r="T40" s="1760"/>
      <c r="U40" s="1760"/>
    </row>
    <row r="41" spans="1:21" ht="33.75" customHeight="1">
      <c r="A41" s="2319" t="s">
        <v>1077</v>
      </c>
      <c r="B41" s="1781" t="s">
        <v>1063</v>
      </c>
      <c r="C41" s="1787" t="s">
        <v>818</v>
      </c>
      <c r="D41" s="1820">
        <v>1</v>
      </c>
      <c r="E41" s="1809"/>
      <c r="F41" s="1802"/>
      <c r="G41" s="1809"/>
      <c r="H41" s="1802"/>
      <c r="I41" s="1809"/>
      <c r="J41" s="1802"/>
      <c r="K41" s="1809"/>
      <c r="L41" s="1802"/>
      <c r="M41" s="1794">
        <f>M37*200/1000</f>
        <v>11.84</v>
      </c>
      <c r="N41" s="1795">
        <v>1</v>
      </c>
      <c r="O41" s="1788">
        <f>ROUND((M41/D41)*N41,9)</f>
        <v>11.84</v>
      </c>
      <c r="P41" s="2350"/>
      <c r="Q41" s="2349"/>
      <c r="R41" s="1715"/>
      <c r="S41" s="1715"/>
      <c r="T41" s="1760"/>
      <c r="U41" s="1760"/>
    </row>
    <row r="42" spans="1:21" ht="33.75" customHeight="1">
      <c r="A42" s="4477" t="s">
        <v>1078</v>
      </c>
      <c r="B42" s="4479" t="s">
        <v>1064</v>
      </c>
      <c r="C42" s="4481" t="s">
        <v>1050</v>
      </c>
      <c r="D42" s="4483">
        <v>0.20829999999999999</v>
      </c>
      <c r="E42" s="1799">
        <v>10</v>
      </c>
      <c r="F42" s="1802">
        <v>3.09</v>
      </c>
      <c r="G42" s="1799">
        <v>14</v>
      </c>
      <c r="H42" s="1802">
        <v>4.3499999999999996</v>
      </c>
      <c r="I42" s="1799" t="s">
        <v>1060</v>
      </c>
      <c r="J42" s="1802">
        <v>1.64</v>
      </c>
      <c r="K42" s="1799" t="s">
        <v>1074</v>
      </c>
      <c r="L42" s="1807">
        <v>2.96</v>
      </c>
      <c r="M42" s="4485">
        <f>L42+L43+L44+L45+J42+J43+J44+J45+F42+F43+F44+F45+H42+H43+H44+H45+F46+F47+F48+H46+H47+H48+J46+J47+J48+L46+L47+L48</f>
        <v>135.4</v>
      </c>
      <c r="N42" s="4487">
        <v>1</v>
      </c>
      <c r="O42" s="4470">
        <f>ROUND((M42/D42)*N42,9)</f>
        <v>650.02400384099997</v>
      </c>
      <c r="P42" s="2342"/>
      <c r="Q42" s="2343"/>
      <c r="R42" s="1715"/>
      <c r="S42" s="1715"/>
      <c r="T42" s="1760"/>
      <c r="U42" s="1760"/>
    </row>
    <row r="43" spans="1:21" ht="33.75" customHeight="1">
      <c r="A43" s="4492"/>
      <c r="B43" s="4493"/>
      <c r="C43" s="4494"/>
      <c r="D43" s="4495"/>
      <c r="E43" s="1799">
        <v>11</v>
      </c>
      <c r="F43" s="1802">
        <v>1.08</v>
      </c>
      <c r="G43" s="1799" t="s">
        <v>1073</v>
      </c>
      <c r="H43" s="1802">
        <v>6.81</v>
      </c>
      <c r="I43" s="1799" t="s">
        <v>209</v>
      </c>
      <c r="J43" s="1802">
        <v>2.87</v>
      </c>
      <c r="K43" s="1799">
        <v>9</v>
      </c>
      <c r="L43" s="1802">
        <v>2.46</v>
      </c>
      <c r="M43" s="4496"/>
      <c r="N43" s="4497"/>
      <c r="O43" s="4491"/>
      <c r="P43" s="2342"/>
      <c r="Q43" s="2343"/>
      <c r="R43" s="2353"/>
      <c r="S43" s="2353"/>
      <c r="T43" s="1760"/>
      <c r="U43" s="1760"/>
    </row>
    <row r="44" spans="1:21" ht="33.75" customHeight="1">
      <c r="A44" s="4492"/>
      <c r="B44" s="4493"/>
      <c r="C44" s="4494"/>
      <c r="D44" s="4495"/>
      <c r="E44" s="1799">
        <v>8</v>
      </c>
      <c r="F44" s="1802">
        <v>1.55</v>
      </c>
      <c r="G44" s="1799">
        <v>10</v>
      </c>
      <c r="H44" s="1802">
        <v>5.78</v>
      </c>
      <c r="I44" s="1799" t="s">
        <v>1085</v>
      </c>
      <c r="J44" s="1802">
        <v>11.11</v>
      </c>
      <c r="K44" s="1799" t="s">
        <v>158</v>
      </c>
      <c r="L44" s="1807">
        <v>12.57</v>
      </c>
      <c r="M44" s="4496"/>
      <c r="N44" s="4497"/>
      <c r="O44" s="4491"/>
      <c r="P44" s="2342"/>
      <c r="Q44" s="2343"/>
      <c r="R44" s="2353"/>
      <c r="S44" s="2353"/>
      <c r="T44" s="1760"/>
      <c r="U44" s="1760"/>
    </row>
    <row r="45" spans="1:21" ht="33.75" customHeight="1">
      <c r="A45" s="4492"/>
      <c r="B45" s="4493"/>
      <c r="C45" s="4494"/>
      <c r="D45" s="4495"/>
      <c r="E45" s="1799" t="s">
        <v>159</v>
      </c>
      <c r="F45" s="1802">
        <v>6.63</v>
      </c>
      <c r="G45" s="1799" t="s">
        <v>1076</v>
      </c>
      <c r="H45" s="1802">
        <v>15.52</v>
      </c>
      <c r="I45" s="1799" t="s">
        <v>159</v>
      </c>
      <c r="J45" s="1802">
        <v>0.5</v>
      </c>
      <c r="K45" s="1799">
        <v>7</v>
      </c>
      <c r="L45" s="1807">
        <v>0.95</v>
      </c>
      <c r="M45" s="4496"/>
      <c r="N45" s="4497"/>
      <c r="O45" s="4491"/>
      <c r="P45" s="2342"/>
      <c r="Q45" s="2343"/>
      <c r="R45" s="2353">
        <f>M42*1.7</f>
        <v>230.18</v>
      </c>
      <c r="S45" s="2353"/>
      <c r="T45" s="1760"/>
      <c r="U45" s="1760"/>
    </row>
    <row r="46" spans="1:21" ht="33.75" customHeight="1">
      <c r="A46" s="4492"/>
      <c r="B46" s="4493"/>
      <c r="C46" s="4494"/>
      <c r="D46" s="4495"/>
      <c r="E46" s="1799" t="s">
        <v>1087</v>
      </c>
      <c r="F46" s="1802">
        <v>1.32</v>
      </c>
      <c r="G46" s="1799">
        <v>6</v>
      </c>
      <c r="H46" s="1802">
        <v>4.03</v>
      </c>
      <c r="I46" s="1799" t="s">
        <v>206</v>
      </c>
      <c r="J46" s="1802">
        <v>8.86</v>
      </c>
      <c r="K46" s="1799" t="s">
        <v>1091</v>
      </c>
      <c r="L46" s="1802">
        <v>11.09</v>
      </c>
      <c r="M46" s="4496"/>
      <c r="N46" s="4497"/>
      <c r="O46" s="4491"/>
      <c r="P46" s="2342"/>
      <c r="Q46" s="2343"/>
      <c r="R46" s="2353"/>
      <c r="S46" s="2353"/>
      <c r="T46" s="1760"/>
      <c r="U46" s="1760"/>
    </row>
    <row r="47" spans="1:21" ht="33.75" customHeight="1">
      <c r="A47" s="4492"/>
      <c r="B47" s="4493"/>
      <c r="C47" s="4494"/>
      <c r="D47" s="4495"/>
      <c r="E47" s="1799" t="s">
        <v>1088</v>
      </c>
      <c r="F47" s="1802">
        <v>1.19</v>
      </c>
      <c r="G47" s="1799" t="s">
        <v>1092</v>
      </c>
      <c r="H47" s="1802">
        <v>6.48</v>
      </c>
      <c r="I47" s="1799" t="s">
        <v>1089</v>
      </c>
      <c r="J47" s="1802">
        <v>1.21</v>
      </c>
      <c r="K47" s="1799" t="s">
        <v>1089</v>
      </c>
      <c r="L47" s="1802">
        <v>13.34</v>
      </c>
      <c r="M47" s="4496"/>
      <c r="N47" s="4497"/>
      <c r="O47" s="4491"/>
      <c r="P47" s="2342"/>
      <c r="Q47" s="2343"/>
      <c r="R47" s="2353"/>
      <c r="S47" s="2353"/>
      <c r="T47" s="1760"/>
      <c r="U47" s="1760"/>
    </row>
    <row r="48" spans="1:21" ht="33.75" customHeight="1">
      <c r="A48" s="4478"/>
      <c r="B48" s="4480"/>
      <c r="C48" s="4482"/>
      <c r="D48" s="4484"/>
      <c r="E48" s="1799" t="s">
        <v>1090</v>
      </c>
      <c r="F48" s="1802">
        <v>8.01</v>
      </c>
      <c r="G48" s="1799"/>
      <c r="H48" s="1802"/>
      <c r="I48" s="1799"/>
      <c r="J48" s="1802"/>
      <c r="K48" s="1799"/>
      <c r="L48" s="1807"/>
      <c r="M48" s="4486"/>
      <c r="N48" s="4488"/>
      <c r="O48" s="4471"/>
      <c r="P48" s="2342"/>
      <c r="Q48" s="2343"/>
      <c r="R48" s="2353"/>
      <c r="S48" s="2353"/>
      <c r="T48" s="1760"/>
      <c r="U48" s="1760"/>
    </row>
    <row r="49" spans="1:23" ht="21" customHeight="1">
      <c r="A49" s="1789">
        <v>3</v>
      </c>
      <c r="B49" s="1790" t="s">
        <v>928</v>
      </c>
      <c r="C49" s="1787"/>
      <c r="D49" s="1820"/>
      <c r="E49" s="1812"/>
      <c r="F49" s="1791"/>
      <c r="G49" s="1812"/>
      <c r="H49" s="1791"/>
      <c r="I49" s="1808"/>
      <c r="J49" s="1800"/>
      <c r="K49" s="1801"/>
      <c r="L49" s="1802"/>
      <c r="M49" s="1794"/>
      <c r="N49" s="1795"/>
      <c r="O49" s="1796">
        <f>+SUM(O50:O56)</f>
        <v>2354.353696961</v>
      </c>
      <c r="P49" s="2342"/>
      <c r="Q49" s="2343"/>
      <c r="R49" s="2353"/>
      <c r="S49" s="2353"/>
      <c r="T49" s="1760"/>
      <c r="U49" s="1760"/>
    </row>
    <row r="50" spans="1:23" ht="37.5" customHeight="1">
      <c r="A50" s="1798" t="s">
        <v>889</v>
      </c>
      <c r="B50" s="2351" t="s">
        <v>1227</v>
      </c>
      <c r="C50" s="1787" t="s">
        <v>959</v>
      </c>
      <c r="D50" s="1820">
        <v>0.13</v>
      </c>
      <c r="E50" s="1799"/>
      <c r="F50" s="1802"/>
      <c r="G50" s="1801"/>
      <c r="H50" s="1802"/>
      <c r="I50" s="1799"/>
      <c r="J50" s="1802"/>
      <c r="K50" s="1799"/>
      <c r="L50" s="1802"/>
      <c r="M50" s="1794">
        <f>93-77</f>
        <v>16</v>
      </c>
      <c r="N50" s="1795">
        <v>1</v>
      </c>
      <c r="O50" s="1788">
        <f t="shared" ref="O50:O54" si="1">ROUND((M50/D50)*N50,9)</f>
        <v>123.076923077</v>
      </c>
      <c r="P50" s="2342"/>
      <c r="Q50" s="2343"/>
      <c r="R50" s="2353"/>
      <c r="S50" s="2353"/>
      <c r="T50" s="1760"/>
      <c r="U50" s="1760"/>
    </row>
    <row r="51" spans="1:23" ht="39" customHeight="1">
      <c r="A51" s="1798" t="s">
        <v>970</v>
      </c>
      <c r="B51" s="1781" t="s">
        <v>1080</v>
      </c>
      <c r="C51" s="1787" t="s">
        <v>959</v>
      </c>
      <c r="D51" s="1820">
        <f>25000/200000</f>
        <v>0.125</v>
      </c>
      <c r="E51" s="1799"/>
      <c r="F51" s="1802"/>
      <c r="G51" s="1801"/>
      <c r="H51" s="1802"/>
      <c r="I51" s="1801"/>
      <c r="J51" s="1802"/>
      <c r="K51" s="2352"/>
      <c r="L51" s="1807"/>
      <c r="M51" s="1794">
        <v>93</v>
      </c>
      <c r="N51" s="1795">
        <v>1</v>
      </c>
      <c r="O51" s="1788">
        <f t="shared" si="1"/>
        <v>744</v>
      </c>
      <c r="P51" s="2342"/>
      <c r="Q51" s="2343"/>
      <c r="R51" s="2353"/>
      <c r="S51" s="2353"/>
      <c r="T51" s="1760"/>
      <c r="U51" s="1760"/>
    </row>
    <row r="52" spans="1:23" ht="21" customHeight="1">
      <c r="A52" s="1798" t="s">
        <v>1079</v>
      </c>
      <c r="B52" s="1781" t="s">
        <v>1046</v>
      </c>
      <c r="C52" s="1787" t="s">
        <v>959</v>
      </c>
      <c r="D52" s="1820">
        <f>25000/150000</f>
        <v>0.16666666666666666</v>
      </c>
      <c r="E52" s="1799"/>
      <c r="F52" s="1802"/>
      <c r="G52" s="1801"/>
      <c r="H52" s="1802"/>
      <c r="I52" s="1801"/>
      <c r="J52" s="1802"/>
      <c r="K52" s="2352"/>
      <c r="L52" s="1807"/>
      <c r="M52" s="1794">
        <v>93</v>
      </c>
      <c r="N52" s="1795">
        <v>1</v>
      </c>
      <c r="O52" s="1788">
        <f t="shared" si="1"/>
        <v>558</v>
      </c>
      <c r="P52" s="2342"/>
      <c r="Q52" s="2343"/>
      <c r="R52" s="2354"/>
      <c r="S52" s="2353"/>
      <c r="T52" s="1760"/>
      <c r="U52" s="1760"/>
    </row>
    <row r="53" spans="1:23" ht="21" customHeight="1">
      <c r="A53" s="1798" t="s">
        <v>1081</v>
      </c>
      <c r="B53" s="1781" t="s">
        <v>204</v>
      </c>
      <c r="C53" s="1787" t="s">
        <v>959</v>
      </c>
      <c r="D53" s="1820">
        <v>1.25</v>
      </c>
      <c r="E53" s="1799"/>
      <c r="F53" s="1802"/>
      <c r="G53" s="1801"/>
      <c r="H53" s="1802"/>
      <c r="I53" s="1801"/>
      <c r="J53" s="1802"/>
      <c r="K53" s="2352"/>
      <c r="L53" s="1807"/>
      <c r="M53" s="1794">
        <v>93</v>
      </c>
      <c r="N53" s="1795">
        <v>1</v>
      </c>
      <c r="O53" s="1788">
        <f t="shared" si="1"/>
        <v>74.400000000000006</v>
      </c>
      <c r="P53" s="2342"/>
      <c r="Q53" s="2343"/>
      <c r="R53" s="2353"/>
      <c r="S53" s="2353"/>
      <c r="T53" s="2353"/>
      <c r="U53" s="2353"/>
      <c r="V53" s="1715"/>
      <c r="W53" s="1715"/>
    </row>
    <row r="54" spans="1:23" ht="21" customHeight="1">
      <c r="A54" s="1798" t="s">
        <v>1082</v>
      </c>
      <c r="B54" s="1781" t="s">
        <v>1049</v>
      </c>
      <c r="C54" s="1787" t="s">
        <v>1050</v>
      </c>
      <c r="D54" s="1820">
        <f>1/16</f>
        <v>6.25E-2</v>
      </c>
      <c r="E54" s="1799" t="s">
        <v>1102</v>
      </c>
      <c r="F54" s="1802">
        <v>13.48</v>
      </c>
      <c r="G54" s="1799" t="s">
        <v>1100</v>
      </c>
      <c r="H54" s="1802">
        <v>3.71</v>
      </c>
      <c r="I54" s="1799"/>
      <c r="J54" s="1802"/>
      <c r="K54" s="1799"/>
      <c r="L54" s="2341"/>
      <c r="M54" s="1794">
        <f>F54+H54+J54+L54</f>
        <v>17.190000000000001</v>
      </c>
      <c r="N54" s="1795">
        <v>1</v>
      </c>
      <c r="O54" s="1788">
        <f t="shared" si="1"/>
        <v>275.04000000000002</v>
      </c>
      <c r="P54" s="2342"/>
      <c r="Q54" s="2343"/>
      <c r="R54" s="2353"/>
      <c r="S54" s="2353"/>
      <c r="T54" s="2353"/>
      <c r="U54" s="2353"/>
      <c r="V54" s="1715"/>
      <c r="W54" s="1715"/>
    </row>
    <row r="55" spans="1:23" ht="27" customHeight="1">
      <c r="A55" s="4477" t="s">
        <v>1083</v>
      </c>
      <c r="B55" s="4479" t="s">
        <v>1064</v>
      </c>
      <c r="C55" s="4481" t="s">
        <v>1050</v>
      </c>
      <c r="D55" s="4483">
        <v>0.20829999999999999</v>
      </c>
      <c r="E55" s="1813">
        <v>9</v>
      </c>
      <c r="F55" s="1802">
        <v>1.24</v>
      </c>
      <c r="G55" s="1813">
        <v>14</v>
      </c>
      <c r="H55" s="1802">
        <v>27.25</v>
      </c>
      <c r="I55" s="1816" t="s">
        <v>1101</v>
      </c>
      <c r="J55" s="2341">
        <v>5.45</v>
      </c>
      <c r="K55" s="1816" t="s">
        <v>1102</v>
      </c>
      <c r="L55" s="2341">
        <v>13.48</v>
      </c>
      <c r="M55" s="4485">
        <f>F56+H56+J56+L56+L55+J55+H55+F55</f>
        <v>120.78</v>
      </c>
      <c r="N55" s="4487">
        <v>1</v>
      </c>
      <c r="O55" s="4470">
        <f>ROUND((M55/D55)*N55,9)</f>
        <v>579.83677388399997</v>
      </c>
      <c r="P55" s="2317"/>
      <c r="Q55" s="2349"/>
      <c r="R55" s="2353">
        <f>M55*1.7</f>
        <v>205.32599999999999</v>
      </c>
      <c r="S55" s="2353"/>
      <c r="T55" s="2353"/>
      <c r="U55" s="2353"/>
      <c r="V55" s="1715"/>
      <c r="W55" s="1715"/>
    </row>
    <row r="56" spans="1:23" ht="27.75" customHeight="1">
      <c r="A56" s="4478"/>
      <c r="B56" s="4480"/>
      <c r="C56" s="4482"/>
      <c r="D56" s="4484"/>
      <c r="E56" s="1813">
        <v>11</v>
      </c>
      <c r="F56" s="1802">
        <v>10.6</v>
      </c>
      <c r="G56" s="1813" t="s">
        <v>1099</v>
      </c>
      <c r="H56" s="1802">
        <v>17.88</v>
      </c>
      <c r="I56" s="1816" t="s">
        <v>208</v>
      </c>
      <c r="J56" s="2341">
        <v>41.17</v>
      </c>
      <c r="K56" s="1816" t="s">
        <v>1100</v>
      </c>
      <c r="L56" s="2341">
        <v>3.71</v>
      </c>
      <c r="M56" s="4486"/>
      <c r="N56" s="4488"/>
      <c r="O56" s="4471"/>
      <c r="P56" s="2350"/>
      <c r="Q56" s="2349"/>
      <c r="R56" s="2353"/>
      <c r="S56" s="2353"/>
      <c r="T56" s="2353"/>
      <c r="U56" s="2353"/>
      <c r="V56" s="1715"/>
      <c r="W56" s="1715"/>
    </row>
    <row r="57" spans="1:23" ht="21" customHeight="1">
      <c r="A57" s="1789" t="s">
        <v>92</v>
      </c>
      <c r="B57" s="1814" t="s">
        <v>930</v>
      </c>
      <c r="C57" s="1787"/>
      <c r="D57" s="1820"/>
      <c r="E57" s="1792"/>
      <c r="F57" s="1793"/>
      <c r="G57" s="1792"/>
      <c r="H57" s="1793"/>
      <c r="I57" s="1816"/>
      <c r="J57" s="1795"/>
      <c r="K57" s="1816"/>
      <c r="L57" s="2341"/>
      <c r="M57" s="1794"/>
      <c r="N57" s="1795"/>
      <c r="O57" s="1796">
        <f>SUM(O58:O59)</f>
        <v>202.448391743</v>
      </c>
      <c r="P57" s="2342"/>
      <c r="Q57" s="2343"/>
      <c r="R57" s="2353"/>
      <c r="S57" s="2353"/>
      <c r="T57" s="2353"/>
      <c r="U57" s="2353"/>
      <c r="V57" s="1715"/>
      <c r="W57" s="1715"/>
    </row>
    <row r="58" spans="1:23" ht="21.75" customHeight="1">
      <c r="A58" s="4477">
        <v>1</v>
      </c>
      <c r="B58" s="4479" t="s">
        <v>1064</v>
      </c>
      <c r="C58" s="4481" t="s">
        <v>1050</v>
      </c>
      <c r="D58" s="4483">
        <v>0.20829999999999999</v>
      </c>
      <c r="E58" s="2355" t="s">
        <v>159</v>
      </c>
      <c r="F58" s="1800">
        <v>1.06</v>
      </c>
      <c r="G58" s="1801" t="s">
        <v>1057</v>
      </c>
      <c r="H58" s="1802">
        <v>6.51</v>
      </c>
      <c r="I58" s="1799" t="s">
        <v>159</v>
      </c>
      <c r="J58" s="1802">
        <v>1.67</v>
      </c>
      <c r="K58" s="1816" t="s">
        <v>1228</v>
      </c>
      <c r="L58" s="2341">
        <v>8.44</v>
      </c>
      <c r="M58" s="4485">
        <f>F58+F59+H58+J58+L58+H59+J59+L59</f>
        <v>42.17</v>
      </c>
      <c r="N58" s="4487">
        <v>1</v>
      </c>
      <c r="O58" s="4470">
        <f>ROUND((M58/D58)*N58,9)</f>
        <v>202.448391743</v>
      </c>
      <c r="P58" s="2342"/>
      <c r="Q58" s="2343"/>
      <c r="R58" s="1760"/>
      <c r="S58" s="1760"/>
      <c r="T58" s="1760"/>
      <c r="U58" s="1760"/>
    </row>
    <row r="59" spans="1:23" ht="21" customHeight="1">
      <c r="A59" s="4478"/>
      <c r="B59" s="4480"/>
      <c r="C59" s="4482"/>
      <c r="D59" s="4484"/>
      <c r="E59" s="1801">
        <v>8</v>
      </c>
      <c r="F59" s="1802">
        <v>4.6500000000000004</v>
      </c>
      <c r="G59" s="1801" t="s">
        <v>1074</v>
      </c>
      <c r="H59" s="1802">
        <v>7.66</v>
      </c>
      <c r="I59" s="1799" t="s">
        <v>160</v>
      </c>
      <c r="J59" s="1802">
        <v>12.18</v>
      </c>
      <c r="K59" s="1816"/>
      <c r="L59" s="2341"/>
      <c r="M59" s="4486"/>
      <c r="N59" s="4488"/>
      <c r="O59" s="4471"/>
      <c r="P59" s="2342"/>
      <c r="Q59" s="2343"/>
      <c r="R59" s="2353"/>
      <c r="S59" s="2353"/>
      <c r="T59" s="1760"/>
      <c r="U59" s="1760"/>
    </row>
    <row r="60" spans="1:23" ht="21" customHeight="1">
      <c r="A60" s="1772" t="s">
        <v>53</v>
      </c>
      <c r="B60" s="1790" t="s">
        <v>825</v>
      </c>
      <c r="C60" s="1815"/>
      <c r="D60" s="2356"/>
      <c r="E60" s="1775"/>
      <c r="F60" s="1775"/>
      <c r="G60" s="1775"/>
      <c r="H60" s="1775"/>
      <c r="I60" s="1775"/>
      <c r="J60" s="1775"/>
      <c r="K60" s="1775"/>
      <c r="L60" s="1776"/>
      <c r="M60" s="1794"/>
      <c r="N60" s="1816"/>
      <c r="O60" s="1778">
        <f>SUM(O61:O61)</f>
        <v>416</v>
      </c>
      <c r="P60" s="1817"/>
      <c r="Q60" s="2335"/>
      <c r="R60" s="2353"/>
      <c r="S60" s="2353"/>
      <c r="T60" s="1760"/>
      <c r="U60" s="1760"/>
    </row>
    <row r="61" spans="1:23" ht="21" customHeight="1">
      <c r="A61" s="1798">
        <v>1</v>
      </c>
      <c r="B61" s="1818" t="s">
        <v>826</v>
      </c>
      <c r="C61" s="1787" t="s">
        <v>362</v>
      </c>
      <c r="D61" s="1820"/>
      <c r="E61" s="4472" t="s">
        <v>1229</v>
      </c>
      <c r="F61" s="4472"/>
      <c r="G61" s="4472"/>
      <c r="H61" s="4472"/>
      <c r="I61" s="4472"/>
      <c r="J61" s="4472"/>
      <c r="K61" s="1819"/>
      <c r="L61" s="1820"/>
      <c r="M61" s="1821"/>
      <c r="N61" s="1822"/>
      <c r="O61" s="1823">
        <f>4*2600000/25000</f>
        <v>416</v>
      </c>
      <c r="P61" s="1824"/>
      <c r="Q61" s="2357"/>
      <c r="R61" s="2353"/>
      <c r="S61" s="2353"/>
      <c r="T61" s="1760"/>
      <c r="U61" s="1760"/>
    </row>
    <row r="62" spans="1:23" ht="27" customHeight="1">
      <c r="A62" s="4473" t="s">
        <v>1230</v>
      </c>
      <c r="B62" s="4473"/>
      <c r="C62" s="4473"/>
      <c r="D62" s="2358"/>
      <c r="E62" s="1825"/>
      <c r="F62" s="1825"/>
      <c r="G62" s="1825"/>
      <c r="H62" s="1825"/>
      <c r="I62" s="1825"/>
      <c r="J62" s="1825"/>
      <c r="K62" s="1825"/>
      <c r="L62" s="1826"/>
      <c r="M62" s="1827"/>
      <c r="N62" s="1825"/>
      <c r="O62" s="1828">
        <f>O11+O60+O57</f>
        <v>12338.099112350003</v>
      </c>
      <c r="P62" s="1829"/>
      <c r="Q62" s="2336"/>
      <c r="R62" s="2353"/>
      <c r="S62" s="2353"/>
      <c r="T62" s="1760"/>
      <c r="U62" s="1760"/>
    </row>
    <row r="63" spans="1:23" ht="20.45" customHeight="1">
      <c r="A63" s="1830"/>
      <c r="B63" s="1831"/>
      <c r="C63" s="1832"/>
      <c r="D63" s="2359"/>
      <c r="E63" s="1834"/>
      <c r="F63" s="1835"/>
      <c r="G63" s="1834"/>
      <c r="H63" s="1835"/>
      <c r="I63" s="2310"/>
      <c r="J63" s="1833"/>
      <c r="K63" s="2310"/>
      <c r="L63" s="4474" t="s">
        <v>1231</v>
      </c>
      <c r="M63" s="4474"/>
      <c r="N63" s="4474"/>
      <c r="O63" s="4474"/>
      <c r="P63" s="4474"/>
      <c r="Q63" s="2360"/>
      <c r="R63" s="2353"/>
      <c r="S63" s="2353"/>
      <c r="T63" s="1760"/>
      <c r="U63" s="1760"/>
    </row>
    <row r="64" spans="1:23" ht="20.45" customHeight="1">
      <c r="A64" s="4475"/>
      <c r="B64" s="4475"/>
      <c r="C64" s="4475"/>
      <c r="D64" s="4475"/>
      <c r="E64" s="4475"/>
      <c r="F64" s="1836"/>
      <c r="G64" s="1836"/>
      <c r="H64" s="4476"/>
      <c r="I64" s="4476"/>
      <c r="J64" s="4476"/>
      <c r="K64" s="2325"/>
      <c r="L64" s="4475" t="s">
        <v>827</v>
      </c>
      <c r="M64" s="4475"/>
      <c r="N64" s="4475"/>
      <c r="O64" s="4475"/>
      <c r="P64" s="4475"/>
      <c r="Q64" s="2324"/>
      <c r="R64" s="1760"/>
      <c r="S64" s="1760"/>
      <c r="T64" s="1760"/>
      <c r="U64" s="1760"/>
    </row>
    <row r="65" spans="1:17" ht="20.45" customHeight="1">
      <c r="A65" s="1837"/>
      <c r="B65" s="1838"/>
      <c r="C65" s="1839"/>
      <c r="D65" s="2361"/>
      <c r="E65" s="1840"/>
      <c r="F65" s="1839"/>
      <c r="G65" s="1841"/>
      <c r="H65" s="1839"/>
      <c r="I65" s="2362"/>
      <c r="J65" s="2326"/>
      <c r="K65" s="2362"/>
      <c r="L65" s="2361"/>
      <c r="M65" s="1842"/>
      <c r="N65" s="1843"/>
      <c r="O65" s="4489"/>
      <c r="P65" s="4489"/>
      <c r="Q65" s="2326"/>
    </row>
    <row r="66" spans="1:17" ht="20.45" customHeight="1">
      <c r="A66" s="1837"/>
      <c r="B66" s="1838"/>
      <c r="C66" s="1838"/>
      <c r="D66" s="2363"/>
      <c r="E66" s="1844"/>
      <c r="F66" s="1845"/>
      <c r="G66" s="1754"/>
      <c r="H66" s="1845"/>
      <c r="I66" s="2331"/>
      <c r="J66" s="2364"/>
      <c r="K66" s="2365"/>
      <c r="L66" s="2366"/>
      <c r="M66" s="1846"/>
      <c r="N66" s="1845"/>
      <c r="P66" s="1837"/>
      <c r="Q66" s="1837"/>
    </row>
    <row r="67" spans="1:17" ht="20.45" customHeight="1">
      <c r="A67" s="1837"/>
      <c r="B67" s="1838"/>
      <c r="C67" s="1838"/>
      <c r="D67" s="2363"/>
      <c r="E67" s="1844"/>
      <c r="F67" s="1845"/>
      <c r="G67" s="1754"/>
      <c r="H67" s="1845"/>
      <c r="I67" s="2331"/>
      <c r="J67" s="2364"/>
      <c r="K67" s="2365"/>
      <c r="L67" s="2366"/>
      <c r="M67" s="1846"/>
      <c r="N67" s="1845"/>
      <c r="P67" s="1837"/>
      <c r="Q67" s="1837"/>
    </row>
    <row r="68" spans="1:17" ht="21.75" customHeight="1">
      <c r="A68" s="4490"/>
      <c r="B68" s="4490"/>
      <c r="C68" s="4490"/>
      <c r="D68" s="4490"/>
      <c r="E68" s="4490"/>
      <c r="F68" s="1848"/>
      <c r="G68" s="1849"/>
      <c r="H68" s="4468"/>
      <c r="I68" s="4468"/>
      <c r="J68" s="4468"/>
      <c r="K68" s="2367"/>
      <c r="L68" s="2368"/>
      <c r="M68" s="4468"/>
      <c r="N68" s="4468"/>
      <c r="O68" s="4468"/>
      <c r="P68" s="4468"/>
      <c r="Q68" s="2327"/>
    </row>
    <row r="69" spans="1:17" ht="17.45" customHeight="1">
      <c r="A69" s="4469" t="s">
        <v>828</v>
      </c>
      <c r="B69" s="4469"/>
      <c r="C69" s="4469"/>
      <c r="D69" s="4469"/>
      <c r="E69" s="4469"/>
      <c r="F69" s="4469"/>
      <c r="G69" s="4469"/>
      <c r="H69" s="4469"/>
      <c r="I69" s="4469"/>
      <c r="J69" s="4469"/>
      <c r="K69" s="4469"/>
      <c r="L69" s="4469"/>
      <c r="M69" s="4469"/>
      <c r="N69" s="4469"/>
      <c r="O69" s="4469"/>
      <c r="P69" s="4469"/>
      <c r="Q69" s="2328"/>
    </row>
    <row r="70" spans="1:17" ht="27.75" customHeight="1">
      <c r="A70" s="4464" t="s">
        <v>1232</v>
      </c>
      <c r="B70" s="4464"/>
      <c r="C70" s="4464"/>
      <c r="D70" s="4464"/>
      <c r="E70" s="4464"/>
      <c r="F70" s="4464"/>
      <c r="G70" s="4464"/>
      <c r="H70" s="4464"/>
      <c r="I70" s="4464"/>
      <c r="J70" s="4464"/>
      <c r="K70" s="4464"/>
      <c r="L70" s="4464"/>
      <c r="M70" s="4464"/>
      <c r="N70" s="4464"/>
      <c r="O70" s="4464"/>
      <c r="P70" s="4464"/>
      <c r="Q70" s="2329"/>
    </row>
    <row r="71" spans="1:17" ht="27.75" customHeight="1"/>
    <row r="72" spans="1:17" ht="27.75" customHeight="1"/>
    <row r="73" spans="1:17" ht="27.75" customHeight="1">
      <c r="N73" s="1851"/>
    </row>
    <row r="74" spans="1:17" ht="27.75" customHeight="1"/>
    <row r="75" spans="1:17" ht="27.75" customHeight="1"/>
    <row r="76" spans="1:17" ht="27.75" customHeight="1"/>
    <row r="77" spans="1:17" ht="27.75" customHeight="1"/>
    <row r="78" spans="1:17" ht="27.75" customHeight="1"/>
    <row r="79" spans="1:17" ht="27.75" customHeight="1"/>
    <row r="80" spans="1:17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27.75" customHeight="1"/>
    <row r="92" ht="27.75" customHeight="1"/>
    <row r="93" ht="27.75" customHeight="1"/>
    <row r="94" ht="27.75" customHeight="1"/>
    <row r="95" ht="27.75" customHeight="1"/>
    <row r="96" ht="27.75" customHeight="1"/>
    <row r="97" ht="27.75" customHeight="1"/>
    <row r="98" ht="27.75" customHeight="1"/>
    <row r="99" ht="27.75" customHeight="1"/>
    <row r="100" ht="27.75" customHeight="1"/>
    <row r="101" ht="27.75" customHeight="1"/>
    <row r="102" ht="27.75" customHeight="1"/>
    <row r="103" ht="27.75" customHeight="1"/>
    <row r="108" ht="10.5" customHeight="1"/>
    <row r="109" ht="10.5" customHeight="1"/>
    <row r="110" ht="10.5" customHeight="1"/>
    <row r="111" ht="10.5" customHeight="1"/>
    <row r="112" ht="10.5" customHeight="1"/>
    <row r="113" ht="6" customHeight="1"/>
  </sheetData>
  <mergeCells count="84">
    <mergeCell ref="A5:F5"/>
    <mergeCell ref="G5:P5"/>
    <mergeCell ref="A1:P1"/>
    <mergeCell ref="A2:P2"/>
    <mergeCell ref="A3:P3"/>
    <mergeCell ref="A4:F4"/>
    <mergeCell ref="G4:P4"/>
    <mergeCell ref="A7:P7"/>
    <mergeCell ref="A8:P8"/>
    <mergeCell ref="A9:A10"/>
    <mergeCell ref="B9:B10"/>
    <mergeCell ref="C9:C10"/>
    <mergeCell ref="D9:D10"/>
    <mergeCell ref="E9:M9"/>
    <mergeCell ref="N9:N10"/>
    <mergeCell ref="O9:O10"/>
    <mergeCell ref="P9:P10"/>
    <mergeCell ref="E16:L16"/>
    <mergeCell ref="E17:L17"/>
    <mergeCell ref="E18:L18"/>
    <mergeCell ref="E19:L19"/>
    <mergeCell ref="R21:S21"/>
    <mergeCell ref="N25:N26"/>
    <mergeCell ref="O25:O26"/>
    <mergeCell ref="P25:P26"/>
    <mergeCell ref="A28:A29"/>
    <mergeCell ref="B28:B29"/>
    <mergeCell ref="C28:C29"/>
    <mergeCell ref="D28:D29"/>
    <mergeCell ref="M28:M29"/>
    <mergeCell ref="N28:N29"/>
    <mergeCell ref="O28:O29"/>
    <mergeCell ref="A25:A26"/>
    <mergeCell ref="B25:B26"/>
    <mergeCell ref="C25:C26"/>
    <mergeCell ref="D25:D26"/>
    <mergeCell ref="M25:M26"/>
    <mergeCell ref="A37:A40"/>
    <mergeCell ref="B37:B40"/>
    <mergeCell ref="C37:C38"/>
    <mergeCell ref="D37:D38"/>
    <mergeCell ref="M37:M38"/>
    <mergeCell ref="N42:N48"/>
    <mergeCell ref="O37:O38"/>
    <mergeCell ref="P37:P38"/>
    <mergeCell ref="C39:C40"/>
    <mergeCell ref="D39:D40"/>
    <mergeCell ref="M39:M40"/>
    <mergeCell ref="N39:N40"/>
    <mergeCell ref="O39:O40"/>
    <mergeCell ref="P39:P40"/>
    <mergeCell ref="N37:N38"/>
    <mergeCell ref="N58:N59"/>
    <mergeCell ref="O65:P65"/>
    <mergeCell ref="A68:E68"/>
    <mergeCell ref="O42:O48"/>
    <mergeCell ref="A55:A56"/>
    <mergeCell ref="B55:B56"/>
    <mergeCell ref="C55:C56"/>
    <mergeCell ref="D55:D56"/>
    <mergeCell ref="M55:M56"/>
    <mergeCell ref="N55:N56"/>
    <mergeCell ref="O55:O56"/>
    <mergeCell ref="A42:A48"/>
    <mergeCell ref="B42:B48"/>
    <mergeCell ref="C42:C48"/>
    <mergeCell ref="D42:D48"/>
    <mergeCell ref="M42:M48"/>
    <mergeCell ref="H68:J68"/>
    <mergeCell ref="M68:P68"/>
    <mergeCell ref="A69:P69"/>
    <mergeCell ref="A70:P70"/>
    <mergeCell ref="O58:O59"/>
    <mergeCell ref="E61:J61"/>
    <mergeCell ref="A62:C62"/>
    <mergeCell ref="L63:P63"/>
    <mergeCell ref="A64:E64"/>
    <mergeCell ref="H64:J64"/>
    <mergeCell ref="L64:P64"/>
    <mergeCell ref="A58:A59"/>
    <mergeCell ref="B58:B59"/>
    <mergeCell ref="C58:C59"/>
    <mergeCell ref="D58:D59"/>
    <mergeCell ref="M58:M59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2"/>
  <sheetViews>
    <sheetView topLeftCell="A31" workbookViewId="0">
      <selection sqref="A1:XFD1048576"/>
    </sheetView>
  </sheetViews>
  <sheetFormatPr defaultRowHeight="15.75"/>
  <cols>
    <col min="1" max="1" width="3.75" style="1852" customWidth="1"/>
    <col min="2" max="2" width="32.25" style="1853" customWidth="1"/>
    <col min="3" max="3" width="5.375" style="1855" customWidth="1"/>
    <col min="4" max="4" width="5.375" style="2369" customWidth="1"/>
    <col min="5" max="5" width="5.375" style="1856" customWidth="1"/>
    <col min="6" max="6" width="5.375" style="1857" customWidth="1"/>
    <col min="7" max="7" width="5.375" style="1858" customWidth="1"/>
    <col min="8" max="8" width="5.375" style="1857" customWidth="1"/>
    <col min="9" max="9" width="5.375" style="2370" customWidth="1"/>
    <col min="10" max="10" width="5.375" style="2371" customWidth="1"/>
    <col min="11" max="11" width="5.375" style="2372" customWidth="1"/>
    <col min="12" max="12" width="5.375" style="2373" customWidth="1"/>
    <col min="13" max="13" width="6" style="1859" customWidth="1"/>
    <col min="14" max="14" width="4.625" style="2371" customWidth="1"/>
    <col min="15" max="15" width="8.375" style="1847" customWidth="1"/>
    <col min="16" max="16" width="7.25" style="1860" customWidth="1"/>
    <col min="17" max="17" width="10" style="1860" customWidth="1"/>
    <col min="18" max="18" width="8.875" style="2374" bestFit="1" customWidth="1"/>
    <col min="19" max="19" width="8.375" bestFit="1" customWidth="1"/>
    <col min="20" max="20" width="9.375" customWidth="1"/>
    <col min="21" max="21" width="9.75" customWidth="1"/>
    <col min="22" max="22" width="9.25" customWidth="1"/>
  </cols>
  <sheetData>
    <row r="1" spans="1:23" ht="16.5">
      <c r="A1" s="4081" t="s">
        <v>165</v>
      </c>
      <c r="B1" s="4081"/>
      <c r="C1" s="4081"/>
      <c r="D1" s="4081"/>
      <c r="E1" s="4081"/>
      <c r="F1" s="4081"/>
      <c r="G1" s="4081"/>
      <c r="H1" s="4081"/>
      <c r="I1" s="4081"/>
      <c r="J1" s="4081"/>
      <c r="K1" s="4081"/>
      <c r="L1" s="4081"/>
      <c r="M1" s="4081"/>
      <c r="N1" s="4081"/>
      <c r="O1" s="4081"/>
      <c r="P1" s="4081"/>
      <c r="R1"/>
    </row>
    <row r="2" spans="1:23" ht="16.5">
      <c r="A2" s="4081" t="s">
        <v>171</v>
      </c>
      <c r="B2" s="4081"/>
      <c r="C2" s="4081"/>
      <c r="D2" s="4081"/>
      <c r="E2" s="4081"/>
      <c r="F2" s="4081"/>
      <c r="G2" s="4081"/>
      <c r="H2" s="4081"/>
      <c r="I2" s="4081"/>
      <c r="J2" s="4081"/>
      <c r="K2" s="4081"/>
      <c r="L2" s="4081"/>
      <c r="M2" s="4081"/>
      <c r="N2" s="4081"/>
      <c r="O2" s="4081"/>
      <c r="P2" s="4081"/>
      <c r="R2"/>
    </row>
    <row r="3" spans="1:23" ht="16.5">
      <c r="A3" s="4087" t="s">
        <v>726</v>
      </c>
      <c r="B3" s="4087"/>
      <c r="C3" s="4087"/>
      <c r="D3" s="4087"/>
      <c r="E3" s="4087"/>
      <c r="F3" s="4087"/>
      <c r="G3" s="4087"/>
      <c r="H3" s="4087"/>
      <c r="I3" s="4087"/>
      <c r="J3" s="4087"/>
      <c r="K3" s="4087"/>
      <c r="L3" s="4087"/>
      <c r="M3" s="4087"/>
      <c r="N3" s="4087"/>
      <c r="O3" s="4087"/>
      <c r="P3" s="4087"/>
      <c r="R3"/>
    </row>
    <row r="4" spans="1:23">
      <c r="A4" s="4512" t="s">
        <v>809</v>
      </c>
      <c r="B4" s="4512"/>
      <c r="C4" s="4512"/>
      <c r="D4" s="4512"/>
      <c r="E4" s="4512"/>
      <c r="F4" s="4512"/>
      <c r="G4" s="4512"/>
      <c r="H4" s="4512"/>
      <c r="I4" s="4512"/>
      <c r="J4" s="4512"/>
      <c r="K4" s="4512"/>
      <c r="L4" s="4512"/>
      <c r="M4" s="4512"/>
      <c r="N4" s="4512"/>
      <c r="O4" s="4512"/>
      <c r="P4" s="4512"/>
      <c r="Q4" s="2311"/>
      <c r="R4"/>
    </row>
    <row r="5" spans="1:23">
      <c r="A5" s="4512" t="s">
        <v>541</v>
      </c>
      <c r="B5" s="4512"/>
      <c r="C5" s="4512"/>
      <c r="D5" s="4512"/>
      <c r="E5" s="4512"/>
      <c r="F5" s="4512"/>
      <c r="G5" s="4512"/>
      <c r="H5" s="4512"/>
      <c r="I5" s="4512"/>
      <c r="J5" s="4512"/>
      <c r="K5" s="4512"/>
      <c r="L5" s="4512"/>
      <c r="M5" s="4512"/>
      <c r="N5" s="4512"/>
      <c r="O5" s="4512"/>
      <c r="P5" s="4512"/>
      <c r="Q5" s="2311"/>
      <c r="R5"/>
    </row>
    <row r="6" spans="1:23" ht="18.75" customHeight="1">
      <c r="A6" s="1755"/>
      <c r="B6" s="1755"/>
      <c r="C6" s="1755"/>
      <c r="D6" s="1757"/>
      <c r="E6" s="1752"/>
      <c r="F6" s="1753"/>
      <c r="G6" s="1754"/>
      <c r="H6" s="1753"/>
      <c r="I6" s="2331"/>
      <c r="J6" s="2332"/>
      <c r="K6" s="1756"/>
      <c r="L6" s="1757"/>
      <c r="M6" s="1758"/>
      <c r="N6" s="1755"/>
      <c r="O6" s="1759"/>
      <c r="P6" s="1755"/>
      <c r="Q6" s="1755"/>
    </row>
    <row r="7" spans="1:23" ht="18.75">
      <c r="A7" s="4504" t="s">
        <v>1233</v>
      </c>
      <c r="B7" s="4504"/>
      <c r="C7" s="4504"/>
      <c r="D7" s="4504"/>
      <c r="E7" s="4504"/>
      <c r="F7" s="4504"/>
      <c r="G7" s="4504"/>
      <c r="H7" s="4504"/>
      <c r="I7" s="4504"/>
      <c r="J7" s="4504"/>
      <c r="K7" s="4504"/>
      <c r="L7" s="4504"/>
      <c r="M7" s="4504"/>
      <c r="N7" s="4504"/>
      <c r="O7" s="4504"/>
      <c r="P7" s="4504"/>
      <c r="Q7" s="2312"/>
      <c r="R7" s="1797"/>
      <c r="S7" s="1760"/>
      <c r="T7" s="1760"/>
      <c r="U7" s="1760"/>
      <c r="V7" s="1760"/>
      <c r="W7" s="1760"/>
    </row>
    <row r="8" spans="1:23" ht="15">
      <c r="A8" s="4519" t="s">
        <v>1038</v>
      </c>
      <c r="B8" s="4519"/>
      <c r="C8" s="4519"/>
      <c r="D8" s="4519"/>
      <c r="E8" s="4519"/>
      <c r="F8" s="4519"/>
      <c r="G8" s="4519"/>
      <c r="H8" s="4519"/>
      <c r="I8" s="4519"/>
      <c r="J8" s="4519"/>
      <c r="K8" s="4519"/>
      <c r="L8" s="4519"/>
      <c r="M8" s="4519"/>
      <c r="N8" s="4519"/>
      <c r="O8" s="4519"/>
      <c r="P8" s="4519"/>
      <c r="Q8" s="2310"/>
      <c r="R8" s="1797"/>
      <c r="S8" s="1760"/>
      <c r="T8" s="1760"/>
      <c r="U8" s="1760"/>
      <c r="V8" s="1760"/>
      <c r="W8" s="1760"/>
    </row>
    <row r="9" spans="1:23" ht="23.25" customHeight="1">
      <c r="A9" s="4506" t="s">
        <v>19</v>
      </c>
      <c r="B9" s="4506" t="s">
        <v>1217</v>
      </c>
      <c r="C9" s="4507" t="s">
        <v>7</v>
      </c>
      <c r="D9" s="4508" t="s">
        <v>361</v>
      </c>
      <c r="E9" s="4520" t="s">
        <v>1234</v>
      </c>
      <c r="F9" s="4521"/>
      <c r="G9" s="4521"/>
      <c r="H9" s="4521"/>
      <c r="I9" s="4521"/>
      <c r="J9" s="4521"/>
      <c r="K9" s="4521"/>
      <c r="L9" s="4522"/>
      <c r="M9" s="4523" t="s">
        <v>1024</v>
      </c>
      <c r="N9" s="4509" t="s">
        <v>812</v>
      </c>
      <c r="O9" s="4525" t="s">
        <v>47</v>
      </c>
      <c r="P9" s="4511" t="s">
        <v>813</v>
      </c>
      <c r="Q9" s="2333"/>
      <c r="R9" s="1797"/>
      <c r="S9" s="1760"/>
      <c r="T9" s="1760"/>
      <c r="U9" s="1760"/>
      <c r="V9" s="1760"/>
      <c r="W9" s="1760"/>
    </row>
    <row r="10" spans="1:23" ht="31.5" customHeight="1">
      <c r="A10" s="4506"/>
      <c r="B10" s="4506"/>
      <c r="C10" s="4507"/>
      <c r="D10" s="4508"/>
      <c r="E10" s="1761" t="s">
        <v>814</v>
      </c>
      <c r="F10" s="1761" t="s">
        <v>815</v>
      </c>
      <c r="G10" s="1761" t="s">
        <v>814</v>
      </c>
      <c r="H10" s="1761" t="s">
        <v>815</v>
      </c>
      <c r="I10" s="1761" t="s">
        <v>814</v>
      </c>
      <c r="J10" s="1761" t="s">
        <v>815</v>
      </c>
      <c r="K10" s="1761" t="s">
        <v>814</v>
      </c>
      <c r="L10" s="1762" t="s">
        <v>815</v>
      </c>
      <c r="M10" s="4524"/>
      <c r="N10" s="4509"/>
      <c r="O10" s="4526"/>
      <c r="P10" s="4511"/>
      <c r="Q10" s="2333"/>
      <c r="R10" s="1797"/>
      <c r="S10" s="1760"/>
      <c r="T10" s="1760"/>
      <c r="U10" s="1760"/>
      <c r="V10" s="1760"/>
      <c r="W10" s="1760"/>
    </row>
    <row r="11" spans="1:23" ht="21.75" customHeight="1">
      <c r="A11" s="1764" t="s">
        <v>52</v>
      </c>
      <c r="B11" s="1765" t="s">
        <v>816</v>
      </c>
      <c r="C11" s="1766"/>
      <c r="D11" s="2334"/>
      <c r="E11" s="1767"/>
      <c r="F11" s="1767"/>
      <c r="G11" s="1767"/>
      <c r="H11" s="1767"/>
      <c r="I11" s="1767"/>
      <c r="J11" s="1767"/>
      <c r="K11" s="1767"/>
      <c r="L11" s="1768"/>
      <c r="M11" s="1769"/>
      <c r="N11" s="1767"/>
      <c r="O11" s="1770"/>
      <c r="P11" s="1771"/>
      <c r="Q11" s="2335"/>
      <c r="R11" s="1797"/>
      <c r="S11" s="1760"/>
      <c r="T11" s="1760"/>
      <c r="U11" s="1760"/>
      <c r="V11" s="1760"/>
      <c r="W11" s="1760"/>
    </row>
    <row r="12" spans="1:23" ht="19.5" customHeight="1">
      <c r="A12" s="1772" t="s">
        <v>147</v>
      </c>
      <c r="B12" s="1773" t="s">
        <v>817</v>
      </c>
      <c r="C12" s="1786"/>
      <c r="D12" s="1776"/>
      <c r="E12" s="2309"/>
      <c r="F12" s="2309"/>
      <c r="G12" s="2309"/>
      <c r="H12" s="2309"/>
      <c r="I12" s="2309"/>
      <c r="J12" s="2309"/>
      <c r="K12" s="2309"/>
      <c r="L12" s="2337"/>
      <c r="M12" s="1777"/>
      <c r="N12" s="1775"/>
      <c r="O12" s="1778"/>
      <c r="P12" s="1779"/>
      <c r="Q12" s="2336"/>
      <c r="R12" s="1797"/>
      <c r="S12" s="1760"/>
      <c r="T12" s="1760"/>
      <c r="U12" s="1760"/>
      <c r="V12" s="1760"/>
      <c r="W12" s="1760"/>
    </row>
    <row r="13" spans="1:23" ht="19.5" customHeight="1">
      <c r="A13" s="1780">
        <v>1</v>
      </c>
      <c r="B13" s="1781" t="s">
        <v>49</v>
      </c>
      <c r="C13" s="1782" t="s">
        <v>818</v>
      </c>
      <c r="D13" s="2337"/>
      <c r="E13" s="2309"/>
      <c r="F13" s="2309"/>
      <c r="G13" s="2309"/>
      <c r="H13" s="2309"/>
      <c r="I13" s="2309"/>
      <c r="J13" s="2309"/>
      <c r="K13" s="2309"/>
      <c r="L13" s="2337"/>
      <c r="M13" s="1777"/>
      <c r="N13" s="2309"/>
      <c r="O13" s="1778"/>
      <c r="P13" s="1783"/>
      <c r="Q13" s="2338"/>
      <c r="R13" s="1797"/>
      <c r="S13" s="1760"/>
      <c r="T13" s="1760"/>
      <c r="U13" s="1760"/>
      <c r="V13" s="1760"/>
      <c r="W13" s="1760"/>
    </row>
    <row r="14" spans="1:23" ht="19.5" customHeight="1">
      <c r="A14" s="1780">
        <v>2</v>
      </c>
      <c r="B14" s="1781" t="s">
        <v>819</v>
      </c>
      <c r="C14" s="1782" t="s">
        <v>818</v>
      </c>
      <c r="D14" s="2337"/>
      <c r="E14" s="2309"/>
      <c r="F14" s="2309"/>
      <c r="G14" s="2309"/>
      <c r="H14" s="2309"/>
      <c r="I14" s="2309"/>
      <c r="J14" s="2309"/>
      <c r="K14" s="2309"/>
      <c r="L14" s="2337"/>
      <c r="M14" s="1784"/>
      <c r="N14" s="2309"/>
      <c r="O14" s="1778"/>
      <c r="P14" s="1785"/>
      <c r="Q14" s="2340"/>
      <c r="R14" s="1797"/>
      <c r="S14" s="1760"/>
      <c r="T14" s="1760"/>
      <c r="U14" s="1760"/>
      <c r="V14" s="1760"/>
      <c r="W14" s="1760"/>
    </row>
    <row r="15" spans="1:23" ht="19.5" customHeight="1">
      <c r="A15" s="1772" t="s">
        <v>148</v>
      </c>
      <c r="B15" s="1773" t="s">
        <v>820</v>
      </c>
      <c r="C15" s="1786"/>
      <c r="D15" s="1776"/>
      <c r="E15" s="2309"/>
      <c r="F15" s="2309"/>
      <c r="G15" s="2309"/>
      <c r="H15" s="2309"/>
      <c r="I15" s="2309"/>
      <c r="J15" s="2309"/>
      <c r="K15" s="2309"/>
      <c r="L15" s="2337"/>
      <c r="M15" s="1777"/>
      <c r="N15" s="1775"/>
      <c r="O15" s="1778">
        <f>SUM(O16:O19)</f>
        <v>0</v>
      </c>
      <c r="P15" s="1779"/>
      <c r="Q15" s="2336"/>
      <c r="R15" s="1797"/>
      <c r="S15" s="1760"/>
      <c r="T15" s="1760"/>
      <c r="U15" s="1760"/>
      <c r="V15" s="1760"/>
      <c r="W15" s="1760"/>
    </row>
    <row r="16" spans="1:23" ht="19.5" customHeight="1">
      <c r="A16" s="1780">
        <v>1</v>
      </c>
      <c r="B16" s="1781" t="s">
        <v>821</v>
      </c>
      <c r="C16" s="1787" t="s">
        <v>362</v>
      </c>
      <c r="D16" s="2337"/>
      <c r="E16" s="4501"/>
      <c r="F16" s="4501"/>
      <c r="G16" s="4501"/>
      <c r="H16" s="4501"/>
      <c r="I16" s="4501"/>
      <c r="J16" s="4501"/>
      <c r="K16" s="4501"/>
      <c r="L16" s="4501"/>
      <c r="M16" s="1777"/>
      <c r="N16" s="2309"/>
      <c r="O16" s="1788"/>
      <c r="P16" s="1785"/>
      <c r="Q16" s="2340"/>
      <c r="R16" s="1797"/>
      <c r="S16" s="1760"/>
      <c r="T16" s="1760"/>
      <c r="U16" s="1760"/>
      <c r="V16" s="1760"/>
      <c r="W16" s="1760"/>
    </row>
    <row r="17" spans="1:24" ht="19.5" customHeight="1">
      <c r="A17" s="1780">
        <v>2</v>
      </c>
      <c r="B17" s="1781" t="s">
        <v>822</v>
      </c>
      <c r="C17" s="1782" t="s">
        <v>362</v>
      </c>
      <c r="D17" s="2337"/>
      <c r="E17" s="4501"/>
      <c r="F17" s="4501"/>
      <c r="G17" s="4501"/>
      <c r="H17" s="4501"/>
      <c r="I17" s="4501"/>
      <c r="J17" s="4501"/>
      <c r="K17" s="4501"/>
      <c r="L17" s="4501"/>
      <c r="M17" s="1777"/>
      <c r="N17" s="2309"/>
      <c r="O17" s="1788"/>
      <c r="P17" s="1785"/>
      <c r="Q17" s="2340"/>
      <c r="R17" s="1797"/>
      <c r="S17" s="1760"/>
      <c r="T17" s="1760"/>
      <c r="U17" s="1760"/>
      <c r="V17" s="1760"/>
      <c r="W17" s="1760"/>
    </row>
    <row r="18" spans="1:24" ht="33.75" customHeight="1">
      <c r="A18" s="1780">
        <v>3</v>
      </c>
      <c r="B18" s="1781" t="s">
        <v>1041</v>
      </c>
      <c r="C18" s="1787" t="s">
        <v>362</v>
      </c>
      <c r="D18" s="2337"/>
      <c r="E18" s="4501"/>
      <c r="F18" s="4501"/>
      <c r="G18" s="4501"/>
      <c r="H18" s="4501"/>
      <c r="I18" s="4501"/>
      <c r="J18" s="4501"/>
      <c r="K18" s="4501"/>
      <c r="L18" s="4501"/>
      <c r="M18" s="1777"/>
      <c r="N18" s="2309"/>
      <c r="O18" s="1788"/>
      <c r="P18" s="1785"/>
      <c r="Q18" s="2340"/>
      <c r="R18" s="1797"/>
      <c r="S18" s="1760"/>
      <c r="T18" s="1760"/>
      <c r="U18" s="1760"/>
      <c r="V18" s="1760"/>
      <c r="W18" s="1760"/>
    </row>
    <row r="19" spans="1:24" ht="22.5" customHeight="1">
      <c r="A19" s="1780">
        <v>4</v>
      </c>
      <c r="B19" s="1781" t="s">
        <v>1043</v>
      </c>
      <c r="C19" s="1782" t="s">
        <v>362</v>
      </c>
      <c r="D19" s="2337"/>
      <c r="E19" s="4501"/>
      <c r="F19" s="4501"/>
      <c r="G19" s="4501"/>
      <c r="H19" s="4501"/>
      <c r="I19" s="4501"/>
      <c r="J19" s="4501"/>
      <c r="K19" s="4501"/>
      <c r="L19" s="4501"/>
      <c r="M19" s="1777"/>
      <c r="N19" s="2309"/>
      <c r="O19" s="1788"/>
      <c r="P19" s="1785"/>
      <c r="Q19" s="2340"/>
      <c r="R19" s="1797"/>
      <c r="S19" s="1760"/>
      <c r="T19" s="1760"/>
      <c r="U19" s="1760"/>
      <c r="V19" s="1760"/>
      <c r="W19" s="1760"/>
    </row>
    <row r="20" spans="1:24" ht="27.75" customHeight="1">
      <c r="A20" s="1789" t="s">
        <v>149</v>
      </c>
      <c r="B20" s="1790" t="s">
        <v>958</v>
      </c>
      <c r="C20" s="1787"/>
      <c r="D20" s="1820"/>
      <c r="E20" s="1793"/>
      <c r="F20" s="1793"/>
      <c r="G20" s="1793"/>
      <c r="H20" s="1793"/>
      <c r="I20" s="1795"/>
      <c r="J20" s="1795"/>
      <c r="K20" s="1795"/>
      <c r="L20" s="2341"/>
      <c r="M20" s="1794"/>
      <c r="N20" s="1795"/>
      <c r="O20" s="1796">
        <f>+O21+O27+O37+O29</f>
        <v>3057.0978123049999</v>
      </c>
      <c r="P20" s="2342"/>
      <c r="Q20" s="2343"/>
      <c r="R20" s="1797"/>
      <c r="S20" s="1760"/>
      <c r="T20" s="1760"/>
      <c r="U20" s="1760"/>
      <c r="V20" s="1760"/>
      <c r="W20" s="1760"/>
    </row>
    <row r="21" spans="1:24" ht="27.75" customHeight="1">
      <c r="A21" s="1789">
        <v>1</v>
      </c>
      <c r="B21" s="1790" t="s">
        <v>927</v>
      </c>
      <c r="C21" s="1787"/>
      <c r="D21" s="1820"/>
      <c r="E21" s="1793"/>
      <c r="F21" s="1793"/>
      <c r="G21" s="1793"/>
      <c r="H21" s="1793"/>
      <c r="I21" s="1795"/>
      <c r="J21" s="1795"/>
      <c r="K21" s="1795"/>
      <c r="L21" s="2341"/>
      <c r="M21" s="1794"/>
      <c r="N21" s="1795"/>
      <c r="O21" s="1796">
        <f>+SUM(O22:O26)</f>
        <v>705.3</v>
      </c>
      <c r="P21" s="2342"/>
      <c r="Q21" s="2343"/>
      <c r="R21" s="1797"/>
      <c r="S21" s="1760"/>
      <c r="T21" s="1760"/>
      <c r="U21" s="1760"/>
      <c r="V21" s="1797"/>
      <c r="W21" s="1797"/>
    </row>
    <row r="22" spans="1:24" ht="35.25" customHeight="1">
      <c r="A22" s="1798" t="s">
        <v>837</v>
      </c>
      <c r="B22" s="2351" t="s">
        <v>1235</v>
      </c>
      <c r="C22" s="1787" t="s">
        <v>959</v>
      </c>
      <c r="D22" s="1820">
        <f>25000/187500</f>
        <v>0.13333333333333333</v>
      </c>
      <c r="E22" s="1810"/>
      <c r="F22" s="1800"/>
      <c r="G22" s="1811"/>
      <c r="H22" s="1802"/>
      <c r="I22" s="1810"/>
      <c r="J22" s="1802"/>
      <c r="K22" s="1795"/>
      <c r="L22" s="2341"/>
      <c r="M22" s="1794">
        <v>13</v>
      </c>
      <c r="N22" s="1795">
        <v>1</v>
      </c>
      <c r="O22" s="1788">
        <f>ROUND((M22/D22)*N22,9)</f>
        <v>97.5</v>
      </c>
      <c r="P22" s="2342"/>
      <c r="Q22" s="2343"/>
      <c r="R22" s="1797"/>
      <c r="S22" s="1760"/>
      <c r="T22" s="1760"/>
      <c r="U22" s="1760"/>
      <c r="V22" s="1797"/>
      <c r="W22" s="1797"/>
    </row>
    <row r="23" spans="1:24" ht="32.25" customHeight="1">
      <c r="A23" s="1798" t="s">
        <v>838</v>
      </c>
      <c r="B23" s="1781" t="s">
        <v>204</v>
      </c>
      <c r="C23" s="1787" t="s">
        <v>959</v>
      </c>
      <c r="D23" s="1820">
        <v>1.25</v>
      </c>
      <c r="E23" s="1810"/>
      <c r="F23" s="1800"/>
      <c r="G23" s="1811"/>
      <c r="H23" s="1802"/>
      <c r="I23" s="1810"/>
      <c r="J23" s="1802"/>
      <c r="K23" s="1795"/>
      <c r="L23" s="2341"/>
      <c r="M23" s="1794">
        <v>13</v>
      </c>
      <c r="N23" s="1795">
        <v>1</v>
      </c>
      <c r="O23" s="1788">
        <f>ROUND((M23/D23)*N23,9)</f>
        <v>10.4</v>
      </c>
      <c r="P23" s="2342"/>
      <c r="Q23" s="2343"/>
      <c r="R23" s="1797"/>
      <c r="S23" s="1760"/>
      <c r="T23" s="1760"/>
      <c r="U23" s="1760"/>
      <c r="V23" s="1797"/>
      <c r="W23" s="1797"/>
    </row>
    <row r="24" spans="1:24" ht="27.75" customHeight="1">
      <c r="A24" s="4477" t="s">
        <v>1047</v>
      </c>
      <c r="B24" s="4479" t="s">
        <v>1049</v>
      </c>
      <c r="C24" s="4481" t="s">
        <v>1050</v>
      </c>
      <c r="D24" s="4483">
        <f>1/16</f>
        <v>6.25E-2</v>
      </c>
      <c r="E24" s="1811" t="s">
        <v>1051</v>
      </c>
      <c r="F24" s="1802">
        <v>3.16</v>
      </c>
      <c r="G24" s="1810" t="s">
        <v>1052</v>
      </c>
      <c r="H24" s="1802">
        <v>6.09</v>
      </c>
      <c r="I24" s="1795" t="s">
        <v>1053</v>
      </c>
      <c r="J24" s="2341">
        <v>9.84</v>
      </c>
      <c r="K24" s="1811" t="s">
        <v>1060</v>
      </c>
      <c r="L24" s="2375">
        <v>3.99</v>
      </c>
      <c r="M24" s="4485">
        <f>+F24+H24+J24+F25+H25+L24</f>
        <v>33.489999999999995</v>
      </c>
      <c r="N24" s="4487">
        <v>1</v>
      </c>
      <c r="O24" s="4470">
        <f>ROUND((M24/D24)*N24,9)</f>
        <v>535.84</v>
      </c>
      <c r="P24" s="2342"/>
      <c r="Q24" s="2343"/>
      <c r="R24" s="1797"/>
      <c r="S24" s="1760"/>
      <c r="T24" s="1760"/>
      <c r="U24" s="1760"/>
      <c r="V24" s="1797"/>
      <c r="W24" s="1797"/>
    </row>
    <row r="25" spans="1:24" ht="27.75" customHeight="1">
      <c r="A25" s="4492"/>
      <c r="B25" s="4493"/>
      <c r="C25" s="4494"/>
      <c r="D25" s="4484"/>
      <c r="E25" s="1811">
        <v>8</v>
      </c>
      <c r="F25" s="1802">
        <f>2.05+1.55</f>
        <v>3.5999999999999996</v>
      </c>
      <c r="G25" s="1810" t="s">
        <v>1073</v>
      </c>
      <c r="H25" s="1802">
        <v>6.81</v>
      </c>
      <c r="I25" s="1795"/>
      <c r="J25" s="2341"/>
      <c r="K25" s="1810"/>
      <c r="L25" s="1802"/>
      <c r="M25" s="4486"/>
      <c r="N25" s="4488"/>
      <c r="O25" s="4471"/>
      <c r="P25" s="2376"/>
      <c r="Q25" s="2343"/>
      <c r="R25" s="1797"/>
      <c r="S25" s="1760"/>
      <c r="T25" s="1760"/>
      <c r="U25" s="1760"/>
      <c r="V25" s="1797"/>
      <c r="W25" s="1797"/>
    </row>
    <row r="26" spans="1:24" ht="27.75" customHeight="1">
      <c r="A26" s="4478"/>
      <c r="B26" s="4480"/>
      <c r="C26" s="4482"/>
      <c r="D26" s="2377">
        <f>1/12</f>
        <v>8.3333333333333329E-2</v>
      </c>
      <c r="E26" s="1810" t="s">
        <v>1059</v>
      </c>
      <c r="F26" s="1802">
        <v>3.36</v>
      </c>
      <c r="G26" s="2341" t="s">
        <v>209</v>
      </c>
      <c r="H26" s="1802">
        <v>1.77</v>
      </c>
      <c r="I26" s="1795"/>
      <c r="J26" s="2341"/>
      <c r="K26" s="1810"/>
      <c r="L26" s="1802"/>
      <c r="M26" s="2323">
        <f>F26+H26</f>
        <v>5.13</v>
      </c>
      <c r="N26" s="2314">
        <v>1</v>
      </c>
      <c r="O26" s="2316">
        <f>ROUND((M26/D26)*N26,9)</f>
        <v>61.56</v>
      </c>
      <c r="P26" s="2376"/>
      <c r="Q26" s="2343"/>
      <c r="R26" s="1797"/>
      <c r="S26" s="1760"/>
      <c r="T26" s="1760"/>
      <c r="U26" s="1760"/>
      <c r="V26" s="1797"/>
      <c r="W26" s="1797"/>
    </row>
    <row r="27" spans="1:24" ht="27.75" customHeight="1">
      <c r="A27" s="1789">
        <v>2</v>
      </c>
      <c r="B27" s="1790" t="s">
        <v>823</v>
      </c>
      <c r="C27" s="1787"/>
      <c r="D27" s="1820"/>
      <c r="E27" s="1793"/>
      <c r="F27" s="1793"/>
      <c r="G27" s="1793"/>
      <c r="H27" s="1793"/>
      <c r="I27" s="1795"/>
      <c r="J27" s="1795"/>
      <c r="K27" s="1795"/>
      <c r="L27" s="2341"/>
      <c r="M27" s="1794"/>
      <c r="N27" s="1795"/>
      <c r="O27" s="1796">
        <f>+SUM(O28:O28)</f>
        <v>18.600000000000001</v>
      </c>
      <c r="P27" s="2342"/>
      <c r="Q27" s="2343"/>
      <c r="R27" s="2378"/>
      <c r="S27" s="1760"/>
      <c r="T27" s="1760"/>
      <c r="U27" s="1760"/>
      <c r="V27" s="1797"/>
      <c r="W27" s="1797"/>
    </row>
    <row r="28" spans="1:24" ht="27.75" customHeight="1">
      <c r="A28" s="1803" t="s">
        <v>969</v>
      </c>
      <c r="B28" s="1781" t="s">
        <v>1049</v>
      </c>
      <c r="C28" s="1787" t="s">
        <v>1050</v>
      </c>
      <c r="D28" s="1820">
        <f>1/12</f>
        <v>8.3333333333333329E-2</v>
      </c>
      <c r="E28" s="1810" t="s">
        <v>1070</v>
      </c>
      <c r="F28" s="1802">
        <v>1.55</v>
      </c>
      <c r="G28" s="1811"/>
      <c r="H28" s="1802"/>
      <c r="I28" s="1811"/>
      <c r="J28" s="1802"/>
      <c r="K28" s="2379"/>
      <c r="L28" s="1807"/>
      <c r="M28" s="1794">
        <f>F28</f>
        <v>1.55</v>
      </c>
      <c r="N28" s="1795">
        <v>1</v>
      </c>
      <c r="O28" s="1788">
        <f t="shared" ref="O28" si="0">ROUND((M28/D28)*N28,9)</f>
        <v>18.600000000000001</v>
      </c>
      <c r="P28" s="2342"/>
      <c r="Q28" s="2343"/>
      <c r="R28" s="2380"/>
      <c r="S28" s="2346" t="s">
        <v>1236</v>
      </c>
      <c r="T28" s="2346" t="s">
        <v>1237</v>
      </c>
      <c r="U28" s="2346" t="s">
        <v>569</v>
      </c>
      <c r="V28" s="2346" t="s">
        <v>1238</v>
      </c>
      <c r="W28" s="2346" t="s">
        <v>1071</v>
      </c>
    </row>
    <row r="29" spans="1:24" ht="21" customHeight="1">
      <c r="A29" s="1789">
        <v>3</v>
      </c>
      <c r="B29" s="1790" t="s">
        <v>824</v>
      </c>
      <c r="C29" s="1787"/>
      <c r="D29" s="1820"/>
      <c r="E29" s="1810"/>
      <c r="F29" s="1802"/>
      <c r="G29" s="1810"/>
      <c r="H29" s="1802"/>
      <c r="I29" s="1811"/>
      <c r="J29" s="1802"/>
      <c r="K29" s="1811"/>
      <c r="L29" s="1802"/>
      <c r="M29" s="1794"/>
      <c r="N29" s="1795"/>
      <c r="O29" s="1796">
        <f>+SUM(O30:O36)</f>
        <v>1389.0959941230001</v>
      </c>
      <c r="P29" s="2342"/>
      <c r="Q29" s="2343"/>
      <c r="R29" s="2380" t="s">
        <v>21</v>
      </c>
      <c r="S29" s="2346">
        <f>M23+M31+M39</f>
        <v>40</v>
      </c>
      <c r="T29" s="2346">
        <f>M22+M30+M38</f>
        <v>64</v>
      </c>
      <c r="U29" s="2381">
        <f>M24+M26+M32+M40+M44+M45+M28</f>
        <v>151.57000000000002</v>
      </c>
      <c r="V29" s="2346">
        <f>M36</f>
        <v>54.75</v>
      </c>
      <c r="W29" s="2346">
        <f>M35+M41</f>
        <v>122.62</v>
      </c>
      <c r="X29" s="2382">
        <f>V29*1.7</f>
        <v>93.075000000000003</v>
      </c>
    </row>
    <row r="30" spans="1:24" ht="38.25" customHeight="1">
      <c r="A30" s="1798" t="s">
        <v>889</v>
      </c>
      <c r="B30" s="2351" t="s">
        <v>1227</v>
      </c>
      <c r="C30" s="1787" t="s">
        <v>959</v>
      </c>
      <c r="D30" s="1820">
        <f>25000/187500</f>
        <v>0.13333333333333333</v>
      </c>
      <c r="E30" s="1810"/>
      <c r="F30" s="1802"/>
      <c r="G30" s="1811"/>
      <c r="H30" s="1802"/>
      <c r="I30" s="1810"/>
      <c r="J30" s="1802"/>
      <c r="K30" s="1810"/>
      <c r="L30" s="1802"/>
      <c r="M30" s="1794">
        <v>41</v>
      </c>
      <c r="N30" s="1795">
        <v>1</v>
      </c>
      <c r="O30" s="1788">
        <f t="shared" ref="O30:O31" si="1">ROUND((M30/D30)*N30,9)</f>
        <v>307.5</v>
      </c>
      <c r="P30" s="2342"/>
      <c r="Q30" s="2343"/>
      <c r="R30" s="2380" t="s">
        <v>362</v>
      </c>
      <c r="S30" s="2346">
        <f>O23+O31+O39</f>
        <v>32</v>
      </c>
      <c r="T30" s="2346">
        <f>O22+O30+O38</f>
        <v>480</v>
      </c>
      <c r="U30" s="2346">
        <f>O24+O26+O28+O32+O40+O44+O45</f>
        <v>2175.2800000000002</v>
      </c>
      <c r="V30" s="2346">
        <f>O36</f>
        <v>262.84205472899998</v>
      </c>
      <c r="W30" s="2346">
        <f>O35+O41</f>
        <v>371.575757576</v>
      </c>
      <c r="X30">
        <v>199.929617009677</v>
      </c>
    </row>
    <row r="31" spans="1:24" ht="18.75" customHeight="1">
      <c r="A31" s="1798" t="s">
        <v>970</v>
      </c>
      <c r="B31" s="1781" t="s">
        <v>204</v>
      </c>
      <c r="C31" s="1787" t="s">
        <v>959</v>
      </c>
      <c r="D31" s="1820">
        <v>1.25</v>
      </c>
      <c r="E31" s="1810"/>
      <c r="F31" s="1802"/>
      <c r="G31" s="1811"/>
      <c r="H31" s="1802"/>
      <c r="I31" s="1811"/>
      <c r="J31" s="1802"/>
      <c r="K31" s="2379"/>
      <c r="L31" s="1807"/>
      <c r="M31" s="1794">
        <v>22</v>
      </c>
      <c r="N31" s="1795">
        <v>1</v>
      </c>
      <c r="O31" s="1788">
        <f t="shared" si="1"/>
        <v>17.600000000000001</v>
      </c>
      <c r="P31" s="2342"/>
      <c r="Q31" s="2343"/>
      <c r="R31" s="2344" t="s">
        <v>1239</v>
      </c>
      <c r="S31" s="2344">
        <f>S30*25000</f>
        <v>800000</v>
      </c>
      <c r="T31" s="2344">
        <f>T30*25000</f>
        <v>12000000</v>
      </c>
      <c r="U31" s="2344">
        <f>U30*25000</f>
        <v>54382000.000000007</v>
      </c>
      <c r="V31" s="2344">
        <f>V30*25000</f>
        <v>6571051.3682249999</v>
      </c>
      <c r="W31" s="2344">
        <f>W30*25000</f>
        <v>9289393.9394000005</v>
      </c>
    </row>
    <row r="32" spans="1:24" ht="18.75" customHeight="1">
      <c r="A32" s="4477" t="s">
        <v>1079</v>
      </c>
      <c r="B32" s="4479" t="s">
        <v>1049</v>
      </c>
      <c r="C32" s="4481" t="s">
        <v>1050</v>
      </c>
      <c r="D32" s="4483">
        <f>1/16</f>
        <v>6.25E-2</v>
      </c>
      <c r="E32" s="1810" t="s">
        <v>1084</v>
      </c>
      <c r="F32" s="1806">
        <v>5.78</v>
      </c>
      <c r="G32" s="1810" t="s">
        <v>1084</v>
      </c>
      <c r="H32" s="1802">
        <v>3.09</v>
      </c>
      <c r="I32" s="1810" t="s">
        <v>1085</v>
      </c>
      <c r="J32" s="1802">
        <v>11.11</v>
      </c>
      <c r="K32" s="1810">
        <v>9</v>
      </c>
      <c r="L32" s="1806">
        <v>2.46</v>
      </c>
      <c r="M32" s="4485">
        <f>F32+H32+J32+L32+F33+H33+J33+L33+F34</f>
        <v>49.110000000000007</v>
      </c>
      <c r="N32" s="4487">
        <v>1</v>
      </c>
      <c r="O32" s="4470">
        <f>ROUND((M32/D32)*N32,9)</f>
        <v>785.76</v>
      </c>
      <c r="P32" s="2342"/>
      <c r="Q32" s="2343"/>
      <c r="R32" s="1797"/>
      <c r="S32" s="1760"/>
      <c r="T32" s="1760"/>
      <c r="U32" s="1760"/>
      <c r="V32" s="1760"/>
      <c r="W32" s="1760">
        <f>W29*200</f>
        <v>24524</v>
      </c>
    </row>
    <row r="33" spans="1:23" ht="18.75" customHeight="1">
      <c r="A33" s="4492"/>
      <c r="B33" s="4493"/>
      <c r="C33" s="4494"/>
      <c r="D33" s="4495"/>
      <c r="E33" s="1810" t="s">
        <v>1060</v>
      </c>
      <c r="F33" s="1802">
        <v>1.64</v>
      </c>
      <c r="G33" s="1810" t="s">
        <v>209</v>
      </c>
      <c r="H33" s="1802">
        <v>2.87</v>
      </c>
      <c r="I33" s="1810" t="s">
        <v>1074</v>
      </c>
      <c r="J33" s="2383">
        <v>2.96</v>
      </c>
      <c r="K33" s="1810" t="s">
        <v>158</v>
      </c>
      <c r="L33" s="1802">
        <v>12.57</v>
      </c>
      <c r="M33" s="4496"/>
      <c r="N33" s="4497"/>
      <c r="O33" s="4491"/>
      <c r="P33" s="2342"/>
      <c r="Q33" s="2343"/>
      <c r="R33" s="1797"/>
      <c r="S33" s="1760"/>
      <c r="T33" s="1760"/>
      <c r="U33" s="1760"/>
      <c r="V33" s="1760"/>
      <c r="W33" s="1760"/>
    </row>
    <row r="34" spans="1:23" ht="18.75" customHeight="1">
      <c r="A34" s="4478"/>
      <c r="B34" s="4480"/>
      <c r="C34" s="4482"/>
      <c r="D34" s="4484"/>
      <c r="E34" s="1810" t="s">
        <v>159</v>
      </c>
      <c r="F34" s="2383">
        <v>6.63</v>
      </c>
      <c r="G34" s="1810"/>
      <c r="H34" s="1802"/>
      <c r="I34" s="1810"/>
      <c r="J34" s="1802"/>
      <c r="K34" s="1810"/>
      <c r="L34" s="2341"/>
      <c r="M34" s="4486"/>
      <c r="N34" s="4488"/>
      <c r="O34" s="4471"/>
      <c r="P34" s="2342"/>
      <c r="Q34" s="2343"/>
      <c r="R34" s="1797"/>
      <c r="S34" s="1760"/>
      <c r="T34" s="1760"/>
      <c r="U34" s="1760"/>
      <c r="V34" s="1760"/>
      <c r="W34" s="1760"/>
    </row>
    <row r="35" spans="1:23" ht="18.75" customHeight="1">
      <c r="A35" s="2384" t="s">
        <v>1081</v>
      </c>
      <c r="B35" s="1805" t="s">
        <v>1055</v>
      </c>
      <c r="C35" s="2322" t="s">
        <v>1050</v>
      </c>
      <c r="D35" s="2377">
        <v>0.33</v>
      </c>
      <c r="E35" s="1810">
        <v>11</v>
      </c>
      <c r="F35" s="2383">
        <v>0.96</v>
      </c>
      <c r="G35" s="1810">
        <v>14</v>
      </c>
      <c r="H35" s="1802">
        <v>4.12</v>
      </c>
      <c r="I35" s="1810"/>
      <c r="J35" s="1802"/>
      <c r="K35" s="1810"/>
      <c r="L35" s="2341"/>
      <c r="M35" s="2323">
        <f>F35+H35</f>
        <v>5.08</v>
      </c>
      <c r="N35" s="2314">
        <v>1</v>
      </c>
      <c r="O35" s="2316">
        <f>ROUND((M35/D35)*N35,9)</f>
        <v>15.393939394</v>
      </c>
      <c r="P35" s="2342"/>
      <c r="Q35" s="2343"/>
      <c r="R35" s="1797"/>
      <c r="S35" s="2385">
        <f>M35*X30</f>
        <v>1015.6424544091592</v>
      </c>
      <c r="T35" s="2385">
        <f>M41*X30</f>
        <v>23499.727183317435</v>
      </c>
      <c r="U35" s="1760"/>
      <c r="V35" s="1760"/>
      <c r="W35" s="1760"/>
    </row>
    <row r="36" spans="1:23" ht="27" customHeight="1">
      <c r="A36" s="2318" t="s">
        <v>1082</v>
      </c>
      <c r="B36" s="1805" t="s">
        <v>1064</v>
      </c>
      <c r="C36" s="2320" t="s">
        <v>1050</v>
      </c>
      <c r="D36" s="2386">
        <v>0.20829999999999999</v>
      </c>
      <c r="E36" s="1810" t="s">
        <v>1093</v>
      </c>
      <c r="F36" s="1807">
        <v>11.12</v>
      </c>
      <c r="G36" s="1810" t="s">
        <v>1095</v>
      </c>
      <c r="H36" s="1807">
        <v>22.61</v>
      </c>
      <c r="I36" s="1810" t="s">
        <v>1094</v>
      </c>
      <c r="J36" s="1802">
        <v>21.02</v>
      </c>
      <c r="K36" s="1810"/>
      <c r="L36" s="1807"/>
      <c r="M36" s="2321">
        <f>F36+H36+J36</f>
        <v>54.75</v>
      </c>
      <c r="N36" s="2313">
        <v>1</v>
      </c>
      <c r="O36" s="2315">
        <f>ROUND((M36/D36)*N36,9)</f>
        <v>262.84205472899998</v>
      </c>
      <c r="P36" s="2342"/>
      <c r="Q36" s="2343"/>
      <c r="R36" s="2378"/>
      <c r="S36" s="1760"/>
      <c r="T36" s="1760"/>
      <c r="U36" s="1760"/>
      <c r="V36" s="1760">
        <f>U30+V30+W30</f>
        <v>2809.6978123050003</v>
      </c>
      <c r="W36" s="1760">
        <v>25000</v>
      </c>
    </row>
    <row r="37" spans="1:23" ht="21" customHeight="1">
      <c r="A37" s="1789">
        <v>4</v>
      </c>
      <c r="B37" s="1790" t="s">
        <v>928</v>
      </c>
      <c r="C37" s="1787"/>
      <c r="D37" s="1820"/>
      <c r="E37" s="1791"/>
      <c r="F37" s="1791"/>
      <c r="G37" s="1791"/>
      <c r="H37" s="1791"/>
      <c r="I37" s="2387"/>
      <c r="J37" s="1800"/>
      <c r="K37" s="1811"/>
      <c r="L37" s="1802"/>
      <c r="M37" s="1794"/>
      <c r="N37" s="1795"/>
      <c r="O37" s="1796">
        <f>+SUM(O38:O42)</f>
        <v>944.10181818199999</v>
      </c>
      <c r="P37" s="2342"/>
      <c r="Q37" s="2343"/>
      <c r="R37" s="1797"/>
      <c r="S37" s="1760"/>
      <c r="T37" s="1760"/>
      <c r="U37" s="1760"/>
      <c r="V37" s="1760">
        <f>V36*W36</f>
        <v>70242445.307625011</v>
      </c>
      <c r="W37" s="1760"/>
    </row>
    <row r="38" spans="1:23" ht="31.5" customHeight="1">
      <c r="A38" s="1798" t="s">
        <v>929</v>
      </c>
      <c r="B38" s="2351" t="s">
        <v>1240</v>
      </c>
      <c r="C38" s="1787" t="s">
        <v>959</v>
      </c>
      <c r="D38" s="1820">
        <f>25000/187500</f>
        <v>0.13333333333333333</v>
      </c>
      <c r="E38" s="1810"/>
      <c r="F38" s="1802"/>
      <c r="G38" s="1811"/>
      <c r="H38" s="1802"/>
      <c r="I38" s="1810"/>
      <c r="J38" s="1802"/>
      <c r="K38" s="1810"/>
      <c r="L38" s="1802"/>
      <c r="M38" s="1794">
        <v>10</v>
      </c>
      <c r="N38" s="1795">
        <v>1</v>
      </c>
      <c r="O38" s="1788">
        <f t="shared" ref="O38:O39" si="2">ROUND((M38/D38)*N38,9)</f>
        <v>75</v>
      </c>
      <c r="P38" s="2342"/>
      <c r="Q38" s="2343"/>
      <c r="R38" s="1797"/>
      <c r="S38" s="1760"/>
      <c r="T38" s="1760"/>
      <c r="U38" s="1760"/>
      <c r="V38" s="1804"/>
      <c r="W38" s="1760"/>
    </row>
    <row r="39" spans="1:23" ht="21" customHeight="1">
      <c r="A39" s="1798" t="s">
        <v>1097</v>
      </c>
      <c r="B39" s="1781" t="s">
        <v>204</v>
      </c>
      <c r="C39" s="1787" t="s">
        <v>959</v>
      </c>
      <c r="D39" s="1820">
        <v>1.25</v>
      </c>
      <c r="E39" s="1810"/>
      <c r="F39" s="1802"/>
      <c r="G39" s="1811"/>
      <c r="H39" s="1802"/>
      <c r="I39" s="1810"/>
      <c r="J39" s="1802"/>
      <c r="K39" s="1810"/>
      <c r="L39" s="1802"/>
      <c r="M39" s="1794">
        <v>5</v>
      </c>
      <c r="N39" s="1795">
        <v>1</v>
      </c>
      <c r="O39" s="1788">
        <f t="shared" si="2"/>
        <v>4</v>
      </c>
      <c r="P39" s="2342"/>
      <c r="Q39" s="2343"/>
      <c r="R39" s="1797"/>
      <c r="S39" s="1760"/>
      <c r="T39" s="1760"/>
      <c r="U39" s="1760"/>
      <c r="V39" s="1760"/>
      <c r="W39" s="1760"/>
    </row>
    <row r="40" spans="1:23" ht="21" customHeight="1">
      <c r="A40" s="1798" t="s">
        <v>1098</v>
      </c>
      <c r="B40" s="1781" t="s">
        <v>1049</v>
      </c>
      <c r="C40" s="1787" t="s">
        <v>1050</v>
      </c>
      <c r="D40" s="1820">
        <f>1/12</f>
        <v>8.3333333333333329E-2</v>
      </c>
      <c r="E40" s="1810" t="s">
        <v>208</v>
      </c>
      <c r="F40" s="1802">
        <v>41.17</v>
      </c>
      <c r="G40" s="1810">
        <v>9</v>
      </c>
      <c r="H40" s="1802">
        <v>1.24</v>
      </c>
      <c r="I40" s="1810"/>
      <c r="J40" s="1802"/>
      <c r="K40" s="1810"/>
      <c r="L40" s="2341"/>
      <c r="M40" s="1794">
        <f>F40+H40+J40+L40</f>
        <v>42.410000000000004</v>
      </c>
      <c r="N40" s="1795">
        <v>1</v>
      </c>
      <c r="O40" s="1788">
        <f>ROUND((M40/D40)*N40,9)</f>
        <v>508.92</v>
      </c>
      <c r="P40" s="2342"/>
      <c r="Q40" s="2343"/>
      <c r="R40" s="1797"/>
      <c r="S40" s="1760"/>
      <c r="T40" s="1760"/>
      <c r="U40" s="1760"/>
      <c r="V40" s="1760"/>
      <c r="W40" s="1760"/>
    </row>
    <row r="41" spans="1:23" ht="20.25" customHeight="1">
      <c r="A41" s="4477" t="s">
        <v>1241</v>
      </c>
      <c r="B41" s="4479" t="s">
        <v>1055</v>
      </c>
      <c r="C41" s="4481" t="s">
        <v>1050</v>
      </c>
      <c r="D41" s="4483">
        <v>0.33</v>
      </c>
      <c r="E41" s="1801">
        <v>9</v>
      </c>
      <c r="F41" s="1802">
        <v>1.24</v>
      </c>
      <c r="G41" s="1799">
        <v>11</v>
      </c>
      <c r="H41" s="1802">
        <v>10.83</v>
      </c>
      <c r="I41" s="1816">
        <v>14</v>
      </c>
      <c r="J41" s="2341">
        <v>27.61</v>
      </c>
      <c r="K41" s="1816" t="s">
        <v>1099</v>
      </c>
      <c r="L41" s="2341">
        <v>17.579999999999998</v>
      </c>
      <c r="M41" s="4485">
        <f>+F41+H41+J41+L41+F42+H42+J42+L42</f>
        <v>117.54</v>
      </c>
      <c r="N41" s="4487">
        <v>1</v>
      </c>
      <c r="O41" s="4470">
        <f t="shared" ref="O41" si="3">ROUND((M41/D41)*N41,9)</f>
        <v>356.18181818199997</v>
      </c>
      <c r="P41" s="4498" t="s">
        <v>1075</v>
      </c>
      <c r="Q41" s="2349"/>
      <c r="R41" s="2353"/>
      <c r="S41" s="2353"/>
      <c r="T41" s="2353"/>
      <c r="U41" s="1715"/>
    </row>
    <row r="42" spans="1:23" ht="20.25" customHeight="1">
      <c r="A42" s="4478"/>
      <c r="B42" s="4480"/>
      <c r="C42" s="4482"/>
      <c r="D42" s="4484"/>
      <c r="E42" s="1813" t="s">
        <v>208</v>
      </c>
      <c r="F42" s="1802">
        <v>42.49</v>
      </c>
      <c r="G42" s="1813" t="s">
        <v>1102</v>
      </c>
      <c r="H42" s="1802">
        <v>14.15</v>
      </c>
      <c r="I42" s="1816" t="s">
        <v>1100</v>
      </c>
      <c r="J42" s="2341">
        <v>3.64</v>
      </c>
      <c r="K42" s="1816"/>
      <c r="L42" s="2341"/>
      <c r="M42" s="4486"/>
      <c r="N42" s="4488"/>
      <c r="O42" s="4471"/>
      <c r="P42" s="4499"/>
      <c r="Q42" s="2349"/>
      <c r="R42" s="2353"/>
      <c r="S42" s="2353"/>
      <c r="T42" s="2353"/>
      <c r="U42" s="1715"/>
    </row>
    <row r="43" spans="1:23" ht="20.25" customHeight="1">
      <c r="A43" s="1789" t="s">
        <v>92</v>
      </c>
      <c r="B43" s="1814" t="s">
        <v>930</v>
      </c>
      <c r="C43" s="1787"/>
      <c r="D43" s="1820"/>
      <c r="E43" s="1793"/>
      <c r="F43" s="1793"/>
      <c r="G43" s="1793"/>
      <c r="H43" s="1793"/>
      <c r="I43" s="1795"/>
      <c r="J43" s="1795"/>
      <c r="K43" s="1795"/>
      <c r="L43" s="2341"/>
      <c r="M43" s="1794"/>
      <c r="N43" s="1795"/>
      <c r="O43" s="1796">
        <f>SUM(O44:O45)</f>
        <v>264.60000000000002</v>
      </c>
      <c r="P43" s="2342"/>
      <c r="Q43" s="2343"/>
      <c r="R43" s="1797"/>
      <c r="S43" s="1760"/>
      <c r="T43" s="1760"/>
      <c r="U43" s="1760"/>
      <c r="V43" s="1760"/>
      <c r="W43" s="1760"/>
    </row>
    <row r="44" spans="1:23" ht="20.25" customHeight="1">
      <c r="A44" s="4477">
        <v>1</v>
      </c>
      <c r="B44" s="4479" t="s">
        <v>1049</v>
      </c>
      <c r="C44" s="1787" t="s">
        <v>1050</v>
      </c>
      <c r="D44" s="1820">
        <f>1/16</f>
        <v>6.25E-2</v>
      </c>
      <c r="E44" s="1810" t="s">
        <v>1052</v>
      </c>
      <c r="F44" s="1800">
        <v>6.51</v>
      </c>
      <c r="G44" s="1793"/>
      <c r="H44" s="1793"/>
      <c r="I44" s="1795"/>
      <c r="J44" s="1795"/>
      <c r="K44" s="1795"/>
      <c r="L44" s="2341"/>
      <c r="M44" s="1794">
        <f>F44</f>
        <v>6.51</v>
      </c>
      <c r="N44" s="1795">
        <v>1</v>
      </c>
      <c r="O44" s="1788">
        <f>ROUND((M44/D44)*N44,9)</f>
        <v>104.16</v>
      </c>
      <c r="P44" s="2342"/>
      <c r="Q44" s="2343"/>
      <c r="R44" s="1797"/>
      <c r="S44" s="1760"/>
      <c r="T44" s="1760"/>
      <c r="U44" s="1760"/>
      <c r="V44" s="1760"/>
      <c r="W44" s="1760"/>
    </row>
    <row r="45" spans="1:23" ht="20.25" customHeight="1">
      <c r="A45" s="4478"/>
      <c r="B45" s="4480"/>
      <c r="C45" s="1787" t="s">
        <v>1050</v>
      </c>
      <c r="D45" s="1820">
        <f>1/12</f>
        <v>8.3333333333333329E-2</v>
      </c>
      <c r="E45" s="1811" t="s">
        <v>1096</v>
      </c>
      <c r="F45" s="1802">
        <v>1.06</v>
      </c>
      <c r="G45" s="1810">
        <v>8</v>
      </c>
      <c r="H45" s="1802">
        <v>4.6500000000000004</v>
      </c>
      <c r="I45" s="1810" t="s">
        <v>1074</v>
      </c>
      <c r="J45" s="1800">
        <v>7.66</v>
      </c>
      <c r="K45" s="1795"/>
      <c r="L45" s="2341"/>
      <c r="M45" s="2321">
        <f>F45+H45+J45</f>
        <v>13.370000000000001</v>
      </c>
      <c r="N45" s="2313">
        <v>1</v>
      </c>
      <c r="O45" s="1788">
        <f>ROUND((M45/D45)*N45,9)</f>
        <v>160.44</v>
      </c>
      <c r="P45" s="2342"/>
      <c r="Q45" s="2343"/>
      <c r="R45" s="1797"/>
      <c r="S45" s="1760"/>
      <c r="T45" s="1760"/>
      <c r="U45" s="1760"/>
      <c r="V45" s="1760"/>
      <c r="W45" s="1760"/>
    </row>
    <row r="46" spans="1:23" ht="20.25" customHeight="1">
      <c r="A46" s="1772" t="s">
        <v>53</v>
      </c>
      <c r="B46" s="1790" t="s">
        <v>825</v>
      </c>
      <c r="C46" s="1815"/>
      <c r="D46" s="2356"/>
      <c r="E46" s="2309"/>
      <c r="F46" s="2309"/>
      <c r="G46" s="2309"/>
      <c r="H46" s="2309"/>
      <c r="I46" s="2309"/>
      <c r="J46" s="2309"/>
      <c r="K46" s="2309"/>
      <c r="L46" s="2337"/>
      <c r="M46" s="1794"/>
      <c r="N46" s="1816"/>
      <c r="O46" s="1778">
        <f>SUM(O47:O47)</f>
        <v>416</v>
      </c>
      <c r="P46" s="1817"/>
      <c r="Q46" s="2335"/>
      <c r="R46" s="1797"/>
      <c r="S46" s="1760"/>
      <c r="T46" s="1760"/>
      <c r="U46" s="1760"/>
      <c r="V46" s="1760"/>
      <c r="W46" s="1760"/>
    </row>
    <row r="47" spans="1:23" ht="20.25" customHeight="1">
      <c r="A47" s="1798">
        <v>1</v>
      </c>
      <c r="B47" s="1818" t="s">
        <v>826</v>
      </c>
      <c r="C47" s="1787" t="s">
        <v>362</v>
      </c>
      <c r="D47" s="1820"/>
      <c r="E47" s="4516" t="s">
        <v>1229</v>
      </c>
      <c r="F47" s="4517"/>
      <c r="G47" s="4517"/>
      <c r="H47" s="4517"/>
      <c r="I47" s="4517"/>
      <c r="J47" s="4517"/>
      <c r="K47" s="4517"/>
      <c r="L47" s="4517"/>
      <c r="M47" s="4518"/>
      <c r="N47" s="1822"/>
      <c r="O47" s="1823">
        <f>4*2600000/25000</f>
        <v>416</v>
      </c>
      <c r="P47" s="1824"/>
      <c r="Q47" s="2357"/>
      <c r="R47" s="1797"/>
      <c r="S47" s="1760"/>
      <c r="T47" s="1760"/>
      <c r="U47" s="1760"/>
      <c r="V47" s="1760"/>
      <c r="W47" s="1760"/>
    </row>
    <row r="48" spans="1:23" ht="20.25" customHeight="1">
      <c r="A48" s="1772" t="s">
        <v>93</v>
      </c>
      <c r="B48" s="1790" t="s">
        <v>1103</v>
      </c>
      <c r="C48" s="1815"/>
      <c r="D48" s="2356"/>
      <c r="E48" s="1775"/>
      <c r="F48" s="1775"/>
      <c r="G48" s="1775"/>
      <c r="H48" s="1775"/>
      <c r="I48" s="1775"/>
      <c r="J48" s="1775"/>
      <c r="K48" s="1775"/>
      <c r="L48" s="1776"/>
      <c r="M48" s="1794"/>
      <c r="N48" s="1816"/>
      <c r="O48" s="1778">
        <f>SUM(O49:O51)</f>
        <v>28</v>
      </c>
      <c r="P48" s="1817"/>
      <c r="Q48" s="2335"/>
      <c r="R48" s="1797"/>
      <c r="S48" s="1760"/>
      <c r="T48" s="1760"/>
      <c r="U48" s="1760"/>
      <c r="V48" s="1760"/>
      <c r="W48" s="1760"/>
    </row>
    <row r="49" spans="1:23" s="2392" customFormat="1" ht="21" customHeight="1">
      <c r="A49" s="2388">
        <v>1</v>
      </c>
      <c r="B49" s="1805" t="s">
        <v>1214</v>
      </c>
      <c r="C49" s="1787" t="s">
        <v>362</v>
      </c>
      <c r="D49" s="2389"/>
      <c r="E49" s="4513" t="s">
        <v>1242</v>
      </c>
      <c r="F49" s="4514"/>
      <c r="G49" s="4514"/>
      <c r="H49" s="4514"/>
      <c r="I49" s="4514"/>
      <c r="J49" s="4514"/>
      <c r="K49" s="4514"/>
      <c r="L49" s="4514"/>
      <c r="M49" s="4515"/>
      <c r="N49" s="2313"/>
      <c r="O49" s="2390">
        <v>15</v>
      </c>
      <c r="P49" s="2391"/>
      <c r="Q49" s="2357"/>
      <c r="R49" s="1797"/>
      <c r="S49" s="1760"/>
      <c r="T49" s="1760"/>
      <c r="U49" s="1760"/>
      <c r="V49" s="1760"/>
      <c r="W49" s="1760"/>
    </row>
    <row r="50" spans="1:23" s="2392" customFormat="1" ht="21" customHeight="1">
      <c r="A50" s="2388">
        <v>2</v>
      </c>
      <c r="B50" s="1805" t="s">
        <v>1243</v>
      </c>
      <c r="C50" s="1787" t="s">
        <v>362</v>
      </c>
      <c r="D50" s="2393">
        <v>0.2</v>
      </c>
      <c r="E50" s="4513" t="s">
        <v>1244</v>
      </c>
      <c r="F50" s="4514"/>
      <c r="G50" s="4514"/>
      <c r="H50" s="4514"/>
      <c r="I50" s="4514"/>
      <c r="J50" s="4514"/>
      <c r="K50" s="4514"/>
      <c r="L50" s="4514"/>
      <c r="M50" s="4515"/>
      <c r="N50" s="2313">
        <v>1</v>
      </c>
      <c r="O50" s="2390">
        <v>5</v>
      </c>
      <c r="P50" s="2391"/>
      <c r="Q50" s="2357"/>
      <c r="R50" s="1797"/>
      <c r="S50" s="1760"/>
      <c r="T50" s="1760"/>
      <c r="U50" s="1760"/>
      <c r="V50" s="1760"/>
      <c r="W50" s="1760"/>
    </row>
    <row r="51" spans="1:23" s="2392" customFormat="1" ht="21" customHeight="1">
      <c r="A51" s="2388">
        <v>3</v>
      </c>
      <c r="B51" s="1805" t="s">
        <v>1245</v>
      </c>
      <c r="C51" s="1787" t="s">
        <v>362</v>
      </c>
      <c r="D51" s="2389">
        <f>1/8</f>
        <v>0.125</v>
      </c>
      <c r="E51" s="4513" t="s">
        <v>1246</v>
      </c>
      <c r="F51" s="4514"/>
      <c r="G51" s="4514"/>
      <c r="H51" s="4514"/>
      <c r="I51" s="4514"/>
      <c r="J51" s="4514"/>
      <c r="K51" s="4514"/>
      <c r="L51" s="4514"/>
      <c r="M51" s="4515"/>
      <c r="N51" s="2313">
        <v>1</v>
      </c>
      <c r="O51" s="2390">
        <v>8</v>
      </c>
      <c r="P51" s="2391"/>
      <c r="Q51" s="2357"/>
      <c r="R51" s="1797"/>
      <c r="S51" s="1760"/>
      <c r="T51" s="1760"/>
      <c r="U51" s="1760"/>
      <c r="V51" s="1760"/>
      <c r="W51" s="1760"/>
    </row>
    <row r="52" spans="1:23" ht="21.75" customHeight="1">
      <c r="A52" s="4473" t="s">
        <v>342</v>
      </c>
      <c r="B52" s="4473"/>
      <c r="C52" s="4473"/>
      <c r="D52" s="2358"/>
      <c r="E52" s="1825"/>
      <c r="F52" s="1825"/>
      <c r="G52" s="1825"/>
      <c r="H52" s="1825"/>
      <c r="I52" s="1825"/>
      <c r="J52" s="1825"/>
      <c r="K52" s="1825"/>
      <c r="L52" s="1826"/>
      <c r="M52" s="1827"/>
      <c r="N52" s="1825"/>
      <c r="O52" s="1828"/>
      <c r="P52" s="1829"/>
      <c r="Q52" s="2336"/>
      <c r="R52" s="1797"/>
      <c r="S52" s="1760"/>
      <c r="T52" s="1760"/>
      <c r="U52" s="1760"/>
      <c r="V52" s="1760"/>
      <c r="W52" s="1760"/>
    </row>
    <row r="53" spans="1:23" ht="20.45" customHeight="1">
      <c r="A53" s="1830"/>
      <c r="B53" s="1831"/>
      <c r="C53" s="2394"/>
      <c r="D53" s="2359"/>
      <c r="E53" s="1834"/>
      <c r="F53" s="1835"/>
      <c r="G53" s="1834"/>
      <c r="H53" s="1835"/>
      <c r="I53" s="2310"/>
      <c r="J53" s="1833"/>
      <c r="K53" s="2310"/>
      <c r="L53" s="4474" t="s">
        <v>1247</v>
      </c>
      <c r="M53" s="4474"/>
      <c r="N53" s="4474"/>
      <c r="O53" s="4474"/>
      <c r="P53" s="4474"/>
      <c r="Q53" s="2360"/>
      <c r="R53" s="1797"/>
      <c r="S53" s="1760">
        <f>SUM(S30:W30)</f>
        <v>3321.6978123050003</v>
      </c>
      <c r="T53" s="1760">
        <f>O48+O46</f>
        <v>444</v>
      </c>
      <c r="U53" s="1760"/>
      <c r="V53" s="1760"/>
      <c r="W53" s="1760"/>
    </row>
    <row r="54" spans="1:23" ht="20.45" customHeight="1">
      <c r="A54" s="4475"/>
      <c r="B54" s="4475"/>
      <c r="C54" s="4475"/>
      <c r="D54" s="4475"/>
      <c r="E54" s="4475"/>
      <c r="F54" s="1836"/>
      <c r="G54" s="1836"/>
      <c r="H54" s="4476"/>
      <c r="I54" s="4476"/>
      <c r="J54" s="4476"/>
      <c r="K54" s="2325"/>
      <c r="L54" s="4475" t="s">
        <v>827</v>
      </c>
      <c r="M54" s="4475"/>
      <c r="N54" s="4475"/>
      <c r="O54" s="4475"/>
      <c r="P54" s="4475"/>
      <c r="Q54" s="2324"/>
      <c r="R54" s="1797"/>
      <c r="S54" s="1760"/>
      <c r="T54" s="1760"/>
      <c r="U54" s="1760"/>
      <c r="V54" s="1760"/>
      <c r="W54" s="1760"/>
    </row>
    <row r="55" spans="1:23" ht="20.45" hidden="1" customHeight="1">
      <c r="A55" s="1837"/>
      <c r="B55" s="1838"/>
      <c r="C55" s="2326"/>
      <c r="D55" s="2361"/>
      <c r="E55" s="1840"/>
      <c r="F55" s="1839"/>
      <c r="G55" s="1841"/>
      <c r="H55" s="1839"/>
      <c r="I55" s="2362"/>
      <c r="J55" s="2326"/>
      <c r="K55" s="2362"/>
      <c r="L55" s="2361"/>
      <c r="M55" s="1842"/>
      <c r="N55" s="2395"/>
      <c r="O55" s="4489"/>
      <c r="P55" s="4489"/>
      <c r="Q55" s="2326"/>
    </row>
    <row r="56" spans="1:23" ht="20.45" hidden="1" customHeight="1">
      <c r="A56" s="1837"/>
      <c r="B56" s="1838"/>
      <c r="C56" s="2311"/>
      <c r="D56" s="2363"/>
      <c r="E56" s="1844"/>
      <c r="F56" s="1845"/>
      <c r="G56" s="1754"/>
      <c r="H56" s="1845"/>
      <c r="I56" s="2331"/>
      <c r="J56" s="2364"/>
      <c r="K56" s="2365"/>
      <c r="L56" s="2366"/>
      <c r="M56" s="1846"/>
      <c r="N56" s="2364"/>
      <c r="P56" s="1837"/>
      <c r="Q56" s="1837"/>
    </row>
    <row r="57" spans="1:23" ht="20.45" customHeight="1">
      <c r="A57" s="1837"/>
      <c r="B57" s="1838"/>
      <c r="C57" s="2311"/>
      <c r="D57" s="2363"/>
      <c r="E57" s="1844"/>
      <c r="F57" s="1845"/>
      <c r="G57" s="1754"/>
      <c r="H57" s="1845"/>
      <c r="I57" s="2331"/>
      <c r="J57" s="2364"/>
      <c r="K57" s="2365"/>
      <c r="L57" s="2366"/>
      <c r="M57" s="1846"/>
      <c r="N57" s="2364"/>
      <c r="P57" s="1837"/>
      <c r="Q57" s="1837"/>
    </row>
    <row r="58" spans="1:23" ht="21.75" customHeight="1">
      <c r="A58" s="4490"/>
      <c r="B58" s="4490"/>
      <c r="C58" s="4490"/>
      <c r="D58" s="4490"/>
      <c r="E58" s="4490"/>
      <c r="F58" s="1848"/>
      <c r="G58" s="1849"/>
      <c r="H58" s="4468"/>
      <c r="I58" s="4468"/>
      <c r="J58" s="4468"/>
      <c r="K58" s="2367"/>
      <c r="L58" s="2368"/>
      <c r="M58" s="4468"/>
      <c r="N58" s="4468"/>
      <c r="O58" s="4468"/>
      <c r="P58" s="4468"/>
      <c r="Q58" s="2327"/>
    </row>
    <row r="59" spans="1:23" ht="17.45" customHeight="1">
      <c r="A59" s="4469" t="s">
        <v>828</v>
      </c>
      <c r="B59" s="4469"/>
      <c r="C59" s="4469"/>
      <c r="D59" s="4469"/>
      <c r="E59" s="4469"/>
      <c r="F59" s="4469"/>
      <c r="G59" s="4469"/>
      <c r="H59" s="4469"/>
      <c r="I59" s="4469"/>
      <c r="J59" s="4469"/>
      <c r="K59" s="4469"/>
      <c r="L59" s="4469"/>
      <c r="M59" s="4469"/>
      <c r="N59" s="4469"/>
      <c r="O59" s="4469"/>
      <c r="P59" s="4469"/>
      <c r="Q59" s="2328"/>
    </row>
    <row r="60" spans="1:23" ht="27.75" customHeight="1">
      <c r="A60" s="4464" t="s">
        <v>1248</v>
      </c>
      <c r="B60" s="4464"/>
      <c r="C60" s="4464"/>
      <c r="D60" s="4464"/>
      <c r="E60" s="4464"/>
      <c r="F60" s="4464"/>
      <c r="G60" s="4464"/>
      <c r="H60" s="4464"/>
      <c r="I60" s="4464"/>
      <c r="J60" s="4464"/>
      <c r="K60" s="4464"/>
      <c r="L60" s="4464"/>
      <c r="M60" s="4464"/>
      <c r="N60" s="4464"/>
      <c r="O60" s="4464"/>
      <c r="P60" s="4464"/>
      <c r="Q60" s="2329"/>
    </row>
    <row r="61" spans="1:23" ht="27.75" customHeight="1"/>
    <row r="62" spans="1:23" ht="27.75" customHeight="1">
      <c r="N62" s="2329"/>
    </row>
    <row r="63" spans="1:23" ht="27.75" customHeight="1"/>
    <row r="64" spans="1:23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spans="18:20" ht="27.75" customHeight="1"/>
    <row r="82" spans="18:20" ht="27.75" customHeight="1"/>
    <row r="83" spans="18:20" ht="27.75" customHeight="1"/>
    <row r="84" spans="18:20" ht="27.75" customHeight="1"/>
    <row r="85" spans="18:20" ht="27.75" customHeight="1"/>
    <row r="86" spans="18:20" ht="27.75" customHeight="1"/>
    <row r="87" spans="18:20" ht="27.75" customHeight="1"/>
    <row r="88" spans="18:20" ht="27.75" customHeight="1"/>
    <row r="89" spans="18:20" ht="27.75" customHeight="1">
      <c r="T89">
        <v>1</v>
      </c>
    </row>
    <row r="90" spans="18:20" ht="27.75" customHeight="1"/>
    <row r="91" spans="18:20" ht="27.75" customHeight="1"/>
    <row r="92" spans="18:20" ht="27.75" customHeight="1"/>
    <row r="95" spans="18:20">
      <c r="R95" s="2374" t="s">
        <v>920</v>
      </c>
    </row>
    <row r="97" ht="10.5" customHeight="1"/>
    <row r="98" ht="10.5" customHeight="1"/>
    <row r="99" ht="10.5" customHeight="1"/>
    <row r="100" ht="10.5" customHeight="1"/>
    <row r="101" ht="10.5" customHeight="1"/>
    <row r="102" ht="6" customHeight="1"/>
  </sheetData>
  <mergeCells count="61">
    <mergeCell ref="A5:F5"/>
    <mergeCell ref="G5:P5"/>
    <mergeCell ref="A1:P1"/>
    <mergeCell ref="A2:P2"/>
    <mergeCell ref="A3:P3"/>
    <mergeCell ref="A4:F4"/>
    <mergeCell ref="G4:P4"/>
    <mergeCell ref="A7:P7"/>
    <mergeCell ref="A8:P8"/>
    <mergeCell ref="A9:A10"/>
    <mergeCell ref="B9:B10"/>
    <mergeCell ref="C9:C10"/>
    <mergeCell ref="D9:D10"/>
    <mergeCell ref="E9:L9"/>
    <mergeCell ref="M9:M10"/>
    <mergeCell ref="N9:N10"/>
    <mergeCell ref="O9:O10"/>
    <mergeCell ref="P9:P10"/>
    <mergeCell ref="E16:L16"/>
    <mergeCell ref="E17:L17"/>
    <mergeCell ref="E18:L18"/>
    <mergeCell ref="E19:L19"/>
    <mergeCell ref="N24:N25"/>
    <mergeCell ref="O24:O25"/>
    <mergeCell ref="A32:A34"/>
    <mergeCell ref="B32:B34"/>
    <mergeCell ref="C32:C34"/>
    <mergeCell ref="D32:D34"/>
    <mergeCell ref="M32:M34"/>
    <mergeCell ref="N32:N34"/>
    <mergeCell ref="O32:O34"/>
    <mergeCell ref="A24:A26"/>
    <mergeCell ref="B24:B26"/>
    <mergeCell ref="C24:C26"/>
    <mergeCell ref="D24:D25"/>
    <mergeCell ref="M24:M25"/>
    <mergeCell ref="E49:M49"/>
    <mergeCell ref="A41:A42"/>
    <mergeCell ref="B41:B42"/>
    <mergeCell ref="C41:C42"/>
    <mergeCell ref="D41:D42"/>
    <mergeCell ref="M41:M42"/>
    <mergeCell ref="O41:O42"/>
    <mergeCell ref="P41:P42"/>
    <mergeCell ref="A44:A45"/>
    <mergeCell ref="B44:B45"/>
    <mergeCell ref="E47:M47"/>
    <mergeCell ref="N41:N42"/>
    <mergeCell ref="A60:P60"/>
    <mergeCell ref="E50:M50"/>
    <mergeCell ref="E51:M51"/>
    <mergeCell ref="A52:C52"/>
    <mergeCell ref="L53:P53"/>
    <mergeCell ref="A54:E54"/>
    <mergeCell ref="H54:J54"/>
    <mergeCell ref="L54:P54"/>
    <mergeCell ref="O55:P55"/>
    <mergeCell ref="A58:E58"/>
    <mergeCell ref="H58:J58"/>
    <mergeCell ref="M58:P58"/>
    <mergeCell ref="A59:P59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6"/>
  <sheetViews>
    <sheetView topLeftCell="A11" workbookViewId="0">
      <selection activeCell="G15" sqref="G15"/>
    </sheetView>
  </sheetViews>
  <sheetFormatPr defaultRowHeight="15.75"/>
  <cols>
    <col min="1" max="1" width="6.25" style="1852" customWidth="1"/>
    <col min="2" max="2" width="29.375" style="1853" customWidth="1"/>
    <col min="3" max="3" width="5.375" style="1854" customWidth="1"/>
    <col min="4" max="4" width="5.125" style="2369" customWidth="1"/>
    <col min="5" max="5" width="5.75" style="1856" customWidth="1"/>
    <col min="6" max="6" width="5.75" style="1857" customWidth="1"/>
    <col min="7" max="7" width="5.75" style="1858" customWidth="1"/>
    <col min="8" max="8" width="5.75" style="1857" customWidth="1"/>
    <col min="9" max="9" width="5.75" style="2370" customWidth="1"/>
    <col min="10" max="10" width="5.75" style="2371" customWidth="1"/>
    <col min="11" max="11" width="5.75" style="2372" customWidth="1"/>
    <col min="12" max="12" width="5.75" style="2373" customWidth="1"/>
    <col min="13" max="13" width="7.25" style="2644" customWidth="1"/>
    <col min="14" max="14" width="4.75" style="1857" customWidth="1"/>
    <col min="15" max="15" width="9.375" style="1847" customWidth="1"/>
    <col min="16" max="16" width="7.625" style="1860" customWidth="1"/>
    <col min="17" max="17" width="6.375" style="1860" customWidth="1"/>
    <col min="18" max="18" width="9.75" customWidth="1"/>
    <col min="19" max="20" width="9" bestFit="1" customWidth="1"/>
    <col min="21" max="25" width="9" customWidth="1"/>
    <col min="26" max="27" width="8.875" customWidth="1"/>
    <col min="28" max="31" width="9.375" customWidth="1"/>
    <col min="34" max="34" width="9" bestFit="1" customWidth="1"/>
    <col min="35" max="35" width="8.875" customWidth="1"/>
  </cols>
  <sheetData>
    <row r="1" spans="1:31" ht="16.5">
      <c r="A1" s="4081" t="s">
        <v>165</v>
      </c>
      <c r="B1" s="4081"/>
      <c r="C1" s="4081"/>
      <c r="D1" s="4081"/>
      <c r="E1" s="4081"/>
      <c r="F1" s="4081"/>
      <c r="G1" s="4081"/>
      <c r="H1" s="4081"/>
      <c r="I1" s="4081"/>
      <c r="J1" s="4081"/>
      <c r="K1" s="4081"/>
      <c r="L1" s="4081"/>
      <c r="M1" s="4081"/>
      <c r="N1" s="4081"/>
      <c r="O1" s="4081"/>
      <c r="P1" s="4081"/>
    </row>
    <row r="2" spans="1:31" ht="16.5">
      <c r="A2" s="4081" t="s">
        <v>171</v>
      </c>
      <c r="B2" s="4081"/>
      <c r="C2" s="4081"/>
      <c r="D2" s="4081"/>
      <c r="E2" s="4081"/>
      <c r="F2" s="4081"/>
      <c r="G2" s="4081"/>
      <c r="H2" s="4081"/>
      <c r="I2" s="4081"/>
      <c r="J2" s="4081"/>
      <c r="K2" s="4081"/>
      <c r="L2" s="4081"/>
      <c r="M2" s="4081"/>
      <c r="N2" s="4081"/>
      <c r="O2" s="4081"/>
      <c r="P2" s="4081"/>
    </row>
    <row r="3" spans="1:31" ht="16.5">
      <c r="A3" s="4087" t="s">
        <v>726</v>
      </c>
      <c r="B3" s="4087"/>
      <c r="C3" s="4087"/>
      <c r="D3" s="4087"/>
      <c r="E3" s="4087"/>
      <c r="F3" s="4087"/>
      <c r="G3" s="4087"/>
      <c r="H3" s="4087"/>
      <c r="I3" s="4087"/>
      <c r="J3" s="4087"/>
      <c r="K3" s="4087"/>
      <c r="L3" s="4087"/>
      <c r="M3" s="4087"/>
      <c r="N3" s="4087"/>
      <c r="O3" s="4087"/>
      <c r="P3" s="4087"/>
    </row>
    <row r="4" spans="1:31">
      <c r="A4" s="4512" t="s">
        <v>809</v>
      </c>
      <c r="B4" s="4512"/>
      <c r="C4" s="4512"/>
      <c r="D4" s="4512"/>
      <c r="E4" s="4512"/>
      <c r="F4" s="4512"/>
      <c r="G4" s="4512"/>
      <c r="H4" s="4512"/>
      <c r="I4" s="4512"/>
      <c r="J4" s="4512"/>
      <c r="K4" s="4512"/>
      <c r="L4" s="4512"/>
      <c r="M4" s="4512"/>
      <c r="N4" s="4512"/>
      <c r="O4" s="4512"/>
      <c r="P4" s="4512"/>
      <c r="Q4" s="2733"/>
    </row>
    <row r="5" spans="1:31">
      <c r="A5" s="4512" t="s">
        <v>541</v>
      </c>
      <c r="B5" s="4512"/>
      <c r="C5" s="4512"/>
      <c r="D5" s="4512"/>
      <c r="E5" s="4512"/>
      <c r="F5" s="4512"/>
      <c r="G5" s="4512"/>
      <c r="H5" s="4512"/>
      <c r="I5" s="4512"/>
      <c r="J5" s="4512"/>
      <c r="K5" s="4512"/>
      <c r="L5" s="4512"/>
      <c r="M5" s="4512"/>
      <c r="N5" s="4512"/>
      <c r="O5" s="4512"/>
      <c r="P5" s="4512"/>
      <c r="Q5" s="2733"/>
      <c r="R5" s="2588"/>
      <c r="S5" s="2588"/>
    </row>
    <row r="6" spans="1:31" ht="18.75" customHeight="1">
      <c r="A6" s="1755"/>
      <c r="B6" s="1755"/>
      <c r="C6" s="1755"/>
      <c r="D6" s="1757"/>
      <c r="E6" s="1752"/>
      <c r="F6" s="1753"/>
      <c r="G6" s="1754"/>
      <c r="H6" s="1753"/>
      <c r="I6" s="2331"/>
      <c r="J6" s="2332"/>
      <c r="K6" s="1756"/>
      <c r="L6" s="1757"/>
      <c r="M6" s="1758"/>
      <c r="N6" s="1755"/>
      <c r="O6" s="1759"/>
      <c r="P6" s="1755"/>
      <c r="Q6" s="1755"/>
      <c r="R6" s="2588"/>
      <c r="S6" s="2588"/>
    </row>
    <row r="7" spans="1:31" ht="18.75">
      <c r="A7" s="4504" t="s">
        <v>1288</v>
      </c>
      <c r="B7" s="4504"/>
      <c r="C7" s="4504"/>
      <c r="D7" s="4504"/>
      <c r="E7" s="4504"/>
      <c r="F7" s="4504"/>
      <c r="G7" s="4504"/>
      <c r="H7" s="4504"/>
      <c r="I7" s="4504"/>
      <c r="J7" s="4504"/>
      <c r="K7" s="4504"/>
      <c r="L7" s="4504"/>
      <c r="M7" s="4504"/>
      <c r="N7" s="4504"/>
      <c r="O7" s="4504"/>
      <c r="P7" s="4504"/>
      <c r="Q7" s="2732"/>
      <c r="R7" s="2589"/>
      <c r="S7" s="2589"/>
      <c r="T7" s="1760"/>
      <c r="U7" s="1760"/>
      <c r="V7" s="1760"/>
      <c r="W7" s="1760"/>
      <c r="X7" s="1760"/>
      <c r="Y7" s="1760"/>
      <c r="Z7" s="1760"/>
      <c r="AA7" s="1760"/>
    </row>
    <row r="8" spans="1:31" ht="15">
      <c r="A8" s="4505" t="s">
        <v>1216</v>
      </c>
      <c r="B8" s="4505"/>
      <c r="C8" s="4505"/>
      <c r="D8" s="4505"/>
      <c r="E8" s="4505"/>
      <c r="F8" s="4505"/>
      <c r="G8" s="4505"/>
      <c r="H8" s="4505"/>
      <c r="I8" s="4505"/>
      <c r="J8" s="4505"/>
      <c r="K8" s="4505"/>
      <c r="L8" s="4505"/>
      <c r="M8" s="4505"/>
      <c r="N8" s="4505"/>
      <c r="O8" s="4505"/>
      <c r="P8" s="4505"/>
      <c r="Q8" s="2734"/>
      <c r="R8" s="2589"/>
      <c r="S8" s="2589"/>
      <c r="T8" s="1760"/>
      <c r="U8" s="1760"/>
      <c r="V8" s="1760"/>
      <c r="W8" s="1760"/>
      <c r="X8" s="1760"/>
      <c r="Y8" s="1760"/>
      <c r="Z8" s="1760"/>
      <c r="AA8" s="1760"/>
    </row>
    <row r="9" spans="1:31" ht="16.5">
      <c r="A9" s="4506" t="s">
        <v>19</v>
      </c>
      <c r="B9" s="4506" t="s">
        <v>1217</v>
      </c>
      <c r="C9" s="4507" t="s">
        <v>623</v>
      </c>
      <c r="D9" s="4508" t="s">
        <v>361</v>
      </c>
      <c r="E9" s="4509" t="s">
        <v>811</v>
      </c>
      <c r="F9" s="4509"/>
      <c r="G9" s="4509"/>
      <c r="H9" s="4509"/>
      <c r="I9" s="4509"/>
      <c r="J9" s="4509"/>
      <c r="K9" s="4509"/>
      <c r="L9" s="4509"/>
      <c r="M9" s="4509"/>
      <c r="N9" s="4509" t="s">
        <v>812</v>
      </c>
      <c r="O9" s="4510" t="s">
        <v>47</v>
      </c>
      <c r="P9" s="4511" t="s">
        <v>813</v>
      </c>
      <c r="Q9" s="2333"/>
      <c r="R9" s="2589"/>
      <c r="S9" s="2589"/>
      <c r="T9" s="1760"/>
      <c r="U9" s="1760"/>
      <c r="V9" s="1760"/>
      <c r="W9" s="1760"/>
      <c r="X9" s="1760"/>
      <c r="Y9" s="1760"/>
      <c r="Z9" s="1760"/>
      <c r="AA9" s="1760"/>
    </row>
    <row r="10" spans="1:31" ht="16.5">
      <c r="A10" s="4506"/>
      <c r="B10" s="4506"/>
      <c r="C10" s="4507"/>
      <c r="D10" s="4508"/>
      <c r="E10" s="1761" t="s">
        <v>814</v>
      </c>
      <c r="F10" s="1761" t="s">
        <v>815</v>
      </c>
      <c r="G10" s="1761" t="s">
        <v>814</v>
      </c>
      <c r="H10" s="1761" t="s">
        <v>815</v>
      </c>
      <c r="I10" s="1761" t="s">
        <v>814</v>
      </c>
      <c r="J10" s="1761" t="s">
        <v>815</v>
      </c>
      <c r="K10" s="1761" t="s">
        <v>814</v>
      </c>
      <c r="L10" s="1762" t="s">
        <v>815</v>
      </c>
      <c r="M10" s="1763" t="s">
        <v>21</v>
      </c>
      <c r="N10" s="4509"/>
      <c r="O10" s="4510"/>
      <c r="P10" s="4511"/>
      <c r="Q10" s="2333"/>
      <c r="R10" s="2589"/>
      <c r="S10" s="2589"/>
      <c r="T10" s="1760"/>
      <c r="U10" s="1760"/>
      <c r="V10" s="1760"/>
      <c r="W10" s="1760"/>
      <c r="X10" s="1760"/>
      <c r="Y10" s="1760"/>
      <c r="Z10" s="1760"/>
      <c r="AA10" s="1760"/>
    </row>
    <row r="11" spans="1:31" ht="27.75" customHeight="1">
      <c r="A11" s="1764" t="s">
        <v>52</v>
      </c>
      <c r="B11" s="1765" t="s">
        <v>816</v>
      </c>
      <c r="C11" s="1766"/>
      <c r="D11" s="2334"/>
      <c r="E11" s="2590"/>
      <c r="F11" s="2590"/>
      <c r="G11" s="2590"/>
      <c r="H11" s="2590"/>
      <c r="I11" s="2590"/>
      <c r="J11" s="2590"/>
      <c r="K11" s="2590"/>
      <c r="L11" s="2591"/>
      <c r="M11" s="1769"/>
      <c r="N11" s="2590"/>
      <c r="O11" s="1770">
        <f>O21+O15+O12</f>
        <v>4744.258907929001</v>
      </c>
      <c r="P11" s="2592"/>
      <c r="Q11" s="2335"/>
      <c r="R11" s="4542"/>
      <c r="S11" s="4544" t="s">
        <v>1218</v>
      </c>
      <c r="T11" s="4544" t="s">
        <v>1219</v>
      </c>
      <c r="U11" s="4544" t="s">
        <v>1213</v>
      </c>
      <c r="V11" s="4544"/>
      <c r="W11" s="4545" t="s">
        <v>1063</v>
      </c>
      <c r="X11" s="4544" t="s">
        <v>1289</v>
      </c>
      <c r="Y11" s="4502" t="s">
        <v>1290</v>
      </c>
      <c r="Z11" s="4503"/>
      <c r="AA11" s="4538" t="s">
        <v>1291</v>
      </c>
      <c r="AB11" s="4539"/>
      <c r="AC11" s="4540" t="s">
        <v>1292</v>
      </c>
      <c r="AD11" s="4541" t="s">
        <v>1293</v>
      </c>
      <c r="AE11" s="4540" t="s">
        <v>342</v>
      </c>
    </row>
    <row r="12" spans="1:31" ht="21.75" customHeight="1">
      <c r="A12" s="1772" t="s">
        <v>147</v>
      </c>
      <c r="B12" s="1790" t="s">
        <v>817</v>
      </c>
      <c r="C12" s="1786"/>
      <c r="D12" s="1776"/>
      <c r="E12" s="2593"/>
      <c r="F12" s="2593"/>
      <c r="G12" s="2593"/>
      <c r="H12" s="2593"/>
      <c r="I12" s="2593"/>
      <c r="J12" s="2593"/>
      <c r="K12" s="2593"/>
      <c r="L12" s="2594"/>
      <c r="M12" s="1777"/>
      <c r="N12" s="2593"/>
      <c r="O12" s="1778"/>
      <c r="P12" s="2595"/>
      <c r="Q12" s="2336"/>
      <c r="R12" s="4543"/>
      <c r="S12" s="4544"/>
      <c r="T12" s="4544"/>
      <c r="U12" s="2596" t="s">
        <v>1058</v>
      </c>
      <c r="V12" s="2735" t="s">
        <v>1075</v>
      </c>
      <c r="W12" s="4546"/>
      <c r="X12" s="4544"/>
      <c r="Y12" s="2597" t="s">
        <v>1277</v>
      </c>
      <c r="Z12" s="2598" t="s">
        <v>1278</v>
      </c>
      <c r="AA12" s="2597" t="s">
        <v>1277</v>
      </c>
      <c r="AB12" s="2598" t="s">
        <v>1278</v>
      </c>
      <c r="AC12" s="4540"/>
      <c r="AD12" s="4541"/>
      <c r="AE12" s="4540"/>
    </row>
    <row r="13" spans="1:31" ht="30" customHeight="1">
      <c r="A13" s="1780">
        <v>1</v>
      </c>
      <c r="B13" s="1818" t="s">
        <v>49</v>
      </c>
      <c r="C13" s="1782" t="s">
        <v>818</v>
      </c>
      <c r="D13" s="2337"/>
      <c r="E13" s="2593"/>
      <c r="F13" s="2736"/>
      <c r="G13" s="2593"/>
      <c r="H13" s="2593"/>
      <c r="I13" s="2593"/>
      <c r="J13" s="2593"/>
      <c r="K13" s="2593"/>
      <c r="L13" s="2594"/>
      <c r="M13" s="1777"/>
      <c r="N13" s="2736"/>
      <c r="O13" s="1778"/>
      <c r="P13" s="2599"/>
      <c r="Q13" s="2338"/>
      <c r="R13" s="2597" t="s">
        <v>1294</v>
      </c>
      <c r="S13" s="2346">
        <f>M39+M52</f>
        <v>60</v>
      </c>
      <c r="T13" s="2346">
        <f>M45</f>
        <v>41.319999999999993</v>
      </c>
      <c r="U13" s="2346">
        <f>M26+M40</f>
        <v>89.42</v>
      </c>
      <c r="V13" s="2346">
        <f>M42</f>
        <v>24.12</v>
      </c>
      <c r="W13" s="2346">
        <f>M29+M44</f>
        <v>31.500259999999997</v>
      </c>
      <c r="X13" s="2346">
        <f>M24+M37+M50</f>
        <v>182</v>
      </c>
      <c r="Y13" s="2346">
        <f>M23+M33</f>
        <v>84</v>
      </c>
      <c r="Z13" s="2346">
        <f>M35+M48</f>
        <v>101</v>
      </c>
      <c r="AA13" s="2346"/>
      <c r="AB13" s="2348">
        <f>M36+M49</f>
        <v>32</v>
      </c>
      <c r="AC13" s="2348">
        <f>M25+M38+M51</f>
        <v>244</v>
      </c>
      <c r="AD13" s="2348">
        <f>M34</f>
        <v>34</v>
      </c>
      <c r="AE13" s="4540"/>
    </row>
    <row r="14" spans="1:31" ht="21.75" customHeight="1">
      <c r="A14" s="1780">
        <v>2</v>
      </c>
      <c r="B14" s="1818" t="s">
        <v>819</v>
      </c>
      <c r="C14" s="1782" t="s">
        <v>818</v>
      </c>
      <c r="D14" s="2337"/>
      <c r="E14" s="2593"/>
      <c r="F14" s="2736"/>
      <c r="G14" s="2593"/>
      <c r="H14" s="2593"/>
      <c r="I14" s="2593"/>
      <c r="J14" s="2593"/>
      <c r="K14" s="2593"/>
      <c r="L14" s="2594"/>
      <c r="M14" s="2339"/>
      <c r="N14" s="2736"/>
      <c r="O14" s="1778"/>
      <c r="P14" s="2600"/>
      <c r="Q14" s="2340"/>
      <c r="R14" s="2735" t="s">
        <v>1295</v>
      </c>
      <c r="S14" s="2346">
        <f>O39+O52</f>
        <v>960</v>
      </c>
      <c r="T14" s="2346">
        <f>O45</f>
        <v>198.36773883800001</v>
      </c>
      <c r="U14" s="2346">
        <f>O26+O40</f>
        <v>447.09999999999997</v>
      </c>
      <c r="V14" s="2346">
        <f>O42</f>
        <v>73.090909091</v>
      </c>
      <c r="W14" s="2346">
        <f>O29+O44</f>
        <v>31.500260000000001</v>
      </c>
      <c r="X14" s="2346">
        <f>O24+O37+O50</f>
        <v>1092</v>
      </c>
      <c r="Y14" s="2346">
        <f>O23+O33</f>
        <v>588</v>
      </c>
      <c r="Z14" s="2346">
        <f>O35+O48</f>
        <v>808</v>
      </c>
      <c r="AA14" s="2346"/>
      <c r="AB14" s="2348">
        <f>O36+O49</f>
        <v>96</v>
      </c>
      <c r="AC14" s="2348">
        <f>O25+O38+O51</f>
        <v>195.2</v>
      </c>
      <c r="AD14" s="2348">
        <f>O34</f>
        <v>255</v>
      </c>
      <c r="AE14" s="2596">
        <f>SUM(S14:AD14)</f>
        <v>4744.2589079290001</v>
      </c>
    </row>
    <row r="15" spans="1:31" ht="27.75" customHeight="1">
      <c r="A15" s="1772" t="s">
        <v>148</v>
      </c>
      <c r="B15" s="1790" t="s">
        <v>820</v>
      </c>
      <c r="C15" s="1786"/>
      <c r="D15" s="1776"/>
      <c r="E15" s="2593"/>
      <c r="F15" s="2593"/>
      <c r="G15" s="2593"/>
      <c r="H15" s="2593"/>
      <c r="I15" s="2593"/>
      <c r="J15" s="2593"/>
      <c r="K15" s="2593"/>
      <c r="L15" s="2594"/>
      <c r="M15" s="1777"/>
      <c r="N15" s="2593"/>
      <c r="O15" s="1778"/>
      <c r="P15" s="2595"/>
      <c r="Q15" s="2336"/>
      <c r="R15" s="2735" t="s">
        <v>1296</v>
      </c>
      <c r="S15" s="2346">
        <f>S14*AG17</f>
        <v>24000000</v>
      </c>
      <c r="T15" s="2346">
        <f>T14*$AG$17</f>
        <v>4959193.47095</v>
      </c>
      <c r="U15" s="2346">
        <f>U14*$AG$17</f>
        <v>11177500</v>
      </c>
      <c r="V15" s="2346">
        <f>V14*$AG$17</f>
        <v>1827272.727275</v>
      </c>
      <c r="W15" s="2346">
        <f t="shared" ref="W15:AD15" si="0">W14*$AG$17</f>
        <v>787506.5</v>
      </c>
      <c r="X15" s="2346">
        <f t="shared" si="0"/>
        <v>27300000</v>
      </c>
      <c r="Y15" s="2346">
        <f>Y14*$AG$17</f>
        <v>14700000</v>
      </c>
      <c r="Z15" s="2346">
        <f t="shared" si="0"/>
        <v>20200000</v>
      </c>
      <c r="AA15" s="2346">
        <f t="shared" si="0"/>
        <v>0</v>
      </c>
      <c r="AB15" s="2346">
        <f t="shared" si="0"/>
        <v>2400000</v>
      </c>
      <c r="AC15" s="2346">
        <f t="shared" si="0"/>
        <v>4880000</v>
      </c>
      <c r="AD15" s="2346">
        <f t="shared" si="0"/>
        <v>6375000</v>
      </c>
      <c r="AE15" s="2601">
        <f>AE14+O53</f>
        <v>5160.2589079290001</v>
      </c>
    </row>
    <row r="16" spans="1:31" ht="21.75" customHeight="1">
      <c r="A16" s="1780">
        <v>1</v>
      </c>
      <c r="B16" s="1818" t="s">
        <v>821</v>
      </c>
      <c r="C16" s="1787" t="s">
        <v>362</v>
      </c>
      <c r="D16" s="2337"/>
      <c r="E16" s="4537"/>
      <c r="F16" s="4537"/>
      <c r="G16" s="4537"/>
      <c r="H16" s="4537"/>
      <c r="I16" s="4537"/>
      <c r="J16" s="4537"/>
      <c r="K16" s="4537"/>
      <c r="L16" s="4537"/>
      <c r="M16" s="1777"/>
      <c r="N16" s="2736"/>
      <c r="O16" s="1788"/>
      <c r="P16" s="2600"/>
      <c r="Q16" s="2340"/>
    </row>
    <row r="17" spans="1:41" ht="21" customHeight="1">
      <c r="A17" s="1780">
        <v>2</v>
      </c>
      <c r="B17" s="1818" t="s">
        <v>822</v>
      </c>
      <c r="C17" s="1782" t="s">
        <v>362</v>
      </c>
      <c r="D17" s="2337"/>
      <c r="E17" s="4537"/>
      <c r="F17" s="4537"/>
      <c r="G17" s="4537"/>
      <c r="H17" s="4537"/>
      <c r="I17" s="4537"/>
      <c r="J17" s="4537"/>
      <c r="K17" s="4537"/>
      <c r="L17" s="4537"/>
      <c r="M17" s="1777"/>
      <c r="N17" s="2736"/>
      <c r="O17" s="1788"/>
      <c r="P17" s="2600"/>
      <c r="Q17" s="2340"/>
      <c r="AF17" s="2602"/>
      <c r="AG17" s="2602">
        <v>25000</v>
      </c>
      <c r="AH17" s="2602"/>
      <c r="AI17" s="2602"/>
      <c r="AJ17" s="2602"/>
      <c r="AK17" s="2602"/>
      <c r="AL17" s="2602"/>
      <c r="AM17" s="2602"/>
      <c r="AN17" s="2602"/>
      <c r="AO17" s="2602"/>
    </row>
    <row r="18" spans="1:41" ht="38.25" customHeight="1">
      <c r="A18" s="1780">
        <v>3</v>
      </c>
      <c r="B18" s="1818" t="s">
        <v>1041</v>
      </c>
      <c r="C18" s="1787" t="s">
        <v>362</v>
      </c>
      <c r="D18" s="2337"/>
      <c r="E18" s="4537"/>
      <c r="F18" s="4537"/>
      <c r="G18" s="4537"/>
      <c r="H18" s="4537"/>
      <c r="I18" s="4537"/>
      <c r="J18" s="4537"/>
      <c r="K18" s="4537"/>
      <c r="L18" s="4537"/>
      <c r="M18" s="1777"/>
      <c r="N18" s="2736"/>
      <c r="O18" s="1788"/>
      <c r="P18" s="2600"/>
      <c r="Q18" s="2340"/>
      <c r="AF18" s="2603"/>
      <c r="AG18" s="2602"/>
      <c r="AH18" s="2602"/>
      <c r="AI18" s="2602"/>
      <c r="AJ18" s="2602"/>
      <c r="AK18" s="2602"/>
      <c r="AL18" s="2602"/>
      <c r="AM18" s="2602"/>
      <c r="AN18" s="2602"/>
      <c r="AO18" s="2602"/>
    </row>
    <row r="19" spans="1:41" ht="25.5" customHeight="1">
      <c r="A19" s="1780">
        <v>4</v>
      </c>
      <c r="B19" s="1818" t="s">
        <v>1043</v>
      </c>
      <c r="C19" s="1782" t="s">
        <v>362</v>
      </c>
      <c r="D19" s="2337"/>
      <c r="E19" s="4537"/>
      <c r="F19" s="4537"/>
      <c r="G19" s="4537"/>
      <c r="H19" s="4537"/>
      <c r="I19" s="4537"/>
      <c r="J19" s="4537"/>
      <c r="K19" s="4537"/>
      <c r="L19" s="4537"/>
      <c r="M19" s="1777"/>
      <c r="N19" s="2736"/>
      <c r="O19" s="1788"/>
      <c r="P19" s="2600"/>
      <c r="Q19" s="2340"/>
      <c r="AF19" s="2603"/>
      <c r="AG19" s="2602"/>
      <c r="AH19" s="2602"/>
      <c r="AI19" s="2602"/>
      <c r="AJ19" s="2602"/>
      <c r="AK19" s="2602"/>
      <c r="AL19" s="2602"/>
      <c r="AM19" s="2602"/>
      <c r="AN19" s="2602"/>
      <c r="AO19" s="2602"/>
    </row>
    <row r="20" spans="1:41" ht="21" customHeight="1">
      <c r="A20" s="1780">
        <v>5</v>
      </c>
      <c r="B20" s="1781" t="s">
        <v>1297</v>
      </c>
      <c r="C20" s="1782" t="s">
        <v>362</v>
      </c>
      <c r="D20" s="2337"/>
      <c r="E20" s="2736"/>
      <c r="F20" s="2736"/>
      <c r="G20" s="2736"/>
      <c r="H20" s="2736"/>
      <c r="I20" s="2736"/>
      <c r="J20" s="2736"/>
      <c r="K20" s="2736"/>
      <c r="L20" s="2736"/>
      <c r="M20" s="1777"/>
      <c r="N20" s="2736"/>
      <c r="O20" s="1788"/>
      <c r="P20" s="2600"/>
      <c r="Q20" s="2340"/>
      <c r="AF20" s="2603"/>
      <c r="AG20" s="2602"/>
      <c r="AH20" s="2602"/>
      <c r="AI20" s="2602"/>
      <c r="AJ20" s="2602"/>
      <c r="AK20" s="2602"/>
      <c r="AL20" s="2602"/>
      <c r="AM20" s="2602"/>
      <c r="AN20" s="2602"/>
      <c r="AO20" s="2602"/>
    </row>
    <row r="21" spans="1:41" ht="27" customHeight="1">
      <c r="A21" s="1789" t="s">
        <v>149</v>
      </c>
      <c r="B21" s="1790" t="s">
        <v>958</v>
      </c>
      <c r="C21" s="1787"/>
      <c r="D21" s="1820"/>
      <c r="E21" s="1795"/>
      <c r="F21" s="1795"/>
      <c r="G21" s="1795"/>
      <c r="H21" s="1795"/>
      <c r="I21" s="1795"/>
      <c r="J21" s="1795"/>
      <c r="K21" s="1795"/>
      <c r="L21" s="2341"/>
      <c r="M21" s="1794"/>
      <c r="N21" s="2604"/>
      <c r="O21" s="1796">
        <f>+O22+O47+O32</f>
        <v>4744.258907929001</v>
      </c>
      <c r="P21" s="2605"/>
      <c r="Q21" s="2343"/>
      <c r="AF21" s="2606"/>
      <c r="AG21" s="2607"/>
      <c r="AH21" s="2607"/>
      <c r="AI21" s="2607"/>
      <c r="AJ21" s="2602"/>
      <c r="AK21" s="2602"/>
      <c r="AL21" s="2602"/>
      <c r="AM21" s="2602"/>
      <c r="AN21" s="2602"/>
      <c r="AO21" s="2602"/>
    </row>
    <row r="22" spans="1:41" ht="19.5" customHeight="1">
      <c r="A22" s="1789">
        <v>1</v>
      </c>
      <c r="B22" s="1790" t="s">
        <v>927</v>
      </c>
      <c r="C22" s="1787"/>
      <c r="D22" s="1820"/>
      <c r="E22" s="1795"/>
      <c r="F22" s="1795"/>
      <c r="G22" s="1795"/>
      <c r="H22" s="1795"/>
      <c r="I22" s="1795"/>
      <c r="J22" s="1795"/>
      <c r="K22" s="1795"/>
      <c r="L22" s="2341"/>
      <c r="M22" s="1794"/>
      <c r="N22" s="2604"/>
      <c r="O22" s="1796">
        <f>+SUM(O23:O31)</f>
        <v>405.33482000000004</v>
      </c>
      <c r="P22" s="2605"/>
      <c r="Q22" s="2343"/>
      <c r="R22" s="2608"/>
      <c r="S22" s="2608"/>
      <c r="T22" s="2602"/>
      <c r="U22" s="2737"/>
      <c r="V22" s="2737"/>
      <c r="W22" s="2737"/>
      <c r="X22" s="2737"/>
      <c r="Y22" s="2737"/>
      <c r="Z22" s="2737"/>
      <c r="AA22" s="2737"/>
      <c r="AB22" s="2606"/>
      <c r="AC22" s="2606"/>
      <c r="AD22" s="2606"/>
      <c r="AE22" s="2606"/>
      <c r="AF22" s="2606"/>
      <c r="AG22" s="2606"/>
      <c r="AH22" s="2606"/>
      <c r="AI22" s="2606"/>
      <c r="AJ22" s="2606"/>
      <c r="AK22" s="2606"/>
      <c r="AL22" s="2602"/>
      <c r="AM22" s="2602"/>
      <c r="AN22" s="2602"/>
      <c r="AO22" s="2602"/>
    </row>
    <row r="23" spans="1:41" ht="36" customHeight="1">
      <c r="A23" s="1798" t="s">
        <v>837</v>
      </c>
      <c r="B23" s="1818" t="s">
        <v>1045</v>
      </c>
      <c r="C23" s="1787" t="s">
        <v>959</v>
      </c>
      <c r="D23" s="1820">
        <f>25000/175000</f>
        <v>0.14285714285714285</v>
      </c>
      <c r="E23" s="1810"/>
      <c r="F23" s="1800"/>
      <c r="G23" s="1811"/>
      <c r="H23" s="1802"/>
      <c r="I23" s="1810"/>
      <c r="J23" s="1802"/>
      <c r="K23" s="1795"/>
      <c r="L23" s="2341"/>
      <c r="M23" s="1794">
        <f>20+3</f>
        <v>23</v>
      </c>
      <c r="N23" s="2604">
        <v>1</v>
      </c>
      <c r="O23" s="2610">
        <f>ROUND((M23/D23)*N23,9)</f>
        <v>161</v>
      </c>
      <c r="P23" s="2605"/>
      <c r="Q23" s="2343"/>
      <c r="R23" s="2611"/>
      <c r="S23" s="2737"/>
      <c r="T23" s="2612"/>
      <c r="U23" s="2612"/>
      <c r="V23" s="2612"/>
      <c r="W23" s="2612"/>
      <c r="X23" s="2612"/>
      <c r="Y23" s="2612"/>
      <c r="Z23" s="2737"/>
      <c r="AA23" s="2737"/>
      <c r="AB23" s="2613"/>
      <c r="AC23" s="2613"/>
      <c r="AD23" s="2613"/>
      <c r="AE23" s="2613"/>
      <c r="AF23" s="2613"/>
      <c r="AG23" s="2613"/>
      <c r="AH23" s="2603"/>
      <c r="AI23" s="2603"/>
      <c r="AJ23" s="2603"/>
      <c r="AK23" s="2603"/>
      <c r="AL23" s="2602"/>
      <c r="AM23" s="2602"/>
      <c r="AN23" s="2602"/>
      <c r="AO23" s="2602"/>
    </row>
    <row r="24" spans="1:41" ht="23.25" customHeight="1">
      <c r="A24" s="1798" t="s">
        <v>838</v>
      </c>
      <c r="B24" s="1818" t="s">
        <v>1046</v>
      </c>
      <c r="C24" s="1787" t="s">
        <v>959</v>
      </c>
      <c r="D24" s="1820">
        <f>25000/150000</f>
        <v>0.16666666666666666</v>
      </c>
      <c r="E24" s="1810"/>
      <c r="F24" s="1800"/>
      <c r="G24" s="1811"/>
      <c r="H24" s="1802"/>
      <c r="I24" s="1810"/>
      <c r="J24" s="1802"/>
      <c r="K24" s="1795"/>
      <c r="L24" s="2341"/>
      <c r="M24" s="1794">
        <v>6</v>
      </c>
      <c r="N24" s="2604">
        <v>1</v>
      </c>
      <c r="O24" s="1788">
        <f>ROUND((M24/D24)*N24,9)</f>
        <v>36</v>
      </c>
      <c r="P24" s="2605"/>
      <c r="Q24" s="2343"/>
      <c r="R24" s="2611"/>
      <c r="S24" s="2737"/>
      <c r="T24" s="2737"/>
      <c r="U24" s="2737"/>
      <c r="V24" s="2737"/>
      <c r="W24" s="2737"/>
      <c r="X24" s="2737"/>
      <c r="Y24" s="2737"/>
      <c r="Z24" s="2737"/>
      <c r="AA24" s="2737"/>
      <c r="AB24" s="2603"/>
      <c r="AC24" s="2603"/>
      <c r="AD24" s="2603"/>
      <c r="AE24" s="2603"/>
      <c r="AF24" s="2603"/>
      <c r="AG24" s="2603"/>
      <c r="AH24" s="2603"/>
      <c r="AI24" s="2603"/>
      <c r="AJ24" s="2603"/>
      <c r="AK24" s="2603"/>
      <c r="AL24" s="2602"/>
      <c r="AM24" s="2602"/>
      <c r="AN24" s="2602"/>
      <c r="AO24" s="2602"/>
    </row>
    <row r="25" spans="1:41" ht="23.25" customHeight="1">
      <c r="A25" s="1798" t="s">
        <v>1047</v>
      </c>
      <c r="B25" s="1818" t="s">
        <v>204</v>
      </c>
      <c r="C25" s="1787" t="s">
        <v>959</v>
      </c>
      <c r="D25" s="1820">
        <v>1.25</v>
      </c>
      <c r="E25" s="1810"/>
      <c r="F25" s="1800"/>
      <c r="G25" s="1811"/>
      <c r="H25" s="1802"/>
      <c r="I25" s="1810"/>
      <c r="J25" s="1802"/>
      <c r="K25" s="1795"/>
      <c r="L25" s="2341"/>
      <c r="M25" s="1794">
        <v>23</v>
      </c>
      <c r="N25" s="2604">
        <v>1</v>
      </c>
      <c r="O25" s="1788">
        <f>ROUND((M25/D25)*N25,9)</f>
        <v>18.399999999999999</v>
      </c>
      <c r="P25" s="2605"/>
      <c r="Q25" s="2343"/>
      <c r="R25" s="2611"/>
      <c r="S25" s="2611"/>
      <c r="T25" s="2611"/>
      <c r="U25" s="2611"/>
      <c r="V25" s="2611"/>
      <c r="W25" s="2611"/>
      <c r="X25" s="2611"/>
      <c r="Y25" s="2611"/>
      <c r="Z25" s="2611"/>
      <c r="AA25" s="2611"/>
      <c r="AB25" s="2603"/>
      <c r="AC25" s="2603"/>
      <c r="AD25" s="2603"/>
      <c r="AE25" s="2603"/>
      <c r="AF25" s="2603"/>
      <c r="AG25" s="2603"/>
      <c r="AH25" s="2603"/>
      <c r="AI25" s="2603"/>
      <c r="AJ25" s="2603"/>
      <c r="AK25" s="2603"/>
      <c r="AL25" s="2602"/>
      <c r="AM25" s="2602"/>
      <c r="AN25" s="2602"/>
      <c r="AO25" s="2602"/>
    </row>
    <row r="26" spans="1:41" ht="21" customHeight="1">
      <c r="A26" s="4477" t="s">
        <v>1048</v>
      </c>
      <c r="B26" s="4532" t="s">
        <v>1055</v>
      </c>
      <c r="C26" s="4481" t="s">
        <v>1050</v>
      </c>
      <c r="D26" s="4483">
        <f>1/5</f>
        <v>0.2</v>
      </c>
      <c r="E26" s="1810">
        <v>8</v>
      </c>
      <c r="F26" s="1800">
        <v>1.87</v>
      </c>
      <c r="G26" s="1810">
        <v>9</v>
      </c>
      <c r="H26" s="1802">
        <v>9.84</v>
      </c>
      <c r="I26" s="1795" t="s">
        <v>1056</v>
      </c>
      <c r="J26" s="2341">
        <v>3.31</v>
      </c>
      <c r="K26" s="1795" t="s">
        <v>1059</v>
      </c>
      <c r="L26" s="2341">
        <v>3.5</v>
      </c>
      <c r="M26" s="4485">
        <f>+F26+H26+J26+L26+F27+H27+J27+L27+F28</f>
        <v>35.440000000000005</v>
      </c>
      <c r="N26" s="4528">
        <v>1</v>
      </c>
      <c r="O26" s="4470">
        <f>ROUND((M26/D26)*N26,9)</f>
        <v>177.2</v>
      </c>
      <c r="P26" s="4530" t="s">
        <v>1058</v>
      </c>
      <c r="Q26" s="2349"/>
      <c r="R26" s="2614"/>
      <c r="S26" s="2615"/>
      <c r="T26" s="2615"/>
      <c r="U26" s="2615"/>
      <c r="V26" s="2615"/>
      <c r="W26" s="2615"/>
      <c r="X26" s="2615"/>
      <c r="Y26" s="2615"/>
      <c r="Z26" s="2615"/>
      <c r="AA26" s="2615"/>
      <c r="AB26" s="2602"/>
      <c r="AC26" s="2602"/>
      <c r="AD26" s="2602"/>
      <c r="AE26" s="2602"/>
      <c r="AF26" s="2602"/>
      <c r="AG26" s="2602"/>
      <c r="AH26" s="2602"/>
      <c r="AI26" s="2602"/>
      <c r="AJ26" s="2602"/>
      <c r="AK26" s="2602"/>
      <c r="AL26" s="2602"/>
      <c r="AM26" s="2602"/>
      <c r="AN26" s="2602"/>
      <c r="AO26" s="2602"/>
    </row>
    <row r="27" spans="1:41" ht="21" customHeight="1">
      <c r="A27" s="4492"/>
      <c r="B27" s="4533"/>
      <c r="C27" s="4494"/>
      <c r="D27" s="4495"/>
      <c r="E27" s="1811" t="s">
        <v>1057</v>
      </c>
      <c r="F27" s="1802">
        <v>6.21</v>
      </c>
      <c r="G27" s="1810" t="s">
        <v>1060</v>
      </c>
      <c r="H27" s="1802">
        <v>3.75</v>
      </c>
      <c r="I27" s="1795" t="s">
        <v>209</v>
      </c>
      <c r="J27" s="2341">
        <v>1.74</v>
      </c>
      <c r="K27" s="1795">
        <v>9</v>
      </c>
      <c r="L27" s="2341">
        <v>2.23</v>
      </c>
      <c r="M27" s="4496"/>
      <c r="N27" s="4535"/>
      <c r="O27" s="4491"/>
      <c r="P27" s="4536"/>
      <c r="Q27" s="2349"/>
      <c r="R27" s="2614"/>
      <c r="S27" s="2615"/>
      <c r="T27" s="2615"/>
      <c r="U27" s="2615"/>
      <c r="V27" s="2615"/>
      <c r="W27" s="2615"/>
      <c r="X27" s="2615"/>
      <c r="Y27" s="2615"/>
      <c r="Z27" s="2615"/>
      <c r="AA27" s="2615"/>
      <c r="AB27" s="2602"/>
      <c r="AC27" s="2602"/>
      <c r="AD27" s="2602"/>
      <c r="AE27" s="2602"/>
      <c r="AF27" s="2602"/>
      <c r="AG27" s="2602"/>
      <c r="AH27" s="2602"/>
      <c r="AI27" s="2602"/>
      <c r="AJ27" s="2602"/>
      <c r="AK27" s="2602"/>
      <c r="AL27" s="2602"/>
      <c r="AM27" s="2602"/>
      <c r="AN27" s="2602"/>
      <c r="AO27" s="2602"/>
    </row>
    <row r="28" spans="1:41" ht="21" customHeight="1">
      <c r="A28" s="4478"/>
      <c r="B28" s="4534"/>
      <c r="C28" s="4482"/>
      <c r="D28" s="4484"/>
      <c r="E28" s="1811" t="s">
        <v>1074</v>
      </c>
      <c r="F28" s="1802">
        <v>2.99</v>
      </c>
      <c r="G28" s="1810"/>
      <c r="H28" s="1802"/>
      <c r="I28" s="1795"/>
      <c r="J28" s="2341"/>
      <c r="K28" s="1795"/>
      <c r="L28" s="2341"/>
      <c r="M28" s="4486"/>
      <c r="N28" s="4529"/>
      <c r="O28" s="4471"/>
      <c r="P28" s="4531"/>
      <c r="Q28" s="2349"/>
      <c r="R28" s="2614"/>
      <c r="S28" s="2615"/>
      <c r="T28" s="2615"/>
      <c r="U28" s="2615"/>
      <c r="V28" s="2615"/>
      <c r="W28" s="2615"/>
      <c r="X28" s="2615"/>
      <c r="Y28" s="2615"/>
      <c r="Z28" s="2615"/>
      <c r="AA28" s="2615"/>
      <c r="AB28" s="2602"/>
      <c r="AC28" s="2602"/>
      <c r="AD28" s="2602"/>
      <c r="AE28" s="2602"/>
      <c r="AF28" s="2602"/>
      <c r="AG28" s="2602"/>
      <c r="AH28" s="2602"/>
      <c r="AI28" s="2616"/>
      <c r="AJ28" s="2602"/>
      <c r="AK28" s="2602"/>
      <c r="AL28" s="2602"/>
      <c r="AM28" s="2602"/>
      <c r="AN28" s="2602"/>
      <c r="AO28" s="2602"/>
    </row>
    <row r="29" spans="1:41" ht="24.75" customHeight="1">
      <c r="A29" s="1798" t="s">
        <v>1054</v>
      </c>
      <c r="B29" s="1818" t="s">
        <v>1063</v>
      </c>
      <c r="C29" s="1787" t="s">
        <v>818</v>
      </c>
      <c r="D29" s="1820">
        <v>1</v>
      </c>
      <c r="E29" s="1811"/>
      <c r="F29" s="1802"/>
      <c r="G29" s="1810"/>
      <c r="H29" s="1802"/>
      <c r="I29" s="1795"/>
      <c r="J29" s="2341"/>
      <c r="K29" s="1795"/>
      <c r="L29" s="2341"/>
      <c r="M29" s="1794">
        <f>12734.82/1000</f>
        <v>12.734819999999999</v>
      </c>
      <c r="N29" s="2604">
        <v>1</v>
      </c>
      <c r="O29" s="1788">
        <f>ROUND((M29/D29)*N29,9)</f>
        <v>12.734819999999999</v>
      </c>
      <c r="P29" s="2617"/>
      <c r="Q29" s="2349"/>
      <c r="R29" s="2602"/>
      <c r="S29" s="2602"/>
      <c r="T29" s="2602"/>
      <c r="U29" s="2602"/>
      <c r="V29" s="2602"/>
      <c r="W29" s="2602"/>
      <c r="X29" s="2602"/>
      <c r="Y29" s="2602"/>
      <c r="Z29" s="2602"/>
      <c r="AA29" s="2602"/>
      <c r="AB29" s="2602"/>
      <c r="AC29" s="2602"/>
      <c r="AD29" s="2602"/>
      <c r="AE29" s="2602"/>
      <c r="AF29" s="2602"/>
      <c r="AG29" s="2602"/>
      <c r="AH29" s="2602"/>
      <c r="AI29" s="2602"/>
      <c r="AJ29" s="2602"/>
      <c r="AK29" s="2602"/>
      <c r="AL29" s="2602"/>
      <c r="AM29" s="2602"/>
      <c r="AN29" s="2602"/>
      <c r="AO29" s="2602"/>
    </row>
    <row r="30" spans="1:41" ht="27.75" hidden="1" customHeight="1">
      <c r="A30" s="4477" t="s">
        <v>1062</v>
      </c>
      <c r="B30" s="4532" t="s">
        <v>1064</v>
      </c>
      <c r="C30" s="4481" t="s">
        <v>1050</v>
      </c>
      <c r="D30" s="4483">
        <v>0.20829999999999999</v>
      </c>
      <c r="E30" s="1811"/>
      <c r="F30" s="1802"/>
      <c r="G30" s="1810"/>
      <c r="H30" s="1802"/>
      <c r="I30" s="1795"/>
      <c r="J30" s="2341"/>
      <c r="K30" s="1795"/>
      <c r="L30" s="2341"/>
      <c r="M30" s="4485">
        <f>F30+H30+J30+L30+F31+H31+J31+L31</f>
        <v>0</v>
      </c>
      <c r="N30" s="4528">
        <v>1</v>
      </c>
      <c r="O30" s="4470">
        <f>ROUND((M30/D30)*N30,9)</f>
        <v>0</v>
      </c>
      <c r="P30" s="2617"/>
      <c r="Q30" s="2349"/>
      <c r="R30" s="2602"/>
      <c r="S30" s="2602"/>
      <c r="T30" s="2602"/>
      <c r="U30" s="2602"/>
      <c r="V30" s="2602"/>
      <c r="W30" s="2602"/>
      <c r="X30" s="2602"/>
      <c r="Y30" s="2602"/>
      <c r="Z30" s="2602"/>
      <c r="AA30" s="2602"/>
      <c r="AB30" s="2602"/>
      <c r="AC30" s="2602"/>
      <c r="AD30" s="2602"/>
      <c r="AE30" s="2602"/>
      <c r="AF30" s="2602"/>
      <c r="AG30" s="2602"/>
      <c r="AH30" s="2602"/>
      <c r="AI30" s="2602"/>
      <c r="AJ30" s="2602"/>
      <c r="AK30" s="2602"/>
      <c r="AL30" s="2602"/>
      <c r="AM30" s="2602"/>
      <c r="AN30" s="2602"/>
      <c r="AO30" s="2602"/>
    </row>
    <row r="31" spans="1:41" ht="27.75" hidden="1" customHeight="1">
      <c r="A31" s="4478"/>
      <c r="B31" s="4534"/>
      <c r="C31" s="4482"/>
      <c r="D31" s="4484"/>
      <c r="E31" s="1811"/>
      <c r="F31" s="1802"/>
      <c r="G31" s="1810"/>
      <c r="H31" s="1802"/>
      <c r="I31" s="1795"/>
      <c r="J31" s="2341"/>
      <c r="K31" s="1795"/>
      <c r="L31" s="2341"/>
      <c r="M31" s="4486"/>
      <c r="N31" s="4529"/>
      <c r="O31" s="4471"/>
      <c r="P31" s="2617"/>
      <c r="Q31" s="2349"/>
      <c r="R31" s="2602"/>
      <c r="S31" s="2602"/>
      <c r="T31" s="2602"/>
      <c r="U31" s="2602"/>
      <c r="V31" s="2602"/>
      <c r="W31" s="2602"/>
      <c r="X31" s="2602"/>
      <c r="Y31" s="2602"/>
      <c r="Z31" s="2602"/>
      <c r="AA31" s="2602"/>
      <c r="AB31" s="2602"/>
      <c r="AC31" s="2602"/>
      <c r="AD31" s="2602"/>
      <c r="AE31" s="2602"/>
      <c r="AF31" s="2602"/>
      <c r="AG31" s="2602"/>
      <c r="AH31" s="2602"/>
      <c r="AI31" s="2602"/>
      <c r="AJ31" s="2602"/>
      <c r="AK31" s="2602"/>
      <c r="AL31" s="2602"/>
      <c r="AM31" s="2602"/>
      <c r="AN31" s="2602"/>
      <c r="AO31" s="2602"/>
    </row>
    <row r="32" spans="1:41" ht="21" customHeight="1">
      <c r="A32" s="1789">
        <v>2</v>
      </c>
      <c r="B32" s="1790" t="s">
        <v>824</v>
      </c>
      <c r="C32" s="1787"/>
      <c r="D32" s="1820"/>
      <c r="E32" s="1810"/>
      <c r="F32" s="1802"/>
      <c r="G32" s="1810"/>
      <c r="H32" s="1802"/>
      <c r="I32" s="1811"/>
      <c r="J32" s="1802"/>
      <c r="K32" s="1811"/>
      <c r="L32" s="1802"/>
      <c r="M32" s="1794"/>
      <c r="N32" s="2604"/>
      <c r="O32" s="1796">
        <f>+SUM(O33:O46)</f>
        <v>2964.8840879290005</v>
      </c>
      <c r="P32" s="2605"/>
      <c r="Q32" s="2343"/>
      <c r="R32" s="2602"/>
      <c r="S32" s="2602"/>
      <c r="T32" s="2614"/>
      <c r="U32" s="2614"/>
      <c r="V32" s="2614"/>
      <c r="W32" s="2614"/>
      <c r="X32" s="2614"/>
      <c r="Y32" s="2614"/>
      <c r="Z32" s="2602"/>
      <c r="AA32" s="2602"/>
      <c r="AB32" s="2602"/>
      <c r="AC32" s="2602"/>
      <c r="AD32" s="2602"/>
      <c r="AE32" s="2602"/>
      <c r="AF32" s="2602"/>
      <c r="AG32" s="2602"/>
      <c r="AH32" s="2602"/>
      <c r="AI32" s="2602"/>
      <c r="AJ32" s="2602"/>
      <c r="AK32" s="2602"/>
      <c r="AL32" s="2602"/>
      <c r="AM32" s="2602"/>
      <c r="AN32" s="2602"/>
      <c r="AO32" s="2602"/>
    </row>
    <row r="33" spans="1:41" ht="44.25" customHeight="1">
      <c r="A33" s="1798" t="s">
        <v>969</v>
      </c>
      <c r="B33" s="1818" t="s">
        <v>1045</v>
      </c>
      <c r="C33" s="1787" t="s">
        <v>959</v>
      </c>
      <c r="D33" s="1820">
        <f>25000/175000</f>
        <v>0.14285714285714285</v>
      </c>
      <c r="E33" s="1810"/>
      <c r="F33" s="1800"/>
      <c r="G33" s="1811"/>
      <c r="H33" s="1802"/>
      <c r="I33" s="1810"/>
      <c r="J33" s="1802"/>
      <c r="K33" s="1795"/>
      <c r="L33" s="2341"/>
      <c r="M33" s="1794">
        <f>31+30</f>
        <v>61</v>
      </c>
      <c r="N33" s="2604">
        <v>1</v>
      </c>
      <c r="O33" s="2610">
        <f>ROUND((M33/D33)*N33,9)</f>
        <v>427</v>
      </c>
      <c r="P33" s="2605"/>
      <c r="Q33" s="2343"/>
      <c r="R33" s="2602"/>
      <c r="S33" s="2602"/>
      <c r="T33" s="2614"/>
      <c r="U33" s="2614"/>
      <c r="V33" s="2614"/>
      <c r="W33" s="2614"/>
      <c r="X33" s="2614"/>
      <c r="Y33" s="2614"/>
      <c r="Z33" s="2602"/>
      <c r="AA33" s="2602"/>
      <c r="AB33" s="2602"/>
      <c r="AC33" s="2602"/>
      <c r="AD33" s="2602"/>
      <c r="AE33" s="2602"/>
      <c r="AF33" s="2602"/>
      <c r="AG33" s="2602"/>
      <c r="AH33" s="2602"/>
      <c r="AI33" s="2618"/>
      <c r="AJ33" s="2602"/>
      <c r="AK33" s="2602"/>
      <c r="AL33" s="2602"/>
      <c r="AM33" s="2602"/>
      <c r="AN33" s="2602"/>
      <c r="AO33" s="2602"/>
    </row>
    <row r="34" spans="1:41" ht="44.25" customHeight="1">
      <c r="A34" s="1798" t="s">
        <v>1065</v>
      </c>
      <c r="B34" s="2351" t="s">
        <v>1227</v>
      </c>
      <c r="C34" s="1787" t="s">
        <v>959</v>
      </c>
      <c r="D34" s="2619">
        <f t="shared" ref="D34" si="1">25000/187500</f>
        <v>0.13333333333333333</v>
      </c>
      <c r="E34" s="1810"/>
      <c r="F34" s="1802"/>
      <c r="G34" s="1811"/>
      <c r="H34" s="1802"/>
      <c r="I34" s="1810"/>
      <c r="J34" s="1802"/>
      <c r="K34" s="1810"/>
      <c r="L34" s="1802"/>
      <c r="M34" s="1794">
        <v>34</v>
      </c>
      <c r="N34" s="2604">
        <v>1</v>
      </c>
      <c r="O34" s="1788">
        <f t="shared" ref="O34:O40" si="2">ROUND((M34/D34)*N34,9)</f>
        <v>255</v>
      </c>
      <c r="P34" s="2605"/>
      <c r="Q34" s="2343"/>
      <c r="R34" s="2602"/>
      <c r="S34" s="2602"/>
      <c r="T34" s="2602"/>
      <c r="U34" s="2602"/>
      <c r="V34" s="2602"/>
      <c r="W34" s="2602"/>
      <c r="X34" s="2602"/>
      <c r="Y34" s="2602"/>
      <c r="Z34" s="2602"/>
      <c r="AA34" s="2602"/>
      <c r="AB34" s="2602"/>
      <c r="AC34" s="2602"/>
      <c r="AD34" s="2602"/>
      <c r="AE34" s="2602"/>
      <c r="AF34" s="2602"/>
      <c r="AG34" s="2602"/>
      <c r="AH34" s="2602"/>
      <c r="AI34" s="2602"/>
      <c r="AJ34" s="2602"/>
      <c r="AK34" s="2602"/>
      <c r="AL34" s="2602"/>
      <c r="AM34" s="2602"/>
      <c r="AN34" s="2602"/>
      <c r="AO34" s="2602"/>
    </row>
    <row r="35" spans="1:41" ht="44.25" customHeight="1">
      <c r="A35" s="1798" t="s">
        <v>1066</v>
      </c>
      <c r="B35" s="1818" t="s">
        <v>1080</v>
      </c>
      <c r="C35" s="1787" t="s">
        <v>959</v>
      </c>
      <c r="D35" s="1820">
        <f>25000/200000</f>
        <v>0.125</v>
      </c>
      <c r="E35" s="1810"/>
      <c r="F35" s="1802"/>
      <c r="G35" s="1811"/>
      <c r="H35" s="1802"/>
      <c r="I35" s="1811"/>
      <c r="J35" s="1802"/>
      <c r="K35" s="2379"/>
      <c r="L35" s="1807"/>
      <c r="M35" s="1794">
        <v>9</v>
      </c>
      <c r="N35" s="2604">
        <v>1</v>
      </c>
      <c r="O35" s="1788">
        <f t="shared" si="2"/>
        <v>72</v>
      </c>
      <c r="P35" s="2605"/>
      <c r="Q35" s="2343"/>
      <c r="R35" s="2620"/>
      <c r="S35" s="2620"/>
      <c r="T35" s="2614"/>
      <c r="U35" s="2614"/>
      <c r="V35" s="2614"/>
      <c r="W35" s="2614"/>
      <c r="X35" s="2614"/>
      <c r="Y35" s="2614"/>
      <c r="Z35" s="2614"/>
      <c r="AA35" s="2614"/>
      <c r="AB35" s="2602"/>
      <c r="AC35" s="2602"/>
      <c r="AD35" s="2602"/>
      <c r="AE35" s="2602"/>
      <c r="AF35" s="2602"/>
      <c r="AG35" s="2602"/>
      <c r="AH35" s="2602"/>
      <c r="AI35" s="2602"/>
      <c r="AJ35" s="2602"/>
      <c r="AK35" s="2602"/>
      <c r="AL35" s="2602"/>
      <c r="AM35" s="2602"/>
      <c r="AN35" s="2602"/>
      <c r="AO35" s="2602"/>
    </row>
    <row r="36" spans="1:41" ht="44.25" customHeight="1">
      <c r="A36" s="1798" t="s">
        <v>1067</v>
      </c>
      <c r="B36" s="1818" t="s">
        <v>1298</v>
      </c>
      <c r="C36" s="1787" t="s">
        <v>959</v>
      </c>
      <c r="D36" s="1820">
        <f>1/3</f>
        <v>0.33333333333333331</v>
      </c>
      <c r="E36" s="1810"/>
      <c r="F36" s="1802"/>
      <c r="G36" s="1811"/>
      <c r="H36" s="1802"/>
      <c r="I36" s="1811"/>
      <c r="J36" s="1802"/>
      <c r="K36" s="2379"/>
      <c r="L36" s="1807"/>
      <c r="M36" s="1794">
        <v>11</v>
      </c>
      <c r="N36" s="2604">
        <v>1</v>
      </c>
      <c r="O36" s="1788">
        <f t="shared" si="2"/>
        <v>33</v>
      </c>
      <c r="P36" s="2605"/>
      <c r="Q36" s="2343"/>
      <c r="R36" s="2620"/>
      <c r="S36" s="2620"/>
      <c r="T36" s="2614"/>
      <c r="U36" s="2614"/>
      <c r="V36" s="2614"/>
      <c r="W36" s="2614"/>
      <c r="X36" s="2614"/>
      <c r="Y36" s="2614"/>
      <c r="Z36" s="2614"/>
      <c r="AA36" s="2614"/>
      <c r="AB36" s="2602"/>
      <c r="AC36" s="2602"/>
      <c r="AD36" s="2602"/>
      <c r="AE36" s="2602"/>
      <c r="AF36" s="2602"/>
      <c r="AG36" s="2602"/>
      <c r="AH36" s="2602"/>
      <c r="AI36" s="2602"/>
      <c r="AJ36" s="2602"/>
      <c r="AK36" s="2602"/>
      <c r="AL36" s="2602"/>
      <c r="AM36" s="2602"/>
      <c r="AN36" s="2602"/>
      <c r="AO36" s="2602"/>
    </row>
    <row r="37" spans="1:41" ht="44.25" customHeight="1">
      <c r="A37" s="1798" t="s">
        <v>1068</v>
      </c>
      <c r="B37" s="1818" t="s">
        <v>1046</v>
      </c>
      <c r="C37" s="1787" t="s">
        <v>959</v>
      </c>
      <c r="D37" s="1820">
        <f>25000/150000</f>
        <v>0.16666666666666666</v>
      </c>
      <c r="E37" s="1810"/>
      <c r="F37" s="1802"/>
      <c r="G37" s="1811"/>
      <c r="H37" s="1802"/>
      <c r="I37" s="1811"/>
      <c r="J37" s="1802"/>
      <c r="K37" s="2379"/>
      <c r="L37" s="1807"/>
      <c r="M37" s="1794">
        <f>42+96</f>
        <v>138</v>
      </c>
      <c r="N37" s="2604">
        <v>1</v>
      </c>
      <c r="O37" s="1788">
        <f t="shared" si="2"/>
        <v>828</v>
      </c>
      <c r="P37" s="2605"/>
      <c r="Q37" s="2343"/>
      <c r="R37" s="2621"/>
      <c r="S37" s="2622"/>
      <c r="T37" s="2614"/>
      <c r="U37" s="2614"/>
      <c r="V37" s="2614"/>
      <c r="W37" s="2614"/>
      <c r="X37" s="2614"/>
      <c r="Y37" s="2614"/>
      <c r="Z37" s="2614"/>
      <c r="AA37" s="2614"/>
      <c r="AB37" s="2602"/>
      <c r="AC37" s="2602"/>
      <c r="AD37" s="2602"/>
      <c r="AE37" s="2602"/>
      <c r="AF37" s="2602"/>
      <c r="AG37" s="2602"/>
      <c r="AH37" s="2602"/>
      <c r="AI37" s="2602"/>
      <c r="AJ37" s="2602"/>
      <c r="AK37" s="2602"/>
      <c r="AL37" s="2602"/>
      <c r="AM37" s="2602"/>
      <c r="AN37" s="2602"/>
      <c r="AO37" s="2602"/>
    </row>
    <row r="38" spans="1:41" ht="44.25" customHeight="1">
      <c r="A38" s="1798" t="s">
        <v>1069</v>
      </c>
      <c r="B38" s="1818" t="s">
        <v>204</v>
      </c>
      <c r="C38" s="1787" t="s">
        <v>959</v>
      </c>
      <c r="D38" s="1820">
        <v>1.25</v>
      </c>
      <c r="E38" s="1810"/>
      <c r="F38" s="1802"/>
      <c r="G38" s="1811"/>
      <c r="H38" s="1802"/>
      <c r="I38" s="1811"/>
      <c r="J38" s="1802"/>
      <c r="K38" s="2379"/>
      <c r="L38" s="1807"/>
      <c r="M38" s="1794">
        <f>152-17-4</f>
        <v>131</v>
      </c>
      <c r="N38" s="2604">
        <v>1</v>
      </c>
      <c r="O38" s="1788">
        <f t="shared" si="2"/>
        <v>104.8</v>
      </c>
      <c r="P38" s="2605"/>
      <c r="Q38" s="2343"/>
      <c r="R38" s="2621"/>
      <c r="S38" s="2622"/>
      <c r="T38" s="2614"/>
      <c r="U38" s="2614"/>
      <c r="V38" s="2614"/>
      <c r="W38" s="2614"/>
      <c r="X38" s="2614"/>
      <c r="Y38" s="2614"/>
      <c r="Z38" s="2614"/>
      <c r="AA38" s="2614"/>
      <c r="AB38" s="2602"/>
      <c r="AC38" s="2602"/>
      <c r="AD38" s="2602"/>
      <c r="AE38" s="2602"/>
      <c r="AF38" s="2602"/>
      <c r="AG38" s="2602"/>
      <c r="AH38" s="2602"/>
      <c r="AI38" s="2602"/>
      <c r="AJ38" s="2602"/>
      <c r="AK38" s="2602"/>
      <c r="AL38" s="2602"/>
      <c r="AM38" s="2602"/>
      <c r="AN38" s="2602"/>
      <c r="AO38" s="2602"/>
    </row>
    <row r="39" spans="1:41" ht="30" customHeight="1">
      <c r="A39" s="1798" t="s">
        <v>1072</v>
      </c>
      <c r="B39" s="1818" t="s">
        <v>1049</v>
      </c>
      <c r="C39" s="1787" t="s">
        <v>1050</v>
      </c>
      <c r="D39" s="1820">
        <f>1/16</f>
        <v>6.25E-2</v>
      </c>
      <c r="E39" s="1810" t="s">
        <v>1073</v>
      </c>
      <c r="F39" s="1806">
        <v>7.4</v>
      </c>
      <c r="G39" s="1810">
        <v>4</v>
      </c>
      <c r="H39" s="1802">
        <v>11.43</v>
      </c>
      <c r="I39" s="1810" t="s">
        <v>159</v>
      </c>
      <c r="J39" s="1802">
        <v>20.03</v>
      </c>
      <c r="K39" s="1810" t="s">
        <v>1086</v>
      </c>
      <c r="L39" s="2341">
        <v>3.95</v>
      </c>
      <c r="M39" s="1794">
        <f>F39+H39+J39+L39</f>
        <v>42.81</v>
      </c>
      <c r="N39" s="2604">
        <v>1</v>
      </c>
      <c r="O39" s="1788">
        <f>ROUND((M39/D39)*N39,9)</f>
        <v>684.96</v>
      </c>
      <c r="P39" s="2605"/>
      <c r="Q39" s="2343"/>
      <c r="R39" s="2621"/>
      <c r="S39" s="2621"/>
      <c r="T39" s="2614"/>
      <c r="U39" s="2614"/>
      <c r="V39" s="2614"/>
      <c r="W39" s="2614"/>
      <c r="X39" s="2614"/>
      <c r="Y39" s="2614"/>
      <c r="Z39" s="2614"/>
      <c r="AA39" s="2614"/>
      <c r="AB39" s="2602"/>
      <c r="AC39" s="2602"/>
      <c r="AD39" s="2602"/>
      <c r="AE39" s="2602"/>
      <c r="AF39" s="2602"/>
      <c r="AG39" s="2602"/>
      <c r="AH39" s="2602"/>
      <c r="AI39" s="2602"/>
      <c r="AJ39" s="2602"/>
      <c r="AK39" s="2602"/>
      <c r="AL39" s="2602"/>
      <c r="AM39" s="2602"/>
      <c r="AN39" s="2602"/>
      <c r="AO39" s="2602"/>
    </row>
    <row r="40" spans="1:41" ht="35.25" customHeight="1">
      <c r="A40" s="4477" t="s">
        <v>1077</v>
      </c>
      <c r="B40" s="4532" t="s">
        <v>1055</v>
      </c>
      <c r="C40" s="4481" t="s">
        <v>1050</v>
      </c>
      <c r="D40" s="4483">
        <f>1/5</f>
        <v>0.2</v>
      </c>
      <c r="E40" s="1810" t="s">
        <v>159</v>
      </c>
      <c r="F40" s="1807">
        <v>6.58</v>
      </c>
      <c r="G40" s="1810" t="s">
        <v>159</v>
      </c>
      <c r="H40" s="1807">
        <v>1.01</v>
      </c>
      <c r="I40" s="1810" t="s">
        <v>159</v>
      </c>
      <c r="J40" s="1802">
        <v>19.63</v>
      </c>
      <c r="K40" s="1810" t="s">
        <v>1085</v>
      </c>
      <c r="L40" s="1807">
        <v>10.68</v>
      </c>
      <c r="M40" s="4485">
        <f>L40+L41+J40+J41+H40+H41+F40+F41</f>
        <v>53.98</v>
      </c>
      <c r="N40" s="4528">
        <v>1</v>
      </c>
      <c r="O40" s="4470">
        <f t="shared" si="2"/>
        <v>269.89999999999998</v>
      </c>
      <c r="P40" s="4530" t="s">
        <v>1058</v>
      </c>
      <c r="Q40" s="2349"/>
      <c r="R40" s="2621"/>
      <c r="S40" s="2621"/>
      <c r="T40" s="2614"/>
      <c r="U40" s="2614"/>
      <c r="V40" s="2614"/>
      <c r="W40" s="2614"/>
      <c r="X40" s="2614"/>
      <c r="Y40" s="2614"/>
      <c r="Z40" s="2614"/>
      <c r="AA40" s="2614"/>
      <c r="AB40" s="2602"/>
      <c r="AC40" s="2602"/>
      <c r="AD40" s="2602"/>
      <c r="AE40" s="2602"/>
      <c r="AF40" s="2602"/>
      <c r="AG40" s="2602"/>
      <c r="AH40" s="2602"/>
      <c r="AI40" s="2602"/>
      <c r="AJ40" s="2602"/>
      <c r="AK40" s="2602"/>
      <c r="AL40" s="2602"/>
      <c r="AM40" s="2602"/>
      <c r="AN40" s="2602"/>
      <c r="AO40" s="2602"/>
    </row>
    <row r="41" spans="1:41" ht="35.25" customHeight="1">
      <c r="A41" s="4492"/>
      <c r="B41" s="4533"/>
      <c r="C41" s="4482"/>
      <c r="D41" s="4484"/>
      <c r="E41" s="1810" t="s">
        <v>158</v>
      </c>
      <c r="F41" s="1802">
        <v>12.37</v>
      </c>
      <c r="G41" s="1810" t="s">
        <v>1086</v>
      </c>
      <c r="H41" s="1802">
        <v>3.71</v>
      </c>
      <c r="I41" s="1810"/>
      <c r="J41" s="1807"/>
      <c r="K41" s="1810"/>
      <c r="L41" s="1807"/>
      <c r="M41" s="4486"/>
      <c r="N41" s="4529"/>
      <c r="O41" s="4471"/>
      <c r="P41" s="4531"/>
      <c r="Q41" s="2349"/>
      <c r="R41" s="2621"/>
      <c r="S41" s="2621"/>
      <c r="T41" s="2614"/>
      <c r="U41" s="2614"/>
      <c r="V41" s="2614"/>
      <c r="W41" s="2614"/>
      <c r="X41" s="2614"/>
      <c r="Y41" s="2614"/>
      <c r="Z41" s="2614"/>
      <c r="AA41" s="2614"/>
      <c r="AB41" s="2602"/>
      <c r="AC41" s="2602"/>
      <c r="AD41" s="2602"/>
      <c r="AE41" s="2602"/>
      <c r="AF41" s="2602"/>
      <c r="AG41" s="2602"/>
      <c r="AH41" s="2602"/>
      <c r="AI41" s="2602"/>
      <c r="AJ41" s="2602"/>
      <c r="AK41" s="2602"/>
      <c r="AL41" s="2602"/>
      <c r="AM41" s="2602"/>
      <c r="AN41" s="2602"/>
      <c r="AO41" s="2602"/>
    </row>
    <row r="42" spans="1:41" ht="35.25" customHeight="1">
      <c r="A42" s="4492"/>
      <c r="B42" s="4533"/>
      <c r="C42" s="4481" t="s">
        <v>1050</v>
      </c>
      <c r="D42" s="4483">
        <v>0.33</v>
      </c>
      <c r="E42" s="2387">
        <v>10</v>
      </c>
      <c r="F42" s="1800">
        <v>5.46</v>
      </c>
      <c r="G42" s="2387" t="s">
        <v>1073</v>
      </c>
      <c r="H42" s="1800">
        <v>6.92</v>
      </c>
      <c r="I42" s="2387" t="s">
        <v>209</v>
      </c>
      <c r="J42" s="1800">
        <v>2.87</v>
      </c>
      <c r="K42" s="2387" t="s">
        <v>1060</v>
      </c>
      <c r="L42" s="1800">
        <v>1.64</v>
      </c>
      <c r="M42" s="4485">
        <f>F42+H42+J42+L42+F43+H43+J43+L43</f>
        <v>24.12</v>
      </c>
      <c r="N42" s="4528">
        <v>1</v>
      </c>
      <c r="O42" s="4470">
        <f>ROUND((M42/D42)*N42,9)</f>
        <v>73.090909091</v>
      </c>
      <c r="P42" s="4530" t="s">
        <v>1075</v>
      </c>
      <c r="Q42" s="2349"/>
      <c r="R42" s="2620"/>
      <c r="S42" s="2620"/>
      <c r="T42" s="2614"/>
      <c r="U42" s="2614"/>
      <c r="V42" s="2614"/>
      <c r="W42" s="2614"/>
      <c r="X42" s="2614"/>
      <c r="Y42" s="2614"/>
      <c r="Z42" s="2614"/>
      <c r="AA42" s="2614"/>
      <c r="AB42" s="2602"/>
      <c r="AC42" s="2602"/>
      <c r="AD42" s="2602"/>
      <c r="AE42" s="2602"/>
      <c r="AF42" s="2602"/>
      <c r="AG42" s="2602"/>
      <c r="AH42" s="2602"/>
      <c r="AI42" s="2602"/>
      <c r="AJ42" s="2602"/>
      <c r="AK42" s="2602"/>
      <c r="AL42" s="2602"/>
      <c r="AM42" s="2602"/>
      <c r="AN42" s="2602"/>
      <c r="AO42" s="2602"/>
    </row>
    <row r="43" spans="1:41" ht="35.25" customHeight="1">
      <c r="A43" s="4478"/>
      <c r="B43" s="4534"/>
      <c r="C43" s="4482"/>
      <c r="D43" s="4484"/>
      <c r="E43" s="2387" t="s">
        <v>1073</v>
      </c>
      <c r="F43" s="1800">
        <v>7.23</v>
      </c>
      <c r="G43" s="2387"/>
      <c r="H43" s="1800"/>
      <c r="I43" s="2387"/>
      <c r="J43" s="1800"/>
      <c r="K43" s="2387"/>
      <c r="L43" s="1802"/>
      <c r="M43" s="4486"/>
      <c r="N43" s="4529"/>
      <c r="O43" s="4471"/>
      <c r="P43" s="4531"/>
      <c r="Q43" s="2349"/>
      <c r="R43" s="2620"/>
      <c r="S43" s="2620"/>
      <c r="T43" s="2614"/>
      <c r="U43" s="2614"/>
      <c r="V43" s="2614"/>
      <c r="W43" s="2614"/>
      <c r="X43" s="2614"/>
      <c r="Y43" s="2614"/>
      <c r="Z43" s="2614"/>
      <c r="AA43" s="2614"/>
      <c r="AB43" s="2602"/>
      <c r="AC43" s="2602"/>
      <c r="AD43" s="2602"/>
      <c r="AE43" s="2602"/>
      <c r="AF43" s="2602"/>
      <c r="AG43" s="2602"/>
      <c r="AH43" s="2602"/>
      <c r="AI43" s="2602"/>
      <c r="AJ43" s="2602"/>
      <c r="AK43" s="2602"/>
      <c r="AL43" s="2602"/>
      <c r="AM43" s="2602"/>
      <c r="AN43" s="2602"/>
      <c r="AO43" s="2602"/>
    </row>
    <row r="44" spans="1:41" ht="35.25" customHeight="1">
      <c r="A44" s="2729" t="s">
        <v>1078</v>
      </c>
      <c r="B44" s="1818" t="s">
        <v>1063</v>
      </c>
      <c r="C44" s="1787" t="s">
        <v>818</v>
      </c>
      <c r="D44" s="1820">
        <v>1</v>
      </c>
      <c r="E44" s="2623"/>
      <c r="F44" s="1802"/>
      <c r="G44" s="2623"/>
      <c r="H44" s="1802"/>
      <c r="I44" s="2623"/>
      <c r="J44" s="1802"/>
      <c r="K44" s="2623"/>
      <c r="L44" s="1802"/>
      <c r="M44" s="1794">
        <v>18.765439999999998</v>
      </c>
      <c r="N44" s="2604">
        <v>1</v>
      </c>
      <c r="O44" s="1788">
        <f>ROUND((M44/D44)*N44,9)</f>
        <v>18.765440000000002</v>
      </c>
      <c r="P44" s="2617"/>
      <c r="Q44" s="2349"/>
      <c r="R44" s="2620"/>
      <c r="S44" s="2620"/>
      <c r="T44" s="2614"/>
      <c r="U44" s="2614"/>
      <c r="V44" s="2614"/>
      <c r="W44" s="2614"/>
      <c r="X44" s="2614"/>
      <c r="Y44" s="2614"/>
      <c r="Z44" s="2614"/>
      <c r="AA44" s="2614"/>
      <c r="AB44" s="2602"/>
      <c r="AC44" s="2602"/>
      <c r="AD44" s="2602"/>
      <c r="AE44" s="2602"/>
      <c r="AF44" s="2602"/>
      <c r="AG44" s="2602"/>
      <c r="AH44" s="2602"/>
      <c r="AI44" s="2602"/>
      <c r="AJ44" s="2602"/>
      <c r="AK44" s="2602"/>
      <c r="AL44" s="2602"/>
      <c r="AM44" s="2602"/>
      <c r="AN44" s="2602"/>
      <c r="AO44" s="2602"/>
    </row>
    <row r="45" spans="1:41" ht="35.25" customHeight="1">
      <c r="A45" s="4477" t="s">
        <v>1299</v>
      </c>
      <c r="B45" s="4479" t="s">
        <v>1064</v>
      </c>
      <c r="C45" s="2624" t="s">
        <v>1050</v>
      </c>
      <c r="D45" s="2386">
        <v>0.20829999999999999</v>
      </c>
      <c r="E45" s="1810" t="s">
        <v>1088</v>
      </c>
      <c r="F45" s="1802">
        <v>1.19</v>
      </c>
      <c r="G45" s="1810" t="s">
        <v>1092</v>
      </c>
      <c r="H45" s="1802">
        <v>6.48</v>
      </c>
      <c r="I45" s="1810" t="s">
        <v>1089</v>
      </c>
      <c r="J45" s="1802">
        <v>1.21</v>
      </c>
      <c r="K45" s="1810" t="s">
        <v>1089</v>
      </c>
      <c r="L45" s="1802">
        <v>13.34</v>
      </c>
      <c r="M45" s="4485">
        <f>F45+H45+J45+L45+F46+H46</f>
        <v>41.319999999999993</v>
      </c>
      <c r="N45" s="4487">
        <v>1</v>
      </c>
      <c r="O45" s="4470">
        <f>ROUND((M45/D45)*N45,9)</f>
        <v>198.36773883800001</v>
      </c>
      <c r="P45" s="2605"/>
      <c r="Q45" s="2343"/>
      <c r="R45" s="2625"/>
      <c r="S45" s="2625"/>
      <c r="T45" s="2614"/>
      <c r="U45" s="2614"/>
      <c r="V45" s="2614"/>
      <c r="W45" s="2614"/>
      <c r="X45" s="2614"/>
      <c r="Y45" s="2614"/>
      <c r="Z45" s="2614"/>
      <c r="AA45" s="2614"/>
      <c r="AB45" s="2602"/>
      <c r="AC45" s="2602"/>
      <c r="AD45" s="2602"/>
      <c r="AE45" s="2602"/>
      <c r="AF45" s="2602"/>
      <c r="AG45" s="2602"/>
      <c r="AH45" s="2602"/>
      <c r="AI45" s="2602"/>
      <c r="AJ45" s="2602"/>
      <c r="AK45" s="2602"/>
      <c r="AL45" s="2602"/>
      <c r="AM45" s="2602"/>
      <c r="AN45" s="2602"/>
      <c r="AO45" s="2602"/>
    </row>
    <row r="46" spans="1:41" ht="35.25" customHeight="1">
      <c r="A46" s="4478"/>
      <c r="B46" s="4480"/>
      <c r="C46" s="2626"/>
      <c r="D46" s="2627"/>
      <c r="E46" s="1810" t="s">
        <v>1090</v>
      </c>
      <c r="F46" s="1802">
        <v>8.01</v>
      </c>
      <c r="G46" s="1810" t="s">
        <v>1091</v>
      </c>
      <c r="H46" s="1802">
        <v>11.09</v>
      </c>
      <c r="I46" s="1810"/>
      <c r="J46" s="1802"/>
      <c r="K46" s="1810"/>
      <c r="L46" s="1807"/>
      <c r="M46" s="4486"/>
      <c r="N46" s="4488"/>
      <c r="O46" s="4471"/>
      <c r="P46" s="2605"/>
      <c r="Q46" s="2343"/>
      <c r="R46" s="2625"/>
      <c r="S46" s="2625"/>
      <c r="T46" s="2614"/>
      <c r="U46" s="2614"/>
      <c r="V46" s="2614"/>
      <c r="W46" s="2614"/>
      <c r="X46" s="2614"/>
      <c r="Y46" s="2614"/>
      <c r="Z46" s="2614"/>
      <c r="AA46" s="2614"/>
      <c r="AB46" s="2602"/>
      <c r="AC46" s="2602"/>
      <c r="AD46" s="2602"/>
      <c r="AE46" s="2602"/>
      <c r="AF46" s="2602"/>
      <c r="AG46" s="2602"/>
      <c r="AH46" s="2602"/>
      <c r="AI46" s="2602"/>
      <c r="AJ46" s="2602"/>
      <c r="AK46" s="2602"/>
      <c r="AL46" s="2602"/>
      <c r="AM46" s="2602"/>
      <c r="AN46" s="2602"/>
      <c r="AO46" s="2602"/>
    </row>
    <row r="47" spans="1:41" ht="35.25" customHeight="1">
      <c r="A47" s="1789">
        <v>3</v>
      </c>
      <c r="B47" s="1790" t="s">
        <v>928</v>
      </c>
      <c r="C47" s="1787"/>
      <c r="D47" s="1820"/>
      <c r="E47" s="1791"/>
      <c r="F47" s="1791"/>
      <c r="G47" s="1791"/>
      <c r="H47" s="1791"/>
      <c r="I47" s="2387"/>
      <c r="J47" s="1800"/>
      <c r="K47" s="1811"/>
      <c r="L47" s="1802"/>
      <c r="M47" s="1794"/>
      <c r="N47" s="2604"/>
      <c r="O47" s="1796">
        <f>+SUM(O48:O52)</f>
        <v>1374.04</v>
      </c>
      <c r="P47" s="2605"/>
      <c r="Q47" s="2343"/>
      <c r="R47" s="2625"/>
      <c r="S47" s="2625"/>
      <c r="T47" s="2614"/>
      <c r="U47" s="2614"/>
      <c r="V47" s="2614"/>
      <c r="W47" s="2614"/>
      <c r="X47" s="2614"/>
      <c r="Y47" s="2614"/>
      <c r="Z47" s="2614"/>
      <c r="AA47" s="2614"/>
      <c r="AB47" s="2602"/>
      <c r="AC47" s="2602"/>
      <c r="AD47" s="2602"/>
      <c r="AE47" s="2602"/>
      <c r="AF47" s="2602"/>
      <c r="AG47" s="2602"/>
      <c r="AH47" s="2602"/>
      <c r="AI47" s="2602"/>
      <c r="AJ47" s="2602"/>
      <c r="AK47" s="2602"/>
      <c r="AL47" s="2602"/>
      <c r="AM47" s="2602"/>
      <c r="AN47" s="2602"/>
      <c r="AO47" s="2602"/>
    </row>
    <row r="48" spans="1:41" ht="35.25" customHeight="1">
      <c r="A48" s="1798" t="s">
        <v>889</v>
      </c>
      <c r="B48" s="1818" t="s">
        <v>1080</v>
      </c>
      <c r="C48" s="1787" t="s">
        <v>959</v>
      </c>
      <c r="D48" s="1820">
        <f>25000/200000</f>
        <v>0.125</v>
      </c>
      <c r="E48" s="1810"/>
      <c r="F48" s="1802"/>
      <c r="G48" s="1811"/>
      <c r="H48" s="1802"/>
      <c r="I48" s="1811"/>
      <c r="J48" s="1802"/>
      <c r="K48" s="2379"/>
      <c r="L48" s="1807"/>
      <c r="M48" s="1794">
        <f>6+13+73</f>
        <v>92</v>
      </c>
      <c r="N48" s="2604">
        <v>1</v>
      </c>
      <c r="O48" s="1788">
        <f t="shared" ref="O48:O52" si="3">ROUND((M48/D48)*N48,9)</f>
        <v>736</v>
      </c>
      <c r="P48" s="2605"/>
      <c r="Q48" s="2343"/>
      <c r="R48" s="2625"/>
      <c r="S48" s="2625"/>
      <c r="T48" s="2614"/>
      <c r="U48" s="2614"/>
      <c r="V48" s="2614"/>
      <c r="W48" s="2614"/>
      <c r="X48" s="2614"/>
      <c r="Y48" s="2614"/>
      <c r="Z48" s="2614"/>
      <c r="AA48" s="2614"/>
      <c r="AB48" s="2602"/>
      <c r="AC48" s="2602"/>
      <c r="AD48" s="2602"/>
      <c r="AE48" s="2602"/>
      <c r="AF48" s="2602"/>
      <c r="AG48" s="2602"/>
      <c r="AH48" s="2602"/>
      <c r="AI48" s="2602"/>
      <c r="AJ48" s="2602"/>
      <c r="AK48" s="2602"/>
      <c r="AL48" s="2602"/>
      <c r="AM48" s="2602"/>
      <c r="AN48" s="2602"/>
      <c r="AO48" s="2602"/>
    </row>
    <row r="49" spans="1:41" ht="35.25" customHeight="1">
      <c r="A49" s="1798" t="s">
        <v>970</v>
      </c>
      <c r="B49" s="1818" t="s">
        <v>1298</v>
      </c>
      <c r="C49" s="1787" t="s">
        <v>959</v>
      </c>
      <c r="D49" s="1820">
        <f>1/3</f>
        <v>0.33333333333333331</v>
      </c>
      <c r="E49" s="1810"/>
      <c r="F49" s="1802"/>
      <c r="G49" s="1811"/>
      <c r="H49" s="1802"/>
      <c r="I49" s="1811"/>
      <c r="J49" s="1802"/>
      <c r="K49" s="2379"/>
      <c r="L49" s="1807"/>
      <c r="M49" s="1794">
        <v>21</v>
      </c>
      <c r="N49" s="2604">
        <v>1</v>
      </c>
      <c r="O49" s="1788">
        <f t="shared" si="3"/>
        <v>63</v>
      </c>
      <c r="P49" s="2605"/>
      <c r="Q49" s="2343"/>
      <c r="R49" s="2625"/>
      <c r="S49" s="2625"/>
      <c r="T49" s="2614"/>
      <c r="U49" s="2614"/>
      <c r="V49" s="2614"/>
      <c r="W49" s="2614"/>
      <c r="X49" s="2614"/>
      <c r="Y49" s="2614"/>
      <c r="Z49" s="2614"/>
      <c r="AA49" s="2614"/>
      <c r="AB49" s="2602"/>
      <c r="AC49" s="2602"/>
      <c r="AD49" s="2602"/>
      <c r="AE49" s="2602"/>
      <c r="AF49" s="2602"/>
      <c r="AG49" s="2602"/>
      <c r="AH49" s="2602"/>
      <c r="AI49" s="2602"/>
      <c r="AJ49" s="2602"/>
      <c r="AK49" s="2602"/>
      <c r="AL49" s="2602"/>
      <c r="AM49" s="2602"/>
      <c r="AN49" s="2602"/>
      <c r="AO49" s="2602"/>
    </row>
    <row r="50" spans="1:41" ht="35.25" customHeight="1">
      <c r="A50" s="1798" t="s">
        <v>1079</v>
      </c>
      <c r="B50" s="1818" t="s">
        <v>1046</v>
      </c>
      <c r="C50" s="1787" t="s">
        <v>959</v>
      </c>
      <c r="D50" s="1820">
        <f>25000/150000</f>
        <v>0.16666666666666666</v>
      </c>
      <c r="E50" s="1810"/>
      <c r="F50" s="1802"/>
      <c r="G50" s="1811"/>
      <c r="H50" s="1802"/>
      <c r="I50" s="1811"/>
      <c r="J50" s="1802"/>
      <c r="K50" s="2379"/>
      <c r="L50" s="1807"/>
      <c r="M50" s="1794">
        <v>38</v>
      </c>
      <c r="N50" s="2604">
        <v>1</v>
      </c>
      <c r="O50" s="1788">
        <f t="shared" si="3"/>
        <v>228</v>
      </c>
      <c r="P50" s="2605"/>
      <c r="Q50" s="2343"/>
      <c r="R50" s="2628"/>
      <c r="S50" s="2625"/>
      <c r="T50" s="2614"/>
      <c r="U50" s="2614"/>
      <c r="V50" s="2614"/>
      <c r="W50" s="2614"/>
      <c r="X50" s="2614"/>
      <c r="Y50" s="2614"/>
      <c r="Z50" s="2614"/>
      <c r="AA50" s="2614"/>
      <c r="AB50" s="2602"/>
      <c r="AC50" s="2602"/>
      <c r="AD50" s="2602"/>
      <c r="AE50" s="2602"/>
      <c r="AF50" s="2602"/>
      <c r="AG50" s="2602"/>
      <c r="AH50" s="2602"/>
      <c r="AI50" s="2602"/>
      <c r="AJ50" s="2602"/>
      <c r="AK50" s="2602"/>
      <c r="AL50" s="2602"/>
      <c r="AM50" s="2602"/>
      <c r="AN50" s="2602"/>
      <c r="AO50" s="2602"/>
    </row>
    <row r="51" spans="1:41" ht="35.25" customHeight="1">
      <c r="A51" s="1798" t="s">
        <v>1081</v>
      </c>
      <c r="B51" s="1818" t="s">
        <v>204</v>
      </c>
      <c r="C51" s="1787" t="s">
        <v>959</v>
      </c>
      <c r="D51" s="1820">
        <v>1.25</v>
      </c>
      <c r="E51" s="1810"/>
      <c r="F51" s="1802"/>
      <c r="G51" s="1811"/>
      <c r="H51" s="1802"/>
      <c r="I51" s="1811"/>
      <c r="J51" s="1802"/>
      <c r="K51" s="2379"/>
      <c r="L51" s="1807"/>
      <c r="M51" s="1794">
        <v>90</v>
      </c>
      <c r="N51" s="2604">
        <v>1</v>
      </c>
      <c r="O51" s="1788">
        <f t="shared" si="3"/>
        <v>72</v>
      </c>
      <c r="P51" s="2605"/>
      <c r="Q51" s="2343"/>
      <c r="R51" s="2625"/>
      <c r="S51" s="2625"/>
      <c r="T51" s="2625"/>
      <c r="U51" s="2625"/>
      <c r="V51" s="2625"/>
      <c r="W51" s="2625"/>
      <c r="X51" s="2625"/>
      <c r="Y51" s="2625"/>
      <c r="Z51" s="2625"/>
      <c r="AA51" s="2625"/>
      <c r="AB51" s="2629"/>
      <c r="AC51" s="2629"/>
      <c r="AD51" s="2629"/>
      <c r="AE51" s="2629"/>
      <c r="AF51" s="2629"/>
      <c r="AG51" s="2629"/>
      <c r="AH51" s="2602"/>
      <c r="AI51" s="2602"/>
      <c r="AJ51" s="2602"/>
      <c r="AK51" s="2602"/>
      <c r="AL51" s="2602"/>
      <c r="AM51" s="2602"/>
      <c r="AN51" s="2602"/>
      <c r="AO51" s="2602"/>
    </row>
    <row r="52" spans="1:41" ht="35.25" customHeight="1">
      <c r="A52" s="1798" t="s">
        <v>1082</v>
      </c>
      <c r="B52" s="1818" t="s">
        <v>1049</v>
      </c>
      <c r="C52" s="1787" t="s">
        <v>1050</v>
      </c>
      <c r="D52" s="1820">
        <f>1/16</f>
        <v>6.25E-2</v>
      </c>
      <c r="E52" s="1810" t="s">
        <v>1102</v>
      </c>
      <c r="F52" s="1802">
        <v>13.48</v>
      </c>
      <c r="G52" s="1810" t="s">
        <v>1100</v>
      </c>
      <c r="H52" s="1802">
        <v>3.71</v>
      </c>
      <c r="I52" s="1810"/>
      <c r="J52" s="1802"/>
      <c r="K52" s="1810"/>
      <c r="L52" s="2341"/>
      <c r="M52" s="1794">
        <f>F52+H52+J52+L52</f>
        <v>17.190000000000001</v>
      </c>
      <c r="N52" s="2604">
        <v>1</v>
      </c>
      <c r="O52" s="1788">
        <f t="shared" si="3"/>
        <v>275.04000000000002</v>
      </c>
      <c r="P52" s="2605"/>
      <c r="Q52" s="2343"/>
      <c r="R52" s="2625"/>
      <c r="S52" s="2625"/>
      <c r="T52" s="2625"/>
      <c r="U52" s="2625"/>
      <c r="V52" s="2625"/>
      <c r="W52" s="2625"/>
      <c r="X52" s="2625"/>
      <c r="Y52" s="2625"/>
      <c r="Z52" s="2625"/>
      <c r="AA52" s="2625"/>
      <c r="AB52" s="2629"/>
      <c r="AC52" s="2629"/>
      <c r="AD52" s="2629"/>
      <c r="AE52" s="2629"/>
      <c r="AF52" s="2629"/>
      <c r="AG52" s="2629"/>
      <c r="AH52" s="2602"/>
      <c r="AI52" s="2602"/>
      <c r="AJ52" s="2602"/>
      <c r="AK52" s="2602"/>
      <c r="AL52" s="2602"/>
      <c r="AM52" s="2602"/>
      <c r="AN52" s="2602"/>
      <c r="AO52" s="2602"/>
    </row>
    <row r="53" spans="1:41" ht="32.25" customHeight="1">
      <c r="A53" s="1772" t="s">
        <v>1300</v>
      </c>
      <c r="B53" s="1790" t="s">
        <v>825</v>
      </c>
      <c r="C53" s="1815"/>
      <c r="D53" s="2356"/>
      <c r="E53" s="2731"/>
      <c r="F53" s="2731"/>
      <c r="G53" s="2731"/>
      <c r="H53" s="2731"/>
      <c r="I53" s="2731"/>
      <c r="J53" s="2731"/>
      <c r="K53" s="2731"/>
      <c r="L53" s="2337"/>
      <c r="M53" s="1794"/>
      <c r="N53" s="2630"/>
      <c r="O53" s="1778">
        <f>SUM(O54:O54)</f>
        <v>416</v>
      </c>
      <c r="P53" s="2631"/>
      <c r="Q53" s="2335"/>
      <c r="R53" s="2625"/>
      <c r="S53" s="2625"/>
      <c r="T53" s="2614"/>
      <c r="U53" s="2614"/>
      <c r="V53" s="2614"/>
      <c r="W53" s="2614"/>
      <c r="X53" s="2614"/>
      <c r="Y53" s="2614"/>
      <c r="Z53" s="2614"/>
      <c r="AA53" s="2614"/>
      <c r="AB53" s="2602"/>
      <c r="AC53" s="2602"/>
      <c r="AD53" s="2602"/>
      <c r="AE53" s="2602"/>
      <c r="AF53" s="2602"/>
      <c r="AG53" s="2602"/>
      <c r="AH53" s="2602"/>
      <c r="AI53" s="2602"/>
      <c r="AJ53" s="2602"/>
      <c r="AK53" s="2602"/>
      <c r="AL53" s="2602"/>
      <c r="AM53" s="2602"/>
      <c r="AN53" s="2602"/>
      <c r="AO53" s="2602"/>
    </row>
    <row r="54" spans="1:41" ht="32.25" customHeight="1">
      <c r="A54" s="1798">
        <v>1</v>
      </c>
      <c r="B54" s="1818" t="s">
        <v>826</v>
      </c>
      <c r="C54" s="2632" t="s">
        <v>362</v>
      </c>
      <c r="D54" s="2633"/>
      <c r="E54" s="4527" t="s">
        <v>1229</v>
      </c>
      <c r="F54" s="4527"/>
      <c r="G54" s="4527"/>
      <c r="H54" s="4527"/>
      <c r="I54" s="4527"/>
      <c r="J54" s="4527"/>
      <c r="K54" s="2634"/>
      <c r="L54" s="2633"/>
      <c r="M54" s="2635"/>
      <c r="N54" s="2636"/>
      <c r="O54" s="1823">
        <f>4*2600000/25000</f>
        <v>416</v>
      </c>
      <c r="P54" s="2637"/>
      <c r="Q54" s="2357"/>
      <c r="R54" s="2625"/>
      <c r="S54" s="2625"/>
      <c r="T54" s="2614"/>
      <c r="U54" s="2614"/>
      <c r="V54" s="2614"/>
      <c r="W54" s="2614"/>
      <c r="X54" s="2614"/>
      <c r="Y54" s="2614"/>
      <c r="Z54" s="2614"/>
      <c r="AA54" s="2614"/>
      <c r="AB54" s="2602"/>
      <c r="AC54" s="2602"/>
      <c r="AD54" s="2602"/>
      <c r="AE54" s="2602"/>
      <c r="AF54" s="2602"/>
      <c r="AG54" s="2602"/>
      <c r="AH54" s="2602"/>
      <c r="AI54" s="2602"/>
      <c r="AJ54" s="2602"/>
      <c r="AK54" s="2602"/>
      <c r="AL54" s="2602"/>
      <c r="AM54" s="2602"/>
      <c r="AN54" s="2602"/>
      <c r="AO54" s="2602"/>
    </row>
    <row r="55" spans="1:41" ht="32.25" customHeight="1">
      <c r="A55" s="4473" t="s">
        <v>1230</v>
      </c>
      <c r="B55" s="4473"/>
      <c r="C55" s="4473"/>
      <c r="D55" s="2638"/>
      <c r="E55" s="2639"/>
      <c r="F55" s="2639"/>
      <c r="G55" s="2639"/>
      <c r="H55" s="2639"/>
      <c r="I55" s="2639"/>
      <c r="J55" s="2639"/>
      <c r="K55" s="2639"/>
      <c r="L55" s="2640"/>
      <c r="M55" s="1827"/>
      <c r="N55" s="2639"/>
      <c r="O55" s="1828">
        <f>O11+O53</f>
        <v>5160.258907929001</v>
      </c>
      <c r="P55" s="2641"/>
      <c r="Q55" s="2336"/>
      <c r="R55" s="2625"/>
      <c r="S55" s="2625"/>
      <c r="T55" s="2614"/>
      <c r="U55" s="2614"/>
      <c r="V55" s="2614"/>
      <c r="W55" s="2614"/>
      <c r="X55" s="2614"/>
      <c r="Y55" s="2614"/>
      <c r="Z55" s="2614"/>
      <c r="AA55" s="2614"/>
      <c r="AB55" s="2602"/>
      <c r="AC55" s="2602"/>
      <c r="AD55" s="2602"/>
      <c r="AE55" s="2602"/>
      <c r="AF55" s="2602"/>
      <c r="AG55" s="2602"/>
      <c r="AH55" s="2602"/>
      <c r="AI55" s="2602"/>
      <c r="AJ55" s="2602"/>
      <c r="AK55" s="2602"/>
      <c r="AL55" s="2602"/>
      <c r="AM55" s="2602"/>
      <c r="AN55" s="2602"/>
      <c r="AO55" s="2602"/>
    </row>
    <row r="56" spans="1:41" ht="20.45" customHeight="1">
      <c r="A56" s="1830"/>
      <c r="B56" s="1831"/>
      <c r="C56" s="1832"/>
      <c r="D56" s="2359"/>
      <c r="E56" s="1834"/>
      <c r="F56" s="1835"/>
      <c r="G56" s="1834"/>
      <c r="H56" s="1835"/>
      <c r="I56" s="2734"/>
      <c r="J56" s="1833"/>
      <c r="K56" s="2734"/>
      <c r="L56" s="4474" t="s">
        <v>1301</v>
      </c>
      <c r="M56" s="4474"/>
      <c r="N56" s="4474"/>
      <c r="O56" s="4474"/>
      <c r="P56" s="4474"/>
      <c r="Q56" s="2360"/>
      <c r="R56" s="2625"/>
      <c r="S56" s="2625"/>
      <c r="T56" s="2614"/>
      <c r="U56" s="2614"/>
      <c r="V56" s="2614"/>
      <c r="W56" s="2614"/>
      <c r="X56" s="2614"/>
      <c r="Y56" s="2614"/>
      <c r="Z56" s="2614"/>
      <c r="AA56" s="2614"/>
      <c r="AB56" s="2602"/>
      <c r="AC56" s="2602"/>
      <c r="AD56" s="2602"/>
      <c r="AE56" s="2602"/>
      <c r="AF56" s="2602"/>
      <c r="AG56" s="2602"/>
      <c r="AH56" s="2602"/>
      <c r="AI56" s="2602"/>
      <c r="AJ56" s="2602"/>
      <c r="AK56" s="2602"/>
      <c r="AL56" s="2602"/>
      <c r="AM56" s="2602"/>
      <c r="AN56" s="2602"/>
      <c r="AO56" s="2602"/>
    </row>
    <row r="57" spans="1:41" ht="20.45" customHeight="1">
      <c r="A57" s="4475"/>
      <c r="B57" s="4475"/>
      <c r="C57" s="4475"/>
      <c r="D57" s="4475"/>
      <c r="E57" s="4475"/>
      <c r="F57" s="1836"/>
      <c r="G57" s="1836"/>
      <c r="H57" s="4476"/>
      <c r="I57" s="4476"/>
      <c r="J57" s="4476"/>
      <c r="K57" s="2728"/>
      <c r="L57" s="4475" t="s">
        <v>827</v>
      </c>
      <c r="M57" s="4475"/>
      <c r="N57" s="4475"/>
      <c r="O57" s="4475"/>
      <c r="P57" s="4475"/>
      <c r="Q57" s="2727"/>
      <c r="R57" s="2614"/>
      <c r="S57" s="2614"/>
      <c r="T57" s="2614"/>
      <c r="U57" s="2614"/>
      <c r="V57" s="2614"/>
      <c r="W57" s="2614"/>
      <c r="X57" s="2614"/>
      <c r="Y57" s="2614"/>
      <c r="Z57" s="2614"/>
      <c r="AA57" s="2614"/>
      <c r="AB57" s="2602"/>
      <c r="AC57" s="2602"/>
      <c r="AD57" s="2602"/>
      <c r="AE57" s="2602"/>
      <c r="AF57" s="2602"/>
      <c r="AG57" s="2602"/>
      <c r="AH57" s="2602"/>
      <c r="AI57" s="2602"/>
      <c r="AJ57" s="2602"/>
      <c r="AK57" s="2602"/>
      <c r="AL57" s="2602"/>
      <c r="AM57" s="2602"/>
      <c r="AN57" s="2602"/>
      <c r="AO57" s="2602"/>
    </row>
    <row r="58" spans="1:41" ht="20.45" customHeight="1">
      <c r="A58" s="1837"/>
      <c r="B58" s="1838"/>
      <c r="C58" s="1839"/>
      <c r="D58" s="2361"/>
      <c r="E58" s="1840"/>
      <c r="F58" s="1839"/>
      <c r="G58" s="1841"/>
      <c r="H58" s="1839"/>
      <c r="I58" s="2362"/>
      <c r="J58" s="2730"/>
      <c r="K58" s="2362"/>
      <c r="L58" s="2361"/>
      <c r="M58" s="2642"/>
      <c r="N58" s="1843"/>
      <c r="O58" s="4489"/>
      <c r="P58" s="4489"/>
      <c r="Q58" s="2730"/>
      <c r="R58" s="2602"/>
      <c r="S58" s="2602"/>
      <c r="T58" s="2602"/>
      <c r="U58" s="2602"/>
      <c r="V58" s="2602"/>
      <c r="W58" s="2602"/>
      <c r="X58" s="2602"/>
      <c r="Y58" s="2602"/>
      <c r="Z58" s="2602"/>
      <c r="AA58" s="2602"/>
      <c r="AB58" s="2602"/>
      <c r="AC58" s="2602"/>
      <c r="AD58" s="2602"/>
      <c r="AE58" s="2602"/>
      <c r="AF58" s="2602"/>
      <c r="AG58" s="2602"/>
      <c r="AH58" s="2602"/>
      <c r="AI58" s="2602"/>
      <c r="AJ58" s="2602"/>
      <c r="AK58" s="2602"/>
      <c r="AL58" s="2602"/>
      <c r="AM58" s="2602"/>
      <c r="AN58" s="2602"/>
      <c r="AO58" s="2602"/>
    </row>
    <row r="59" spans="1:41" ht="20.45" customHeight="1">
      <c r="A59" s="1837"/>
      <c r="B59" s="1838"/>
      <c r="C59" s="1838"/>
      <c r="D59" s="2363"/>
      <c r="E59" s="1844"/>
      <c r="F59" s="1845"/>
      <c r="G59" s="1754"/>
      <c r="H59" s="1845"/>
      <c r="I59" s="2331"/>
      <c r="J59" s="2364"/>
      <c r="K59" s="2365"/>
      <c r="L59" s="2366"/>
      <c r="M59" s="2643"/>
      <c r="N59" s="1845"/>
      <c r="P59" s="1837"/>
      <c r="Q59" s="1837"/>
      <c r="R59" s="2602"/>
      <c r="S59" s="2602"/>
      <c r="T59" s="2602"/>
      <c r="U59" s="2602"/>
      <c r="V59" s="2602"/>
      <c r="W59" s="2602"/>
      <c r="X59" s="2602"/>
      <c r="Y59" s="2602"/>
      <c r="Z59" s="2602"/>
      <c r="AA59" s="2602"/>
      <c r="AB59" s="2602"/>
      <c r="AC59" s="2602"/>
      <c r="AD59" s="2602"/>
      <c r="AE59" s="2602"/>
      <c r="AF59" s="2602"/>
      <c r="AG59" s="2602"/>
      <c r="AH59" s="2602"/>
      <c r="AI59" s="2602"/>
      <c r="AJ59" s="2602"/>
      <c r="AK59" s="2602"/>
      <c r="AL59" s="2602"/>
      <c r="AM59" s="2602"/>
      <c r="AN59" s="2602"/>
      <c r="AO59" s="2602"/>
    </row>
    <row r="60" spans="1:41" ht="20.45" customHeight="1">
      <c r="A60" s="1837"/>
      <c r="B60" s="1838"/>
      <c r="C60" s="1838"/>
      <c r="D60" s="2363"/>
      <c r="E60" s="1844"/>
      <c r="F60" s="1845"/>
      <c r="G60" s="1754"/>
      <c r="H60" s="1845"/>
      <c r="I60" s="2331"/>
      <c r="J60" s="2364"/>
      <c r="K60" s="2365"/>
      <c r="L60" s="2366"/>
      <c r="M60" s="2643"/>
      <c r="N60" s="1845"/>
      <c r="P60" s="1837"/>
      <c r="Q60" s="1837"/>
      <c r="R60" s="2602"/>
      <c r="S60" s="2602"/>
      <c r="T60" s="2602"/>
      <c r="U60" s="2602"/>
      <c r="V60" s="2602"/>
      <c r="W60" s="2602"/>
      <c r="X60" s="2602"/>
      <c r="Y60" s="2602"/>
      <c r="Z60" s="2602"/>
      <c r="AA60" s="2602"/>
      <c r="AB60" s="2602"/>
      <c r="AC60" s="2602"/>
      <c r="AD60" s="2602"/>
      <c r="AE60" s="2602"/>
      <c r="AF60" s="2602"/>
      <c r="AG60" s="2602"/>
      <c r="AH60" s="2602"/>
      <c r="AI60" s="2602"/>
      <c r="AJ60" s="2602"/>
      <c r="AK60" s="2602"/>
      <c r="AL60" s="2602"/>
      <c r="AM60" s="2602"/>
      <c r="AN60" s="2602"/>
      <c r="AO60" s="2602"/>
    </row>
    <row r="61" spans="1:41" ht="21.75" customHeight="1">
      <c r="A61" s="4490"/>
      <c r="B61" s="4490"/>
      <c r="C61" s="4490"/>
      <c r="D61" s="4490"/>
      <c r="E61" s="4490"/>
      <c r="F61" s="1848"/>
      <c r="G61" s="1849"/>
      <c r="H61" s="4468"/>
      <c r="I61" s="4468"/>
      <c r="J61" s="4468"/>
      <c r="K61" s="2367"/>
      <c r="L61" s="2368"/>
      <c r="M61" s="4468"/>
      <c r="N61" s="4468"/>
      <c r="O61" s="4468"/>
      <c r="P61" s="4468"/>
      <c r="Q61" s="2724"/>
      <c r="R61" s="2602"/>
      <c r="S61" s="2602"/>
      <c r="T61" s="2602"/>
      <c r="U61" s="2602"/>
      <c r="V61" s="2602"/>
      <c r="W61" s="2602"/>
      <c r="X61" s="2602"/>
      <c r="Y61" s="2602"/>
      <c r="Z61" s="2602"/>
      <c r="AA61" s="2602"/>
      <c r="AB61" s="2602"/>
      <c r="AC61" s="2602"/>
      <c r="AD61" s="2602"/>
      <c r="AE61" s="2602"/>
      <c r="AF61" s="2602"/>
      <c r="AG61" s="2602"/>
      <c r="AH61" s="2602"/>
      <c r="AI61" s="2602"/>
      <c r="AJ61" s="2602"/>
      <c r="AK61" s="2602"/>
      <c r="AL61" s="2602"/>
      <c r="AM61" s="2602"/>
      <c r="AN61" s="2602"/>
      <c r="AO61" s="2602"/>
    </row>
    <row r="62" spans="1:41" ht="17.45" customHeight="1">
      <c r="A62" s="4469" t="s">
        <v>828</v>
      </c>
      <c r="B62" s="4469"/>
      <c r="C62" s="4469"/>
      <c r="D62" s="4469"/>
      <c r="E62" s="4469"/>
      <c r="F62" s="4469"/>
      <c r="G62" s="4469"/>
      <c r="H62" s="4469"/>
      <c r="I62" s="4469"/>
      <c r="J62" s="4469"/>
      <c r="K62" s="4469"/>
      <c r="L62" s="4469"/>
      <c r="M62" s="4469"/>
      <c r="N62" s="4469"/>
      <c r="O62" s="4469"/>
      <c r="P62" s="4469"/>
      <c r="Q62" s="2725"/>
      <c r="R62" s="2602"/>
      <c r="S62" s="2602"/>
      <c r="T62" s="2602"/>
      <c r="U62" s="2602"/>
      <c r="V62" s="2602"/>
      <c r="W62" s="2602"/>
      <c r="X62" s="2602"/>
      <c r="Y62" s="2602"/>
      <c r="Z62" s="2602"/>
      <c r="AA62" s="2602"/>
      <c r="AB62" s="2602"/>
      <c r="AC62" s="2602"/>
      <c r="AD62" s="2602"/>
      <c r="AE62" s="2602"/>
      <c r="AF62" s="2602"/>
      <c r="AG62" s="2602"/>
      <c r="AH62" s="2602"/>
      <c r="AI62" s="2602"/>
      <c r="AJ62" s="2602"/>
      <c r="AK62" s="2602"/>
      <c r="AL62" s="2602"/>
      <c r="AM62" s="2602"/>
      <c r="AN62" s="2602"/>
      <c r="AO62" s="2602"/>
    </row>
    <row r="63" spans="1:41" ht="27.75" customHeight="1">
      <c r="A63" s="4464" t="s">
        <v>1302</v>
      </c>
      <c r="B63" s="4464"/>
      <c r="C63" s="4464"/>
      <c r="D63" s="4464"/>
      <c r="E63" s="4464"/>
      <c r="F63" s="4464"/>
      <c r="G63" s="4464"/>
      <c r="H63" s="4464"/>
      <c r="I63" s="4464"/>
      <c r="J63" s="4464"/>
      <c r="K63" s="4464"/>
      <c r="L63" s="4464"/>
      <c r="M63" s="4464"/>
      <c r="N63" s="4464"/>
      <c r="O63" s="4464"/>
      <c r="P63" s="4464"/>
      <c r="Q63" s="2726"/>
      <c r="R63" s="2602"/>
      <c r="S63" s="2602"/>
      <c r="T63" s="2602"/>
      <c r="U63" s="2602"/>
      <c r="V63" s="2602"/>
      <c r="W63" s="2602"/>
      <c r="X63" s="2602"/>
      <c r="Y63" s="2602"/>
      <c r="Z63" s="2602"/>
      <c r="AA63" s="2602"/>
      <c r="AB63" s="2602"/>
      <c r="AC63" s="2602"/>
      <c r="AD63" s="2602"/>
      <c r="AE63" s="2602"/>
      <c r="AF63" s="2602"/>
      <c r="AG63" s="2602"/>
      <c r="AH63" s="2602"/>
      <c r="AI63" s="2602"/>
      <c r="AJ63" s="2602"/>
      <c r="AK63" s="2602"/>
      <c r="AL63" s="2602"/>
      <c r="AM63" s="2602"/>
      <c r="AN63" s="2602"/>
      <c r="AO63" s="2602"/>
    </row>
    <row r="64" spans="1:41" ht="27.75" customHeight="1">
      <c r="R64" s="2602"/>
      <c r="S64" s="2602"/>
      <c r="T64" s="2602"/>
      <c r="U64" s="2602"/>
      <c r="V64" s="2602"/>
      <c r="W64" s="2602"/>
      <c r="X64" s="2602"/>
      <c r="Y64" s="2602"/>
      <c r="Z64" s="2602"/>
      <c r="AA64" s="2602"/>
      <c r="AB64" s="2602"/>
      <c r="AC64" s="2602"/>
      <c r="AD64" s="2602"/>
      <c r="AE64" s="2602"/>
      <c r="AF64" s="2602"/>
      <c r="AG64" s="2602"/>
      <c r="AH64" s="2602"/>
      <c r="AI64" s="2602"/>
      <c r="AJ64" s="2602"/>
      <c r="AK64" s="2602"/>
      <c r="AL64" s="2602"/>
      <c r="AM64" s="2602"/>
      <c r="AN64" s="2602"/>
      <c r="AO64" s="2602"/>
    </row>
    <row r="65" spans="14:41" ht="27.75" customHeight="1">
      <c r="R65" s="2602"/>
      <c r="S65" s="2602"/>
      <c r="T65" s="2602"/>
      <c r="U65" s="2602"/>
      <c r="V65" s="2602"/>
      <c r="W65" s="2602"/>
      <c r="X65" s="2602"/>
      <c r="Y65" s="2602"/>
      <c r="Z65" s="2602"/>
      <c r="AA65" s="2602"/>
      <c r="AB65" s="2602"/>
      <c r="AC65" s="2602"/>
      <c r="AD65" s="2602"/>
      <c r="AE65" s="2602"/>
      <c r="AF65" s="2602"/>
      <c r="AG65" s="2602"/>
      <c r="AH65" s="2602"/>
      <c r="AI65" s="2602"/>
      <c r="AJ65" s="2602"/>
      <c r="AK65" s="2602"/>
      <c r="AL65" s="2602"/>
      <c r="AM65" s="2602"/>
      <c r="AN65" s="2602"/>
      <c r="AO65" s="2602"/>
    </row>
    <row r="66" spans="14:41" ht="27.75" customHeight="1">
      <c r="N66" s="1851"/>
      <c r="R66" s="2602"/>
      <c r="S66" s="2602"/>
      <c r="T66" s="2602"/>
      <c r="U66" s="2602"/>
      <c r="V66" s="2602"/>
      <c r="W66" s="2602"/>
      <c r="X66" s="2602"/>
      <c r="Y66" s="2602"/>
      <c r="Z66" s="2602"/>
      <c r="AA66" s="2602"/>
      <c r="AB66" s="2602"/>
      <c r="AC66" s="2602"/>
      <c r="AD66" s="2602"/>
      <c r="AE66" s="2602"/>
      <c r="AF66" s="2602"/>
      <c r="AG66" s="2602"/>
      <c r="AH66" s="2602"/>
      <c r="AI66" s="2602"/>
      <c r="AJ66" s="2602"/>
      <c r="AK66" s="2602"/>
      <c r="AL66" s="2602"/>
      <c r="AM66" s="2602"/>
      <c r="AN66" s="2602"/>
      <c r="AO66" s="2602"/>
    </row>
    <row r="67" spans="14:41" ht="27.75" customHeight="1">
      <c r="R67" s="2602"/>
      <c r="S67" s="2602"/>
      <c r="T67" s="2602"/>
      <c r="U67" s="2602"/>
      <c r="V67" s="2602"/>
      <c r="W67" s="2602"/>
      <c r="X67" s="2602"/>
      <c r="Y67" s="2602"/>
      <c r="Z67" s="2602"/>
      <c r="AA67" s="2602"/>
      <c r="AB67" s="2602"/>
      <c r="AC67" s="2602"/>
      <c r="AD67" s="2602"/>
      <c r="AE67" s="2602"/>
      <c r="AF67" s="2602"/>
      <c r="AG67" s="2602"/>
      <c r="AH67" s="2602"/>
      <c r="AI67" s="2602"/>
      <c r="AJ67" s="2602"/>
      <c r="AK67" s="2602"/>
      <c r="AL67" s="2602"/>
      <c r="AM67" s="2602"/>
      <c r="AN67" s="2602"/>
      <c r="AO67" s="2602"/>
    </row>
    <row r="68" spans="14:41" ht="27.75" customHeight="1">
      <c r="R68" s="2602"/>
      <c r="S68" s="2602"/>
      <c r="T68" s="2602"/>
      <c r="U68" s="2602"/>
      <c r="V68" s="2602"/>
      <c r="W68" s="2602"/>
      <c r="X68" s="2602"/>
      <c r="Y68" s="2602"/>
      <c r="Z68" s="2602"/>
      <c r="AA68" s="2602"/>
      <c r="AB68" s="2602"/>
      <c r="AC68" s="2602"/>
      <c r="AD68" s="2602"/>
      <c r="AE68" s="2602"/>
      <c r="AF68" s="2602"/>
      <c r="AG68" s="2602"/>
      <c r="AH68" s="2602"/>
      <c r="AI68" s="2602"/>
      <c r="AJ68" s="2602"/>
      <c r="AK68" s="2602"/>
      <c r="AL68" s="2602"/>
      <c r="AM68" s="2602"/>
      <c r="AN68" s="2602"/>
      <c r="AO68" s="2602"/>
    </row>
    <row r="69" spans="14:41" ht="27.75" customHeight="1">
      <c r="R69" s="2602"/>
      <c r="S69" s="2602"/>
      <c r="T69" s="2602"/>
      <c r="U69" s="2602"/>
      <c r="V69" s="2602"/>
      <c r="W69" s="2602"/>
      <c r="X69" s="2602"/>
      <c r="Y69" s="2602"/>
      <c r="Z69" s="2602"/>
      <c r="AA69" s="2602"/>
      <c r="AB69" s="2602"/>
      <c r="AC69" s="2602"/>
      <c r="AD69" s="2602"/>
      <c r="AE69" s="2602"/>
      <c r="AF69" s="2602"/>
      <c r="AG69" s="2602"/>
      <c r="AH69" s="2602"/>
      <c r="AI69" s="2602"/>
      <c r="AJ69" s="2602"/>
      <c r="AK69" s="2602"/>
      <c r="AL69" s="2602"/>
      <c r="AM69" s="2602"/>
      <c r="AN69" s="2602"/>
      <c r="AO69" s="2602"/>
    </row>
    <row r="70" spans="14:41" ht="27.75" customHeight="1">
      <c r="R70" s="2602"/>
      <c r="S70" s="2602"/>
      <c r="T70" s="2602"/>
      <c r="U70" s="2602"/>
      <c r="V70" s="2602"/>
      <c r="W70" s="2602"/>
      <c r="X70" s="2602"/>
      <c r="Y70" s="2602"/>
      <c r="Z70" s="2602"/>
      <c r="AA70" s="2602"/>
      <c r="AB70" s="2602"/>
      <c r="AC70" s="2602"/>
      <c r="AD70" s="2602"/>
      <c r="AE70" s="2602"/>
      <c r="AF70" s="2602"/>
      <c r="AG70" s="2602"/>
      <c r="AH70" s="2602"/>
      <c r="AI70" s="2602"/>
      <c r="AJ70" s="2602"/>
      <c r="AK70" s="2602"/>
      <c r="AL70" s="2602"/>
      <c r="AM70" s="2602"/>
      <c r="AN70" s="2602"/>
      <c r="AO70" s="2602"/>
    </row>
    <row r="71" spans="14:41" ht="27.75" customHeight="1">
      <c r="R71" s="2602"/>
      <c r="S71" s="2602"/>
      <c r="T71" s="2602"/>
      <c r="U71" s="2602"/>
      <c r="V71" s="2602"/>
      <c r="W71" s="2602"/>
      <c r="X71" s="2602"/>
      <c r="Y71" s="2602"/>
      <c r="Z71" s="2602"/>
      <c r="AA71" s="2602"/>
      <c r="AB71" s="2602"/>
      <c r="AC71" s="2602"/>
      <c r="AD71" s="2602"/>
      <c r="AE71" s="2602"/>
      <c r="AF71" s="2602"/>
      <c r="AG71" s="2602"/>
      <c r="AH71" s="2602"/>
      <c r="AI71" s="2602"/>
      <c r="AJ71" s="2602"/>
      <c r="AK71" s="2602"/>
      <c r="AL71" s="2602"/>
      <c r="AM71" s="2602"/>
      <c r="AN71" s="2602"/>
      <c r="AO71" s="2602"/>
    </row>
    <row r="72" spans="14:41" ht="27.75" customHeight="1">
      <c r="R72" s="2602"/>
      <c r="S72" s="2602"/>
      <c r="T72" s="2602"/>
      <c r="U72" s="2602"/>
      <c r="V72" s="2602"/>
      <c r="W72" s="2602"/>
      <c r="X72" s="2602"/>
      <c r="Y72" s="2602"/>
      <c r="Z72" s="2602"/>
      <c r="AA72" s="2602"/>
      <c r="AB72" s="2602"/>
      <c r="AC72" s="2602"/>
      <c r="AD72" s="2602"/>
      <c r="AE72" s="2602"/>
      <c r="AF72" s="2602"/>
      <c r="AG72" s="2602"/>
      <c r="AH72" s="2602"/>
      <c r="AI72" s="2602"/>
      <c r="AJ72" s="2602"/>
      <c r="AK72" s="2602"/>
      <c r="AL72" s="2602"/>
      <c r="AM72" s="2602"/>
      <c r="AN72" s="2602"/>
      <c r="AO72" s="2602"/>
    </row>
    <row r="73" spans="14:41" ht="27.75" customHeight="1">
      <c r="R73" s="2602"/>
      <c r="S73" s="2602"/>
      <c r="T73" s="2602"/>
      <c r="U73" s="2602"/>
      <c r="V73" s="2602"/>
      <c r="W73" s="2602"/>
      <c r="X73" s="2602"/>
      <c r="Y73" s="2602"/>
      <c r="Z73" s="2602"/>
      <c r="AA73" s="2602"/>
      <c r="AB73" s="2602"/>
      <c r="AC73" s="2602"/>
      <c r="AD73" s="2602"/>
      <c r="AE73" s="2602"/>
      <c r="AF73" s="2602"/>
      <c r="AG73" s="2602"/>
      <c r="AH73" s="2602"/>
      <c r="AI73" s="2602"/>
      <c r="AJ73" s="2602"/>
      <c r="AK73" s="2602"/>
      <c r="AL73" s="2602"/>
      <c r="AM73" s="2602"/>
      <c r="AN73" s="2602"/>
      <c r="AO73" s="2602"/>
    </row>
    <row r="74" spans="14:41" ht="27.75" customHeight="1">
      <c r="R74" s="2602"/>
      <c r="S74" s="2602"/>
      <c r="T74" s="2602"/>
      <c r="U74" s="2602"/>
      <c r="V74" s="2602"/>
      <c r="W74" s="2602"/>
      <c r="X74" s="2602"/>
      <c r="Y74" s="2602"/>
      <c r="Z74" s="2602"/>
      <c r="AA74" s="2602"/>
      <c r="AB74" s="2602"/>
      <c r="AC74" s="2602"/>
      <c r="AD74" s="2602"/>
      <c r="AE74" s="2602"/>
      <c r="AF74" s="2602"/>
      <c r="AG74" s="2602"/>
      <c r="AH74" s="2602"/>
      <c r="AI74" s="2602"/>
      <c r="AJ74" s="2602"/>
      <c r="AK74" s="2602"/>
      <c r="AL74" s="2602"/>
      <c r="AM74" s="2602"/>
      <c r="AN74" s="2602"/>
      <c r="AO74" s="2602"/>
    </row>
    <row r="75" spans="14:41" ht="27.75" customHeight="1">
      <c r="R75" s="2602"/>
      <c r="S75" s="2602"/>
      <c r="T75" s="2602"/>
      <c r="U75" s="2602"/>
      <c r="V75" s="2602"/>
      <c r="W75" s="2602"/>
      <c r="X75" s="2602"/>
      <c r="Y75" s="2602"/>
      <c r="Z75" s="2602"/>
      <c r="AA75" s="2602"/>
      <c r="AB75" s="2602"/>
      <c r="AC75" s="2602"/>
      <c r="AD75" s="2602"/>
      <c r="AE75" s="2602"/>
      <c r="AF75" s="2602"/>
      <c r="AG75" s="2602"/>
      <c r="AH75" s="2602"/>
      <c r="AI75" s="2602"/>
      <c r="AJ75" s="2602"/>
      <c r="AK75" s="2602"/>
      <c r="AL75" s="2602"/>
      <c r="AM75" s="2602"/>
      <c r="AN75" s="2602"/>
      <c r="AO75" s="2602"/>
    </row>
    <row r="76" spans="14:41" ht="27.75" customHeight="1">
      <c r="R76" s="2602"/>
      <c r="S76" s="2602"/>
      <c r="T76" s="2602"/>
      <c r="U76" s="2602"/>
      <c r="V76" s="2602"/>
      <c r="W76" s="2602"/>
      <c r="X76" s="2602"/>
      <c r="Y76" s="2602"/>
      <c r="Z76" s="2602"/>
      <c r="AA76" s="2602"/>
      <c r="AB76" s="2602"/>
      <c r="AC76" s="2602"/>
      <c r="AD76" s="2602"/>
      <c r="AE76" s="2602"/>
      <c r="AF76" s="2602"/>
      <c r="AG76" s="2602"/>
      <c r="AH76" s="2602"/>
      <c r="AI76" s="2602"/>
      <c r="AJ76" s="2602"/>
      <c r="AK76" s="2602"/>
      <c r="AL76" s="2602"/>
      <c r="AM76" s="2602"/>
      <c r="AN76" s="2602"/>
      <c r="AO76" s="2602"/>
    </row>
    <row r="77" spans="14:41" ht="27.75" customHeight="1">
      <c r="R77" s="2602"/>
      <c r="S77" s="2602"/>
      <c r="T77" s="2602"/>
      <c r="U77" s="2602"/>
      <c r="V77" s="2602"/>
      <c r="W77" s="2602"/>
      <c r="X77" s="2602"/>
      <c r="Y77" s="2602"/>
      <c r="Z77" s="2602"/>
      <c r="AA77" s="2602"/>
      <c r="AB77" s="2602"/>
      <c r="AC77" s="2602"/>
      <c r="AD77" s="2602"/>
      <c r="AE77" s="2602"/>
      <c r="AF77" s="2602"/>
      <c r="AG77" s="2602"/>
      <c r="AH77" s="2602"/>
      <c r="AI77" s="2602"/>
      <c r="AJ77" s="2602"/>
      <c r="AK77" s="2602"/>
      <c r="AL77" s="2602"/>
      <c r="AM77" s="2602"/>
      <c r="AN77" s="2602"/>
      <c r="AO77" s="2602"/>
    </row>
    <row r="78" spans="14:41" ht="27.75" customHeight="1">
      <c r="R78" s="2602"/>
      <c r="S78" s="2602"/>
      <c r="T78" s="2602"/>
      <c r="U78" s="2602"/>
      <c r="V78" s="2602"/>
      <c r="W78" s="2602"/>
      <c r="X78" s="2602"/>
      <c r="Y78" s="2602"/>
      <c r="Z78" s="2602"/>
      <c r="AA78" s="2602"/>
      <c r="AB78" s="2602"/>
      <c r="AC78" s="2602"/>
      <c r="AD78" s="2602"/>
      <c r="AE78" s="2602"/>
      <c r="AF78" s="2602"/>
      <c r="AG78" s="2602"/>
      <c r="AH78" s="2602"/>
      <c r="AI78" s="2602"/>
      <c r="AJ78" s="2602"/>
      <c r="AK78" s="2602"/>
      <c r="AL78" s="2602"/>
      <c r="AM78" s="2602"/>
      <c r="AN78" s="2602"/>
      <c r="AO78" s="2602"/>
    </row>
    <row r="79" spans="14:41" ht="27.75" customHeight="1">
      <c r="R79" s="2602"/>
      <c r="S79" s="2602"/>
      <c r="T79" s="2602"/>
      <c r="U79" s="2602"/>
      <c r="V79" s="2602"/>
      <c r="W79" s="2602"/>
      <c r="X79" s="2602"/>
      <c r="Y79" s="2602"/>
      <c r="Z79" s="2602"/>
      <c r="AA79" s="2602"/>
      <c r="AB79" s="2602"/>
      <c r="AC79" s="2602"/>
      <c r="AD79" s="2602"/>
      <c r="AE79" s="2602"/>
      <c r="AF79" s="2602"/>
      <c r="AG79" s="2602"/>
      <c r="AH79" s="2602"/>
      <c r="AI79" s="2602"/>
      <c r="AJ79" s="2602"/>
      <c r="AK79" s="2602"/>
      <c r="AL79" s="2602"/>
      <c r="AM79" s="2602"/>
      <c r="AN79" s="2602"/>
      <c r="AO79" s="2602"/>
    </row>
    <row r="80" spans="14:41" ht="27.75" customHeight="1">
      <c r="R80" s="2602"/>
      <c r="S80" s="2602"/>
      <c r="T80" s="2602"/>
      <c r="U80" s="2602"/>
      <c r="V80" s="2602"/>
      <c r="W80" s="2602"/>
      <c r="X80" s="2602"/>
      <c r="Y80" s="2602"/>
      <c r="Z80" s="2602"/>
      <c r="AA80" s="2602"/>
      <c r="AB80" s="2602"/>
      <c r="AC80" s="2602"/>
      <c r="AD80" s="2602"/>
      <c r="AE80" s="2602"/>
      <c r="AF80" s="2602"/>
      <c r="AG80" s="2602"/>
      <c r="AH80" s="2602"/>
      <c r="AI80" s="2602"/>
      <c r="AJ80" s="2602"/>
      <c r="AK80" s="2602"/>
      <c r="AL80" s="2602"/>
      <c r="AM80" s="2602"/>
      <c r="AN80" s="2602"/>
      <c r="AO80" s="2602"/>
    </row>
    <row r="81" spans="18:41" ht="27.75" customHeight="1">
      <c r="R81" s="2602"/>
      <c r="S81" s="2602"/>
      <c r="T81" s="2602"/>
      <c r="U81" s="2602"/>
      <c r="V81" s="2602"/>
      <c r="W81" s="2602"/>
      <c r="X81" s="2602"/>
      <c r="Y81" s="2602"/>
      <c r="Z81" s="2602"/>
      <c r="AA81" s="2602"/>
      <c r="AB81" s="2602"/>
      <c r="AC81" s="2602"/>
      <c r="AD81" s="2602"/>
      <c r="AE81" s="2602"/>
      <c r="AF81" s="2602"/>
      <c r="AG81" s="2602"/>
      <c r="AH81" s="2602"/>
      <c r="AI81" s="2602"/>
      <c r="AJ81" s="2602"/>
      <c r="AK81" s="2602"/>
      <c r="AL81" s="2602"/>
      <c r="AM81" s="2602"/>
      <c r="AN81" s="2602"/>
      <c r="AO81" s="2602"/>
    </row>
    <row r="82" spans="18:41" ht="27.75" customHeight="1">
      <c r="R82" s="2602"/>
      <c r="S82" s="2602"/>
      <c r="T82" s="2602"/>
      <c r="U82" s="2602"/>
      <c r="V82" s="2602"/>
      <c r="W82" s="2602"/>
      <c r="X82" s="2602"/>
      <c r="Y82" s="2602"/>
      <c r="Z82" s="2602"/>
      <c r="AA82" s="2602"/>
      <c r="AB82" s="2602"/>
      <c r="AC82" s="2602"/>
      <c r="AD82" s="2602"/>
      <c r="AE82" s="2602"/>
      <c r="AF82" s="2602"/>
      <c r="AG82" s="2602"/>
      <c r="AH82" s="2602"/>
      <c r="AI82" s="2602"/>
      <c r="AJ82" s="2602"/>
      <c r="AK82" s="2602"/>
      <c r="AL82" s="2602"/>
      <c r="AM82" s="2602"/>
      <c r="AN82" s="2602"/>
      <c r="AO82" s="2602"/>
    </row>
    <row r="83" spans="18:41" ht="27.75" customHeight="1">
      <c r="R83" s="2602"/>
      <c r="S83" s="2602"/>
      <c r="T83" s="2602"/>
      <c r="U83" s="2602"/>
      <c r="V83" s="2602"/>
      <c r="W83" s="2602"/>
      <c r="X83" s="2602"/>
      <c r="Y83" s="2602"/>
      <c r="Z83" s="2602"/>
      <c r="AA83" s="2602"/>
      <c r="AB83" s="2602"/>
      <c r="AC83" s="2602"/>
      <c r="AD83" s="2602"/>
      <c r="AE83" s="2602"/>
      <c r="AF83" s="2602"/>
      <c r="AG83" s="2602"/>
      <c r="AH83" s="2602"/>
      <c r="AI83" s="2602"/>
      <c r="AJ83" s="2602"/>
      <c r="AK83" s="2602"/>
      <c r="AL83" s="2602"/>
      <c r="AM83" s="2602"/>
      <c r="AN83" s="2602"/>
      <c r="AO83" s="2602"/>
    </row>
    <row r="84" spans="18:41" ht="27.75" customHeight="1">
      <c r="R84" s="2602"/>
      <c r="S84" s="2602"/>
      <c r="T84" s="2602"/>
      <c r="U84" s="2602"/>
      <c r="V84" s="2602"/>
      <c r="W84" s="2602"/>
      <c r="X84" s="2602"/>
      <c r="Y84" s="2602"/>
      <c r="Z84" s="2602"/>
      <c r="AA84" s="2602"/>
      <c r="AB84" s="2602"/>
      <c r="AC84" s="2602"/>
      <c r="AD84" s="2602"/>
      <c r="AE84" s="2602"/>
      <c r="AF84" s="2602"/>
      <c r="AG84" s="2602"/>
      <c r="AH84" s="2602"/>
      <c r="AI84" s="2602"/>
      <c r="AJ84" s="2602"/>
      <c r="AK84" s="2602"/>
      <c r="AL84" s="2602"/>
      <c r="AM84" s="2602"/>
      <c r="AN84" s="2602"/>
      <c r="AO84" s="2602"/>
    </row>
    <row r="85" spans="18:41" ht="27.75" customHeight="1">
      <c r="R85" s="2602"/>
      <c r="S85" s="2602"/>
      <c r="T85" s="2602"/>
      <c r="U85" s="2602"/>
      <c r="V85" s="2602"/>
      <c r="W85" s="2602"/>
      <c r="X85" s="2602"/>
      <c r="Y85" s="2602"/>
      <c r="Z85" s="2602"/>
      <c r="AA85" s="2602"/>
      <c r="AB85" s="2602"/>
      <c r="AC85" s="2602"/>
      <c r="AD85" s="2602"/>
      <c r="AE85" s="2602"/>
      <c r="AF85" s="2602"/>
      <c r="AG85" s="2602"/>
      <c r="AH85" s="2602"/>
      <c r="AI85" s="2602"/>
      <c r="AJ85" s="2602"/>
      <c r="AK85" s="2602"/>
      <c r="AL85" s="2602"/>
      <c r="AM85" s="2602"/>
      <c r="AN85" s="2602"/>
      <c r="AO85" s="2602"/>
    </row>
    <row r="86" spans="18:41" ht="27.75" customHeight="1">
      <c r="R86" s="2602"/>
      <c r="S86" s="2602"/>
      <c r="T86" s="2602"/>
      <c r="U86" s="2602"/>
      <c r="V86" s="2602"/>
      <c r="W86" s="2602"/>
      <c r="X86" s="2602"/>
      <c r="Y86" s="2602"/>
      <c r="Z86" s="2602"/>
      <c r="AA86" s="2602"/>
      <c r="AB86" s="2602"/>
      <c r="AC86" s="2602"/>
      <c r="AD86" s="2602"/>
      <c r="AE86" s="2602"/>
      <c r="AF86" s="2602"/>
      <c r="AG86" s="2602"/>
      <c r="AH86" s="2602"/>
      <c r="AI86" s="2602"/>
      <c r="AJ86" s="2602"/>
      <c r="AK86" s="2602"/>
      <c r="AL86" s="2602"/>
      <c r="AM86" s="2602"/>
      <c r="AN86" s="2602"/>
      <c r="AO86" s="2602"/>
    </row>
    <row r="87" spans="18:41" ht="27.75" customHeight="1">
      <c r="R87" s="2602"/>
      <c r="S87" s="2602"/>
      <c r="T87" s="2602"/>
      <c r="U87" s="2602"/>
      <c r="V87" s="2602"/>
      <c r="W87" s="2602"/>
      <c r="X87" s="2602"/>
      <c r="Y87" s="2602"/>
      <c r="Z87" s="2602"/>
      <c r="AA87" s="2602"/>
      <c r="AB87" s="2602"/>
      <c r="AC87" s="2602"/>
      <c r="AD87" s="2602"/>
      <c r="AE87" s="2602"/>
      <c r="AF87" s="2602"/>
      <c r="AG87" s="2602"/>
      <c r="AH87" s="2602"/>
      <c r="AI87" s="2602"/>
      <c r="AJ87" s="2602"/>
      <c r="AK87" s="2602"/>
      <c r="AL87" s="2602"/>
      <c r="AM87" s="2602"/>
      <c r="AN87" s="2602"/>
      <c r="AO87" s="2602"/>
    </row>
    <row r="88" spans="18:41" ht="27.75" customHeight="1">
      <c r="R88" s="2602"/>
      <c r="S88" s="2602"/>
      <c r="T88" s="2602"/>
      <c r="U88" s="2602"/>
      <c r="V88" s="2602"/>
      <c r="W88" s="2602"/>
      <c r="X88" s="2602"/>
      <c r="Y88" s="2602"/>
      <c r="Z88" s="2602"/>
      <c r="AA88" s="2602"/>
      <c r="AB88" s="2602"/>
      <c r="AC88" s="2602"/>
      <c r="AD88" s="2602"/>
      <c r="AE88" s="2602"/>
      <c r="AF88" s="2602"/>
      <c r="AG88" s="2602"/>
      <c r="AH88" s="2602"/>
      <c r="AI88" s="2602"/>
      <c r="AJ88" s="2602"/>
      <c r="AK88" s="2602"/>
      <c r="AL88" s="2602"/>
      <c r="AM88" s="2602"/>
      <c r="AN88" s="2602"/>
      <c r="AO88" s="2602"/>
    </row>
    <row r="89" spans="18:41" ht="27.75" customHeight="1">
      <c r="R89" s="2602"/>
      <c r="S89" s="2602"/>
      <c r="T89" s="2602"/>
      <c r="U89" s="2602"/>
      <c r="V89" s="2602"/>
      <c r="W89" s="2602"/>
      <c r="X89" s="2602"/>
      <c r="Y89" s="2602"/>
      <c r="Z89" s="2602"/>
      <c r="AA89" s="2602"/>
      <c r="AB89" s="2602"/>
      <c r="AC89" s="2602"/>
      <c r="AD89" s="2602"/>
      <c r="AE89" s="2602"/>
      <c r="AF89" s="2602"/>
      <c r="AG89" s="2602"/>
      <c r="AH89" s="2602"/>
      <c r="AI89" s="2602"/>
      <c r="AJ89" s="2602"/>
      <c r="AK89" s="2602"/>
      <c r="AL89" s="2602"/>
      <c r="AM89" s="2602"/>
      <c r="AN89" s="2602"/>
      <c r="AO89" s="2602"/>
    </row>
    <row r="90" spans="18:41" ht="27.75" customHeight="1"/>
    <row r="91" spans="18:41" ht="27.75" customHeight="1"/>
    <row r="92" spans="18:41" ht="27.75" customHeight="1"/>
    <row r="93" spans="18:41" ht="27.75" customHeight="1"/>
    <row r="94" spans="18:41" ht="27.75" customHeight="1"/>
    <row r="95" spans="18:41" ht="27.75" customHeight="1"/>
    <row r="96" spans="18:41" ht="27.75" customHeight="1"/>
    <row r="101" ht="10.5" customHeight="1"/>
    <row r="102" ht="10.5" customHeight="1"/>
    <row r="103" ht="10.5" customHeight="1"/>
    <row r="104" ht="10.5" customHeight="1"/>
    <row r="105" ht="10.5" customHeight="1"/>
    <row r="106" ht="6" customHeight="1"/>
  </sheetData>
  <mergeCells count="78">
    <mergeCell ref="A5:F5"/>
    <mergeCell ref="G5:P5"/>
    <mergeCell ref="A1:P1"/>
    <mergeCell ref="A2:P2"/>
    <mergeCell ref="A3:P3"/>
    <mergeCell ref="A4:F4"/>
    <mergeCell ref="G4:P4"/>
    <mergeCell ref="W11:W12"/>
    <mergeCell ref="X11:X12"/>
    <mergeCell ref="A7:P7"/>
    <mergeCell ref="A8:P8"/>
    <mergeCell ref="A9:A10"/>
    <mergeCell ref="B9:B10"/>
    <mergeCell ref="C9:C10"/>
    <mergeCell ref="D9:D10"/>
    <mergeCell ref="E9:M9"/>
    <mergeCell ref="N9:N10"/>
    <mergeCell ref="O9:O10"/>
    <mergeCell ref="P9:P10"/>
    <mergeCell ref="E16:L16"/>
    <mergeCell ref="R11:R12"/>
    <mergeCell ref="S11:S12"/>
    <mergeCell ref="T11:T12"/>
    <mergeCell ref="U11:V11"/>
    <mergeCell ref="Y11:Z11"/>
    <mergeCell ref="AA11:AB11"/>
    <mergeCell ref="AC11:AC12"/>
    <mergeCell ref="AD11:AD12"/>
    <mergeCell ref="AE11:AE13"/>
    <mergeCell ref="E17:L17"/>
    <mergeCell ref="E18:L18"/>
    <mergeCell ref="E19:L19"/>
    <mergeCell ref="A26:A28"/>
    <mergeCell ref="B26:B28"/>
    <mergeCell ref="C26:C28"/>
    <mergeCell ref="D26:D28"/>
    <mergeCell ref="M26:M28"/>
    <mergeCell ref="N26:N28"/>
    <mergeCell ref="O26:O28"/>
    <mergeCell ref="P26:P28"/>
    <mergeCell ref="A30:A31"/>
    <mergeCell ref="B30:B31"/>
    <mergeCell ref="C30:C31"/>
    <mergeCell ref="D30:D31"/>
    <mergeCell ref="M30:M31"/>
    <mergeCell ref="N30:N31"/>
    <mergeCell ref="O30:O31"/>
    <mergeCell ref="A40:A43"/>
    <mergeCell ref="B40:B43"/>
    <mergeCell ref="C40:C41"/>
    <mergeCell ref="D40:D41"/>
    <mergeCell ref="M40:M41"/>
    <mergeCell ref="N40:N41"/>
    <mergeCell ref="O40:O41"/>
    <mergeCell ref="P40:P41"/>
    <mergeCell ref="C42:C43"/>
    <mergeCell ref="D42:D43"/>
    <mergeCell ref="M42:M43"/>
    <mergeCell ref="N42:N43"/>
    <mergeCell ref="O42:O43"/>
    <mergeCell ref="P42:P43"/>
    <mergeCell ref="O58:P58"/>
    <mergeCell ref="A45:A46"/>
    <mergeCell ref="B45:B46"/>
    <mergeCell ref="M45:M46"/>
    <mergeCell ref="N45:N46"/>
    <mergeCell ref="O45:O46"/>
    <mergeCell ref="E54:J54"/>
    <mergeCell ref="A55:C55"/>
    <mergeCell ref="L56:P56"/>
    <mergeCell ref="A57:E57"/>
    <mergeCell ref="H57:J57"/>
    <mergeCell ref="L57:P57"/>
    <mergeCell ref="A61:E61"/>
    <mergeCell ref="H61:J61"/>
    <mergeCell ref="M61:P61"/>
    <mergeCell ref="A62:P62"/>
    <mergeCell ref="A63:P63"/>
  </mergeCell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9"/>
  <sheetViews>
    <sheetView topLeftCell="A22" workbookViewId="0">
      <selection activeCell="M28" sqref="M28"/>
    </sheetView>
  </sheetViews>
  <sheetFormatPr defaultRowHeight="15.75"/>
  <cols>
    <col min="1" max="1" width="4.25" style="1852" customWidth="1"/>
    <col min="2" max="2" width="27.625" style="1853" customWidth="1"/>
    <col min="3" max="3" width="6" style="1854" customWidth="1"/>
    <col min="4" max="4" width="5.125" style="2369" customWidth="1"/>
    <col min="5" max="5" width="5.75" style="1856" customWidth="1"/>
    <col min="6" max="6" width="5.75" style="1857" customWidth="1"/>
    <col min="7" max="7" width="5.75" style="1858" customWidth="1"/>
    <col min="8" max="8" width="5.75" style="1857" customWidth="1"/>
    <col min="9" max="9" width="5.75" style="2370" customWidth="1"/>
    <col min="10" max="10" width="5.75" style="2371" customWidth="1"/>
    <col min="11" max="11" width="5.75" style="2372" customWidth="1"/>
    <col min="12" max="12" width="5.75" style="2373" customWidth="1"/>
    <col min="13" max="13" width="7.25" style="1859" customWidth="1"/>
    <col min="14" max="14" width="3.875" style="1857" customWidth="1"/>
    <col min="15" max="15" width="8.75" style="1847" customWidth="1"/>
    <col min="16" max="16" width="11.375" style="1860" customWidth="1"/>
    <col min="17" max="17" width="8.375" style="1860" customWidth="1"/>
    <col min="18" max="18" width="9.75" customWidth="1"/>
    <col min="19" max="20" width="9" bestFit="1" customWidth="1"/>
  </cols>
  <sheetData>
    <row r="1" spans="1:21" ht="16.5">
      <c r="A1" s="4081" t="s">
        <v>165</v>
      </c>
      <c r="B1" s="4081"/>
      <c r="C1" s="4081"/>
      <c r="D1" s="4081"/>
      <c r="E1" s="4081"/>
      <c r="F1" s="4081"/>
      <c r="G1" s="4081"/>
      <c r="H1" s="4081"/>
      <c r="I1" s="4081"/>
      <c r="J1" s="4081"/>
      <c r="K1" s="4081"/>
      <c r="L1" s="4081"/>
      <c r="M1" s="4081"/>
      <c r="N1" s="4081"/>
      <c r="O1" s="4081"/>
      <c r="P1" s="4081"/>
    </row>
    <row r="2" spans="1:21" ht="16.5">
      <c r="A2" s="4081" t="s">
        <v>171</v>
      </c>
      <c r="B2" s="4081"/>
      <c r="C2" s="4081"/>
      <c r="D2" s="4081"/>
      <c r="E2" s="4081"/>
      <c r="F2" s="4081"/>
      <c r="G2" s="4081"/>
      <c r="H2" s="4081"/>
      <c r="I2" s="4081"/>
      <c r="J2" s="4081"/>
      <c r="K2" s="4081"/>
      <c r="L2" s="4081"/>
      <c r="M2" s="4081"/>
      <c r="N2" s="4081"/>
      <c r="O2" s="4081"/>
      <c r="P2" s="4081"/>
    </row>
    <row r="3" spans="1:21" ht="16.5">
      <c r="A3" s="4087" t="s">
        <v>726</v>
      </c>
      <c r="B3" s="4087"/>
      <c r="C3" s="4087"/>
      <c r="D3" s="4087"/>
      <c r="E3" s="4087"/>
      <c r="F3" s="4087"/>
      <c r="G3" s="4087"/>
      <c r="H3" s="4087"/>
      <c r="I3" s="4087"/>
      <c r="J3" s="4087"/>
      <c r="K3" s="4087"/>
      <c r="L3" s="4087"/>
      <c r="M3" s="4087"/>
      <c r="N3" s="4087"/>
      <c r="O3" s="4087"/>
      <c r="P3" s="4087"/>
    </row>
    <row r="4" spans="1:21">
      <c r="A4" s="4512" t="s">
        <v>809</v>
      </c>
      <c r="B4" s="4512"/>
      <c r="C4" s="4512"/>
      <c r="D4" s="4512"/>
      <c r="E4" s="4512"/>
      <c r="F4" s="4512"/>
      <c r="G4" s="4512"/>
      <c r="H4" s="4512"/>
      <c r="I4" s="4512"/>
      <c r="J4" s="4512"/>
      <c r="K4" s="4512"/>
      <c r="L4" s="4512"/>
      <c r="M4" s="4512"/>
      <c r="N4" s="4512"/>
      <c r="O4" s="4512"/>
      <c r="P4" s="4512"/>
      <c r="Q4" s="2508"/>
    </row>
    <row r="5" spans="1:21">
      <c r="A5" s="4512" t="s">
        <v>541</v>
      </c>
      <c r="B5" s="4512"/>
      <c r="C5" s="4512"/>
      <c r="D5" s="4512"/>
      <c r="E5" s="4512"/>
      <c r="F5" s="4512"/>
      <c r="G5" s="4512"/>
      <c r="H5" s="4512"/>
      <c r="I5" s="4512"/>
      <c r="J5" s="4512"/>
      <c r="K5" s="4512"/>
      <c r="L5" s="4512"/>
      <c r="M5" s="4512"/>
      <c r="N5" s="4512"/>
      <c r="O5" s="4512"/>
      <c r="P5" s="4512"/>
      <c r="Q5" s="2508"/>
    </row>
    <row r="6" spans="1:21" ht="18.75" customHeight="1">
      <c r="A6" s="1755"/>
      <c r="B6" s="1755"/>
      <c r="C6" s="1755"/>
      <c r="D6" s="1757"/>
      <c r="E6" s="1752"/>
      <c r="F6" s="1753"/>
      <c r="G6" s="1754"/>
      <c r="H6" s="1753"/>
      <c r="I6" s="2331"/>
      <c r="J6" s="2332"/>
      <c r="K6" s="1756"/>
      <c r="L6" s="1757"/>
      <c r="M6" s="1758"/>
      <c r="N6" s="1755"/>
      <c r="O6" s="1759"/>
      <c r="P6" s="1755"/>
      <c r="Q6" s="1755"/>
    </row>
    <row r="7" spans="1:21" ht="18.75">
      <c r="A7" s="4504" t="s">
        <v>1303</v>
      </c>
      <c r="B7" s="4504"/>
      <c r="C7" s="4504"/>
      <c r="D7" s="4504"/>
      <c r="E7" s="4504"/>
      <c r="F7" s="4504"/>
      <c r="G7" s="4504"/>
      <c r="H7" s="4504"/>
      <c r="I7" s="4504"/>
      <c r="J7" s="4504"/>
      <c r="K7" s="4504"/>
      <c r="L7" s="4504"/>
      <c r="M7" s="4504"/>
      <c r="N7" s="4504"/>
      <c r="O7" s="4504"/>
      <c r="P7" s="4504"/>
      <c r="Q7" s="2509"/>
      <c r="R7" s="1760"/>
      <c r="S7" s="1760"/>
      <c r="T7" s="1760"/>
      <c r="U7" s="1760"/>
    </row>
    <row r="8" spans="1:21" ht="15">
      <c r="A8" s="4505" t="s">
        <v>1304</v>
      </c>
      <c r="B8" s="4505"/>
      <c r="C8" s="4505"/>
      <c r="D8" s="4505"/>
      <c r="E8" s="4505"/>
      <c r="F8" s="4505"/>
      <c r="G8" s="4505"/>
      <c r="H8" s="4505"/>
      <c r="I8" s="4505"/>
      <c r="J8" s="4505"/>
      <c r="K8" s="4505"/>
      <c r="L8" s="4505"/>
      <c r="M8" s="4505"/>
      <c r="N8" s="4505"/>
      <c r="O8" s="4505"/>
      <c r="P8" s="4505"/>
      <c r="Q8" s="2525"/>
      <c r="R8" s="1760"/>
      <c r="S8" s="1760"/>
      <c r="T8" s="1760"/>
      <c r="U8" s="1760"/>
    </row>
    <row r="9" spans="1:21" ht="16.5">
      <c r="A9" s="4506" t="s">
        <v>19</v>
      </c>
      <c r="B9" s="4506" t="s">
        <v>1217</v>
      </c>
      <c r="C9" s="4507" t="s">
        <v>623</v>
      </c>
      <c r="D9" s="4508" t="s">
        <v>361</v>
      </c>
      <c r="E9" s="4509" t="s">
        <v>811</v>
      </c>
      <c r="F9" s="4509"/>
      <c r="G9" s="4509"/>
      <c r="H9" s="4509"/>
      <c r="I9" s="4509"/>
      <c r="J9" s="4509"/>
      <c r="K9" s="4509"/>
      <c r="L9" s="4509"/>
      <c r="M9" s="4509"/>
      <c r="N9" s="4509" t="s">
        <v>812</v>
      </c>
      <c r="O9" s="4510" t="s">
        <v>47</v>
      </c>
      <c r="P9" s="4511" t="s">
        <v>813</v>
      </c>
      <c r="Q9" s="2333"/>
      <c r="R9" s="1760"/>
      <c r="S9" s="1760"/>
      <c r="T9" s="1760"/>
      <c r="U9" s="1760"/>
    </row>
    <row r="10" spans="1:21" ht="16.5">
      <c r="A10" s="4506"/>
      <c r="B10" s="4506"/>
      <c r="C10" s="4507"/>
      <c r="D10" s="4508"/>
      <c r="E10" s="1761" t="s">
        <v>814</v>
      </c>
      <c r="F10" s="1761" t="s">
        <v>815</v>
      </c>
      <c r="G10" s="1761" t="s">
        <v>814</v>
      </c>
      <c r="H10" s="1761" t="s">
        <v>815</v>
      </c>
      <c r="I10" s="1761" t="s">
        <v>814</v>
      </c>
      <c r="J10" s="1761" t="s">
        <v>815</v>
      </c>
      <c r="K10" s="1761" t="s">
        <v>814</v>
      </c>
      <c r="L10" s="1762" t="s">
        <v>815</v>
      </c>
      <c r="M10" s="1763" t="s">
        <v>21</v>
      </c>
      <c r="N10" s="4509"/>
      <c r="O10" s="4510"/>
      <c r="P10" s="4511"/>
      <c r="Q10" s="2333"/>
      <c r="R10" s="1760"/>
      <c r="S10" s="1760"/>
      <c r="T10" s="1760"/>
      <c r="U10" s="1760"/>
    </row>
    <row r="11" spans="1:21" ht="33" customHeight="1">
      <c r="A11" s="1764" t="s">
        <v>52</v>
      </c>
      <c r="B11" s="1765" t="s">
        <v>816</v>
      </c>
      <c r="C11" s="1766"/>
      <c r="D11" s="2334"/>
      <c r="E11" s="1767"/>
      <c r="F11" s="1767"/>
      <c r="G11" s="1767"/>
      <c r="H11" s="1767"/>
      <c r="I11" s="1767"/>
      <c r="J11" s="1767"/>
      <c r="K11" s="1767"/>
      <c r="L11" s="1768"/>
      <c r="M11" s="1769"/>
      <c r="N11" s="1767"/>
      <c r="O11" s="1770">
        <f>O21+O15+O12</f>
        <v>7723.5926880609995</v>
      </c>
      <c r="P11" s="1771"/>
      <c r="Q11" s="2335"/>
      <c r="R11" s="1760"/>
      <c r="S11" s="1760"/>
      <c r="T11" s="1760"/>
      <c r="U11" s="1760"/>
    </row>
    <row r="12" spans="1:21" ht="22.5" customHeight="1">
      <c r="A12" s="1772" t="s">
        <v>147</v>
      </c>
      <c r="B12" s="1773" t="s">
        <v>817</v>
      </c>
      <c r="C12" s="1774"/>
      <c r="D12" s="1776"/>
      <c r="E12" s="1775"/>
      <c r="F12" s="1775"/>
      <c r="G12" s="1775"/>
      <c r="H12" s="1775"/>
      <c r="I12" s="1775"/>
      <c r="J12" s="1775"/>
      <c r="K12" s="1775"/>
      <c r="L12" s="1776"/>
      <c r="M12" s="1777"/>
      <c r="N12" s="1775"/>
      <c r="O12" s="1778"/>
      <c r="P12" s="1779"/>
      <c r="Q12" s="2336"/>
      <c r="R12" s="1760"/>
      <c r="S12" s="1760"/>
      <c r="T12" s="1760"/>
      <c r="U12" s="1760"/>
    </row>
    <row r="13" spans="1:21" ht="22.5" customHeight="1">
      <c r="A13" s="1780">
        <v>1</v>
      </c>
      <c r="B13" s="1781" t="s">
        <v>49</v>
      </c>
      <c r="C13" s="1782" t="s">
        <v>818</v>
      </c>
      <c r="D13" s="2337"/>
      <c r="E13" s="1775"/>
      <c r="F13" s="2510"/>
      <c r="G13" s="1775"/>
      <c r="H13" s="1775"/>
      <c r="I13" s="1775"/>
      <c r="J13" s="1775"/>
      <c r="K13" s="1775"/>
      <c r="L13" s="1776"/>
      <c r="M13" s="1777"/>
      <c r="N13" s="2510"/>
      <c r="O13" s="1778"/>
      <c r="P13" s="1783"/>
      <c r="Q13" s="2338"/>
      <c r="R13" s="1760"/>
      <c r="S13" s="1760"/>
      <c r="T13" s="1760"/>
      <c r="U13" s="1760"/>
    </row>
    <row r="14" spans="1:21" ht="22.5" customHeight="1">
      <c r="A14" s="1780">
        <v>2</v>
      </c>
      <c r="B14" s="1781" t="s">
        <v>819</v>
      </c>
      <c r="C14" s="1782" t="s">
        <v>818</v>
      </c>
      <c r="D14" s="2337"/>
      <c r="E14" s="1775"/>
      <c r="F14" s="2510"/>
      <c r="G14" s="1775"/>
      <c r="H14" s="1775"/>
      <c r="I14" s="1775"/>
      <c r="J14" s="1775"/>
      <c r="K14" s="1775"/>
      <c r="L14" s="1776"/>
      <c r="M14" s="2339">
        <v>98</v>
      </c>
      <c r="N14" s="2510"/>
      <c r="O14" s="1778"/>
      <c r="P14" s="1785"/>
      <c r="Q14" s="2340"/>
      <c r="R14" s="1760"/>
      <c r="S14" s="1760"/>
      <c r="T14" s="1760"/>
      <c r="U14" s="1760"/>
    </row>
    <row r="15" spans="1:21" ht="22.5" customHeight="1">
      <c r="A15" s="1772" t="s">
        <v>148</v>
      </c>
      <c r="B15" s="1773" t="s">
        <v>820</v>
      </c>
      <c r="C15" s="1786"/>
      <c r="D15" s="1776"/>
      <c r="E15" s="1775"/>
      <c r="F15" s="1775"/>
      <c r="G15" s="1775"/>
      <c r="H15" s="1775"/>
      <c r="I15" s="1775"/>
      <c r="J15" s="1775"/>
      <c r="K15" s="1775"/>
      <c r="L15" s="1776"/>
      <c r="M15" s="1777"/>
      <c r="N15" s="1775"/>
      <c r="O15" s="1778">
        <f>SUM(O16:O20)</f>
        <v>5335.2</v>
      </c>
      <c r="P15" s="1779"/>
      <c r="Q15" s="2336"/>
      <c r="R15" s="1760"/>
      <c r="S15" s="1760"/>
      <c r="T15" s="1760"/>
      <c r="U15" s="1760"/>
    </row>
    <row r="16" spans="1:21" ht="38.25" customHeight="1">
      <c r="A16" s="1780">
        <v>1</v>
      </c>
      <c r="B16" s="1781" t="s">
        <v>821</v>
      </c>
      <c r="C16" s="1787" t="s">
        <v>362</v>
      </c>
      <c r="D16" s="2337"/>
      <c r="E16" s="4501" t="s">
        <v>1305</v>
      </c>
      <c r="F16" s="4501"/>
      <c r="G16" s="4501"/>
      <c r="H16" s="4501"/>
      <c r="I16" s="4501"/>
      <c r="J16" s="4501"/>
      <c r="K16" s="4501"/>
      <c r="L16" s="4501"/>
      <c r="M16" s="1777"/>
      <c r="N16" s="2510"/>
      <c r="O16" s="1788">
        <f>43*4*70000/25000</f>
        <v>481.6</v>
      </c>
      <c r="P16" s="1785"/>
      <c r="Q16" s="2340"/>
      <c r="R16" s="1760"/>
      <c r="S16" s="1760"/>
      <c r="T16" s="1760"/>
      <c r="U16" s="1760"/>
    </row>
    <row r="17" spans="1:28" ht="38.25" customHeight="1">
      <c r="A17" s="1780">
        <v>2</v>
      </c>
      <c r="B17" s="1781" t="s">
        <v>1306</v>
      </c>
      <c r="C17" s="1782" t="s">
        <v>362</v>
      </c>
      <c r="D17" s="2337"/>
      <c r="E17" s="4501" t="s">
        <v>1307</v>
      </c>
      <c r="F17" s="4501"/>
      <c r="G17" s="4501"/>
      <c r="H17" s="4501"/>
      <c r="I17" s="4501"/>
      <c r="J17" s="4501"/>
      <c r="K17" s="4501"/>
      <c r="L17" s="4501"/>
      <c r="M17" s="1777"/>
      <c r="N17" s="2510"/>
      <c r="O17" s="1788">
        <f>43*26*50000/25000</f>
        <v>2236</v>
      </c>
      <c r="P17" s="1785"/>
      <c r="Q17" s="2340"/>
      <c r="R17" s="1760"/>
      <c r="S17" s="1760"/>
      <c r="T17" s="1760"/>
      <c r="U17" s="1760"/>
    </row>
    <row r="18" spans="1:28" ht="38.25" customHeight="1">
      <c r="A18" s="1780">
        <v>3</v>
      </c>
      <c r="B18" s="1781" t="s">
        <v>1041</v>
      </c>
      <c r="C18" s="1787" t="s">
        <v>362</v>
      </c>
      <c r="D18" s="2337"/>
      <c r="E18" s="4501" t="s">
        <v>1042</v>
      </c>
      <c r="F18" s="4501"/>
      <c r="G18" s="4501"/>
      <c r="H18" s="4501"/>
      <c r="I18" s="4501"/>
      <c r="J18" s="4501"/>
      <c r="K18" s="4501"/>
      <c r="L18" s="4501"/>
      <c r="M18" s="1777"/>
      <c r="N18" s="2510"/>
      <c r="O18" s="1788">
        <f>8*4*90000/25000</f>
        <v>115.2</v>
      </c>
      <c r="P18" s="1785"/>
      <c r="Q18" s="2340"/>
      <c r="R18" s="1760"/>
      <c r="S18" s="1760"/>
      <c r="T18" s="1760"/>
      <c r="U18" s="1760"/>
    </row>
    <row r="19" spans="1:28" ht="37.5" customHeight="1">
      <c r="A19" s="1780">
        <v>4</v>
      </c>
      <c r="B19" s="1781" t="s">
        <v>1308</v>
      </c>
      <c r="C19" s="1782" t="s">
        <v>362</v>
      </c>
      <c r="D19" s="2337"/>
      <c r="E19" s="4501" t="s">
        <v>1309</v>
      </c>
      <c r="F19" s="4501"/>
      <c r="G19" s="4501"/>
      <c r="H19" s="4501"/>
      <c r="I19" s="4501"/>
      <c r="J19" s="4501"/>
      <c r="K19" s="4501"/>
      <c r="L19" s="4501"/>
      <c r="M19" s="1777"/>
      <c r="N19" s="2510"/>
      <c r="O19" s="1788">
        <f>8*26*70000/25000</f>
        <v>582.4</v>
      </c>
      <c r="P19" s="1785"/>
      <c r="Q19" s="2340"/>
      <c r="R19" s="2346"/>
      <c r="S19" s="2346" t="s">
        <v>1310</v>
      </c>
      <c r="T19" s="2346" t="s">
        <v>1218</v>
      </c>
      <c r="U19" s="2346" t="s">
        <v>1311</v>
      </c>
      <c r="V19" s="2345" t="s">
        <v>1221</v>
      </c>
      <c r="W19" s="2345" t="s">
        <v>1223</v>
      </c>
    </row>
    <row r="20" spans="1:28" ht="46.5" customHeight="1">
      <c r="A20" s="1780">
        <v>5</v>
      </c>
      <c r="B20" s="1781" t="s">
        <v>1297</v>
      </c>
      <c r="C20" s="1782" t="s">
        <v>362</v>
      </c>
      <c r="D20" s="2337"/>
      <c r="E20" s="4513" t="s">
        <v>1312</v>
      </c>
      <c r="F20" s="4514"/>
      <c r="G20" s="4514"/>
      <c r="H20" s="4514"/>
      <c r="I20" s="4514"/>
      <c r="J20" s="4514"/>
      <c r="K20" s="4514"/>
      <c r="L20" s="4515"/>
      <c r="M20" s="1777"/>
      <c r="N20" s="2510"/>
      <c r="O20" s="1788">
        <f>16*30*100000/25000</f>
        <v>1920</v>
      </c>
      <c r="P20" s="1785"/>
      <c r="Q20" s="2340"/>
      <c r="R20" s="2346" t="s">
        <v>1225</v>
      </c>
      <c r="S20" s="2346">
        <f>M24+M31+M39</f>
        <v>246.85</v>
      </c>
      <c r="T20" s="2346"/>
      <c r="U20" s="2346">
        <f>M28</f>
        <v>51</v>
      </c>
      <c r="V20" s="2348">
        <f>M29+M37</f>
        <v>84</v>
      </c>
      <c r="W20" s="2348">
        <f>M27</f>
        <v>10</v>
      </c>
      <c r="X20" s="2602"/>
      <c r="Y20" s="2602"/>
      <c r="Z20" s="2602"/>
      <c r="AA20" s="2602"/>
      <c r="AB20" s="2602"/>
    </row>
    <row r="21" spans="1:28" ht="18.75" customHeight="1">
      <c r="A21" s="1789" t="s">
        <v>149</v>
      </c>
      <c r="B21" s="1790" t="s">
        <v>958</v>
      </c>
      <c r="C21" s="1787"/>
      <c r="D21" s="1820"/>
      <c r="E21" s="1792"/>
      <c r="F21" s="1793"/>
      <c r="G21" s="1792"/>
      <c r="H21" s="1793"/>
      <c r="I21" s="1816"/>
      <c r="J21" s="1795"/>
      <c r="K21" s="1816"/>
      <c r="L21" s="2341"/>
      <c r="M21" s="1794"/>
      <c r="N21" s="1795"/>
      <c r="O21" s="1796">
        <f>+O22+O36+O26</f>
        <v>2388.3926880609997</v>
      </c>
      <c r="P21" s="2342"/>
      <c r="Q21" s="2343"/>
      <c r="R21" s="2346" t="s">
        <v>1226</v>
      </c>
      <c r="S21" s="2346">
        <f>M42+M44</f>
        <v>42.17</v>
      </c>
      <c r="T21" s="2346">
        <f>M45</f>
        <v>20.619999999999997</v>
      </c>
      <c r="U21" s="2346"/>
      <c r="V21" s="2348"/>
      <c r="W21" s="2348"/>
      <c r="X21" s="2602"/>
      <c r="Y21" s="2602"/>
      <c r="Z21" s="2602"/>
      <c r="AA21" s="2602"/>
      <c r="AB21" s="2602"/>
    </row>
    <row r="22" spans="1:28" ht="18.75" customHeight="1">
      <c r="A22" s="1789">
        <v>1</v>
      </c>
      <c r="B22" s="1790" t="s">
        <v>927</v>
      </c>
      <c r="C22" s="1787"/>
      <c r="D22" s="1820"/>
      <c r="E22" s="1792"/>
      <c r="F22" s="1793"/>
      <c r="G22" s="1792"/>
      <c r="H22" s="1793"/>
      <c r="I22" s="1816"/>
      <c r="J22" s="1795"/>
      <c r="K22" s="1816"/>
      <c r="L22" s="2341"/>
      <c r="M22" s="1794"/>
      <c r="N22" s="1795"/>
      <c r="O22" s="1796">
        <f>+SUM(O23:O25)</f>
        <v>171.97657225200001</v>
      </c>
      <c r="P22" s="2342"/>
      <c r="Q22" s="2343"/>
      <c r="R22" s="4547"/>
      <c r="S22" s="4547"/>
      <c r="T22" s="2609"/>
      <c r="U22" s="2609"/>
      <c r="V22" s="2606"/>
      <c r="W22" s="2606"/>
      <c r="X22" s="2606"/>
      <c r="Y22" s="2606"/>
      <c r="Z22" s="2606"/>
      <c r="AA22" s="2606"/>
      <c r="AB22" s="2602"/>
    </row>
    <row r="23" spans="1:28" ht="18.75" customHeight="1">
      <c r="A23" s="1798" t="s">
        <v>837</v>
      </c>
      <c r="B23" s="1781" t="s">
        <v>204</v>
      </c>
      <c r="C23" s="1787" t="s">
        <v>959</v>
      </c>
      <c r="D23" s="1820">
        <v>1.25</v>
      </c>
      <c r="E23" s="1810"/>
      <c r="F23" s="1800"/>
      <c r="G23" s="1811"/>
      <c r="H23" s="1802"/>
      <c r="I23" s="1810"/>
      <c r="J23" s="1802"/>
      <c r="K23" s="1795"/>
      <c r="L23" s="2341"/>
      <c r="M23" s="1794">
        <v>23</v>
      </c>
      <c r="N23" s="1795">
        <v>1</v>
      </c>
      <c r="O23" s="1788">
        <f>ROUND((M23/D23)*N23,9)</f>
        <v>18.399999999999999</v>
      </c>
      <c r="P23" s="2342"/>
      <c r="Q23" s="2343"/>
      <c r="R23" s="2611"/>
      <c r="S23" s="2611"/>
      <c r="T23" s="2611"/>
      <c r="U23" s="2611"/>
      <c r="V23" s="2603"/>
      <c r="W23" s="2603"/>
      <c r="X23" s="2603"/>
      <c r="Y23" s="2603"/>
      <c r="Z23" s="2603"/>
      <c r="AA23" s="2603"/>
      <c r="AB23" s="2602"/>
    </row>
    <row r="24" spans="1:28" ht="18.75" customHeight="1">
      <c r="A24" s="4477" t="s">
        <v>838</v>
      </c>
      <c r="B24" s="4479" t="s">
        <v>1064</v>
      </c>
      <c r="C24" s="4481" t="s">
        <v>1050</v>
      </c>
      <c r="D24" s="4483">
        <v>0.20829999999999999</v>
      </c>
      <c r="E24" s="1811" t="s">
        <v>1061</v>
      </c>
      <c r="F24" s="1802">
        <v>1.22</v>
      </c>
      <c r="G24" s="1810" t="s">
        <v>1059</v>
      </c>
      <c r="H24" s="1802">
        <v>3.36</v>
      </c>
      <c r="I24" s="1795" t="s">
        <v>1060</v>
      </c>
      <c r="J24" s="2341">
        <v>3.99</v>
      </c>
      <c r="K24" s="1795">
        <v>8</v>
      </c>
      <c r="L24" s="2341">
        <v>2.2999999999999998</v>
      </c>
      <c r="M24" s="4485">
        <f>F24+H24+J24+L24+F25+H25+J25+L25</f>
        <v>31.990000000000002</v>
      </c>
      <c r="N24" s="4487">
        <v>1</v>
      </c>
      <c r="O24" s="4470">
        <f>ROUND((M24/D24)*N24,9)</f>
        <v>153.57657225200001</v>
      </c>
      <c r="P24" s="2350"/>
      <c r="Q24" s="2349">
        <f>M24*1.7</f>
        <v>54.383000000000003</v>
      </c>
      <c r="R24" s="2602"/>
      <c r="S24" s="2602"/>
      <c r="T24" s="2602">
        <f>S20*1.7</f>
        <v>419.64499999999998</v>
      </c>
      <c r="U24" s="2602"/>
      <c r="V24" s="2602"/>
      <c r="W24" s="2602"/>
      <c r="X24" s="2602"/>
      <c r="Y24" s="2602"/>
      <c r="Z24" s="2602"/>
      <c r="AA24" s="2602"/>
      <c r="AB24" s="2602"/>
    </row>
    <row r="25" spans="1:28" ht="18.75" customHeight="1">
      <c r="A25" s="4478"/>
      <c r="B25" s="4480"/>
      <c r="C25" s="4482"/>
      <c r="D25" s="4484"/>
      <c r="E25" s="1811" t="s">
        <v>1056</v>
      </c>
      <c r="F25" s="1802">
        <v>3.16</v>
      </c>
      <c r="G25" s="1810" t="s">
        <v>1057</v>
      </c>
      <c r="H25" s="1802">
        <v>6.09</v>
      </c>
      <c r="I25" s="1795" t="s">
        <v>209</v>
      </c>
      <c r="J25" s="2341">
        <v>1.77</v>
      </c>
      <c r="K25" s="1795">
        <v>9</v>
      </c>
      <c r="L25" s="2341">
        <v>10.1</v>
      </c>
      <c r="M25" s="4486"/>
      <c r="N25" s="4488"/>
      <c r="O25" s="4471"/>
      <c r="P25" s="2350"/>
      <c r="Q25" s="2349"/>
      <c r="R25" s="2602"/>
      <c r="S25" s="2602"/>
      <c r="T25" s="2602"/>
      <c r="U25" s="2602"/>
      <c r="V25" s="2602"/>
      <c r="W25" s="2602"/>
      <c r="X25" s="2602"/>
      <c r="Y25" s="2602"/>
      <c r="Z25" s="2602"/>
      <c r="AA25" s="2602"/>
      <c r="AB25" s="2602"/>
    </row>
    <row r="26" spans="1:28" ht="18.75" customHeight="1">
      <c r="A26" s="1789">
        <v>2</v>
      </c>
      <c r="B26" s="1790" t="s">
        <v>824</v>
      </c>
      <c r="C26" s="1787"/>
      <c r="D26" s="1820"/>
      <c r="E26" s="1810"/>
      <c r="F26" s="1802"/>
      <c r="G26" s="1810"/>
      <c r="H26" s="1802"/>
      <c r="I26" s="1811"/>
      <c r="J26" s="1802"/>
      <c r="K26" s="1811"/>
      <c r="L26" s="1802"/>
      <c r="M26" s="1794"/>
      <c r="N26" s="1795"/>
      <c r="O26" s="1796">
        <f>+SUM(O27:O35)</f>
        <v>1550.179341925</v>
      </c>
      <c r="P26" s="2342"/>
      <c r="Q26" s="2343"/>
      <c r="R26" s="2602"/>
      <c r="S26" s="2602"/>
      <c r="T26" s="2602"/>
      <c r="U26" s="2602"/>
      <c r="V26" s="2602"/>
      <c r="W26" s="2602"/>
      <c r="X26" s="2602"/>
      <c r="Y26" s="2602"/>
      <c r="Z26" s="2602"/>
      <c r="AA26" s="2602"/>
      <c r="AB26" s="2602"/>
    </row>
    <row r="27" spans="1:28" ht="34.5" customHeight="1">
      <c r="A27" s="1798" t="s">
        <v>969</v>
      </c>
      <c r="B27" s="2351" t="s">
        <v>1227</v>
      </c>
      <c r="C27" s="1787" t="s">
        <v>959</v>
      </c>
      <c r="D27" s="1820">
        <v>0.13</v>
      </c>
      <c r="E27" s="1810"/>
      <c r="F27" s="1802"/>
      <c r="G27" s="1811"/>
      <c r="H27" s="1802"/>
      <c r="I27" s="1810"/>
      <c r="J27" s="1802"/>
      <c r="K27" s="1810"/>
      <c r="L27" s="1802"/>
      <c r="M27" s="1794">
        <v>10</v>
      </c>
      <c r="N27" s="1795">
        <v>1</v>
      </c>
      <c r="O27" s="1788">
        <f t="shared" ref="O27:O30" si="0">ROUND((M27/D27)*N27,9)</f>
        <v>76.923076922999996</v>
      </c>
      <c r="P27" s="2342"/>
      <c r="Q27" s="2343"/>
      <c r="R27" s="2614"/>
      <c r="S27" s="2614"/>
      <c r="T27" s="2614"/>
      <c r="U27" s="2614"/>
      <c r="V27" s="2602"/>
      <c r="W27" s="2602"/>
      <c r="X27" s="2602"/>
      <c r="Y27" s="2602"/>
      <c r="Z27" s="2602"/>
      <c r="AA27" s="2602"/>
      <c r="AB27" s="2602"/>
    </row>
    <row r="28" spans="1:28" ht="39" customHeight="1">
      <c r="A28" s="1798" t="s">
        <v>1065</v>
      </c>
      <c r="B28" s="1781" t="s">
        <v>1080</v>
      </c>
      <c r="C28" s="1787" t="s">
        <v>959</v>
      </c>
      <c r="D28" s="1820">
        <f>25000/200000</f>
        <v>0.125</v>
      </c>
      <c r="E28" s="1810"/>
      <c r="F28" s="1802"/>
      <c r="G28" s="1811"/>
      <c r="H28" s="1802"/>
      <c r="I28" s="1811"/>
      <c r="J28" s="1802"/>
      <c r="K28" s="2379"/>
      <c r="L28" s="1807"/>
      <c r="M28" s="1794">
        <v>51</v>
      </c>
      <c r="N28" s="1795">
        <v>1</v>
      </c>
      <c r="O28" s="1788">
        <f t="shared" si="0"/>
        <v>408</v>
      </c>
      <c r="P28" s="2342"/>
      <c r="Q28" s="2343"/>
      <c r="R28" s="2614"/>
      <c r="S28" s="2614"/>
      <c r="T28" s="2614"/>
      <c r="U28" s="2614"/>
      <c r="V28" s="2602"/>
      <c r="W28" s="2602"/>
      <c r="X28" s="2602"/>
      <c r="Y28" s="2602"/>
      <c r="Z28" s="2602"/>
      <c r="AA28" s="2602"/>
      <c r="AB28" s="2602"/>
    </row>
    <row r="29" spans="1:28" ht="21.75" customHeight="1">
      <c r="A29" s="1798" t="s">
        <v>1066</v>
      </c>
      <c r="B29" s="1781" t="s">
        <v>1046</v>
      </c>
      <c r="C29" s="1787" t="s">
        <v>959</v>
      </c>
      <c r="D29" s="1820">
        <f>25000/150000</f>
        <v>0.16666666666666666</v>
      </c>
      <c r="E29" s="1810"/>
      <c r="F29" s="1802"/>
      <c r="G29" s="1811"/>
      <c r="H29" s="1802"/>
      <c r="I29" s="1811"/>
      <c r="J29" s="1802"/>
      <c r="K29" s="2379"/>
      <c r="L29" s="1807"/>
      <c r="M29" s="1794">
        <f>17+64+1</f>
        <v>82</v>
      </c>
      <c r="N29" s="1795">
        <v>1</v>
      </c>
      <c r="O29" s="1788">
        <f t="shared" si="0"/>
        <v>492</v>
      </c>
      <c r="P29" s="2342"/>
      <c r="Q29" s="2343"/>
      <c r="R29" s="1760"/>
      <c r="S29" s="1760"/>
      <c r="T29" s="1760"/>
      <c r="U29" s="1760"/>
    </row>
    <row r="30" spans="1:28" ht="21.75" customHeight="1">
      <c r="A30" s="1798" t="s">
        <v>1067</v>
      </c>
      <c r="B30" s="1781" t="s">
        <v>204</v>
      </c>
      <c r="C30" s="1787" t="s">
        <v>959</v>
      </c>
      <c r="D30" s="1820">
        <v>1.25</v>
      </c>
      <c r="E30" s="1810"/>
      <c r="F30" s="1802"/>
      <c r="G30" s="1811"/>
      <c r="H30" s="1802"/>
      <c r="I30" s="1811"/>
      <c r="J30" s="1802"/>
      <c r="K30" s="2379"/>
      <c r="L30" s="1807"/>
      <c r="M30" s="1794">
        <v>152</v>
      </c>
      <c r="N30" s="1795">
        <v>1</v>
      </c>
      <c r="O30" s="1788">
        <f t="shared" si="0"/>
        <v>121.6</v>
      </c>
      <c r="P30" s="2342"/>
      <c r="Q30" s="2343"/>
      <c r="R30" s="1760"/>
      <c r="S30" s="1760"/>
      <c r="T30" s="1760"/>
      <c r="U30" s="1760"/>
    </row>
    <row r="31" spans="1:28" ht="21.75" customHeight="1">
      <c r="A31" s="4477" t="s">
        <v>1068</v>
      </c>
      <c r="B31" s="4479" t="s">
        <v>1064</v>
      </c>
      <c r="C31" s="4481" t="s">
        <v>1050</v>
      </c>
      <c r="D31" s="4483">
        <v>0.20829999999999999</v>
      </c>
      <c r="E31" s="1810">
        <v>10</v>
      </c>
      <c r="F31" s="1802">
        <v>3.09</v>
      </c>
      <c r="G31" s="1810">
        <v>14</v>
      </c>
      <c r="H31" s="1802">
        <v>4.3499999999999996</v>
      </c>
      <c r="I31" s="1810" t="s">
        <v>1060</v>
      </c>
      <c r="J31" s="1802">
        <v>1.64</v>
      </c>
      <c r="K31" s="1810" t="s">
        <v>1074</v>
      </c>
      <c r="L31" s="1807">
        <v>2.96</v>
      </c>
      <c r="M31" s="4485">
        <f>L31+L32+L33+L34+J31+J32+J33+J34+F31+F32+F33+F34+H31+H32+H33+H34+F35+H35+J35</f>
        <v>94.08</v>
      </c>
      <c r="N31" s="4487">
        <v>1</v>
      </c>
      <c r="O31" s="4470">
        <f>ROUND((M31/D31)*N31,9)</f>
        <v>451.656265002</v>
      </c>
      <c r="P31" s="2342"/>
      <c r="Q31" s="2343">
        <f>M31*1.7</f>
        <v>159.93600000000001</v>
      </c>
      <c r="R31" s="1715"/>
      <c r="S31" s="1715"/>
      <c r="T31" s="1760"/>
      <c r="U31" s="1760"/>
    </row>
    <row r="32" spans="1:28" ht="21.75" customHeight="1">
      <c r="A32" s="4492"/>
      <c r="B32" s="4493"/>
      <c r="C32" s="4494"/>
      <c r="D32" s="4495"/>
      <c r="E32" s="1810">
        <v>11</v>
      </c>
      <c r="F32" s="1802">
        <v>1.08</v>
      </c>
      <c r="G32" s="1810" t="s">
        <v>1073</v>
      </c>
      <c r="H32" s="1802">
        <v>6.81</v>
      </c>
      <c r="I32" s="1810" t="s">
        <v>209</v>
      </c>
      <c r="J32" s="1802">
        <v>2.87</v>
      </c>
      <c r="K32" s="1810">
        <v>9</v>
      </c>
      <c r="L32" s="1802">
        <v>2.46</v>
      </c>
      <c r="M32" s="4496"/>
      <c r="N32" s="4497"/>
      <c r="O32" s="4491"/>
      <c r="P32" s="2342"/>
      <c r="Q32" s="2349">
        <f>M32*1.7</f>
        <v>0</v>
      </c>
      <c r="R32" s="2353"/>
      <c r="S32" s="2353"/>
      <c r="T32" s="1760"/>
      <c r="U32" s="1760"/>
    </row>
    <row r="33" spans="1:23" ht="21.75" customHeight="1">
      <c r="A33" s="4492"/>
      <c r="B33" s="4493"/>
      <c r="C33" s="4494"/>
      <c r="D33" s="4495"/>
      <c r="E33" s="1810">
        <v>8</v>
      </c>
      <c r="F33" s="1802">
        <v>1.55</v>
      </c>
      <c r="G33" s="1810">
        <v>10</v>
      </c>
      <c r="H33" s="1802">
        <v>5.78</v>
      </c>
      <c r="I33" s="1810" t="s">
        <v>1085</v>
      </c>
      <c r="J33" s="1802">
        <v>11.11</v>
      </c>
      <c r="K33" s="1810" t="s">
        <v>158</v>
      </c>
      <c r="L33" s="1807">
        <v>12.57</v>
      </c>
      <c r="M33" s="4496"/>
      <c r="N33" s="4497"/>
      <c r="O33" s="4491"/>
      <c r="P33" s="2342"/>
      <c r="Q33" s="2349"/>
      <c r="R33" s="2353"/>
      <c r="S33" s="2353"/>
      <c r="T33" s="1760"/>
      <c r="U33" s="1760"/>
    </row>
    <row r="34" spans="1:23" ht="21.75" customHeight="1">
      <c r="A34" s="4492"/>
      <c r="B34" s="4493"/>
      <c r="C34" s="4494"/>
      <c r="D34" s="4495"/>
      <c r="E34" s="1810" t="s">
        <v>159</v>
      </c>
      <c r="F34" s="1802">
        <v>6.63</v>
      </c>
      <c r="G34" s="1810" t="s">
        <v>1076</v>
      </c>
      <c r="H34" s="1802">
        <v>15.52</v>
      </c>
      <c r="I34" s="1810" t="s">
        <v>159</v>
      </c>
      <c r="J34" s="1802">
        <v>0.5</v>
      </c>
      <c r="K34" s="1810">
        <v>7</v>
      </c>
      <c r="L34" s="1807">
        <v>0.95</v>
      </c>
      <c r="M34" s="4496"/>
      <c r="N34" s="4497"/>
      <c r="O34" s="4491"/>
      <c r="P34" s="2342"/>
      <c r="Q34" s="2343"/>
      <c r="R34" s="2353"/>
      <c r="S34" s="2353"/>
      <c r="T34" s="1760"/>
      <c r="U34" s="1760"/>
    </row>
    <row r="35" spans="1:23" ht="21.75" customHeight="1">
      <c r="A35" s="4478"/>
      <c r="B35" s="4480"/>
      <c r="C35" s="4494"/>
      <c r="D35" s="4495"/>
      <c r="E35" s="1810" t="s">
        <v>1087</v>
      </c>
      <c r="F35" s="1802">
        <v>1.32</v>
      </c>
      <c r="G35" s="1810">
        <v>6</v>
      </c>
      <c r="H35" s="1802">
        <v>4.03</v>
      </c>
      <c r="I35" s="1810" t="s">
        <v>206</v>
      </c>
      <c r="J35" s="1802">
        <v>8.86</v>
      </c>
      <c r="K35" s="1810"/>
      <c r="L35" s="1802"/>
      <c r="M35" s="4486"/>
      <c r="N35" s="4488"/>
      <c r="O35" s="4471"/>
      <c r="P35" s="2342"/>
      <c r="Q35" s="2343"/>
      <c r="R35" s="2353"/>
      <c r="S35" s="2353"/>
      <c r="T35" s="1760"/>
      <c r="U35" s="1760"/>
    </row>
    <row r="36" spans="1:23" ht="21" customHeight="1">
      <c r="A36" s="1789">
        <v>3</v>
      </c>
      <c r="B36" s="1790" t="s">
        <v>928</v>
      </c>
      <c r="C36" s="1787"/>
      <c r="D36" s="1820"/>
      <c r="E36" s="1791"/>
      <c r="F36" s="1791"/>
      <c r="G36" s="1791"/>
      <c r="H36" s="1791"/>
      <c r="I36" s="2387"/>
      <c r="J36" s="1800"/>
      <c r="K36" s="1811"/>
      <c r="L36" s="1802"/>
      <c r="M36" s="1794"/>
      <c r="N36" s="1795"/>
      <c r="O36" s="1796">
        <f>+SUM(O37:O40)</f>
        <v>666.23677388399994</v>
      </c>
      <c r="P36" s="2342"/>
      <c r="Q36" s="2343"/>
      <c r="R36" s="2353"/>
      <c r="S36" s="2353"/>
      <c r="T36" s="1760"/>
      <c r="U36" s="1760"/>
    </row>
    <row r="37" spans="1:23" ht="21" customHeight="1">
      <c r="A37" s="1798" t="s">
        <v>889</v>
      </c>
      <c r="B37" s="1781" t="s">
        <v>1046</v>
      </c>
      <c r="C37" s="1787" t="s">
        <v>959</v>
      </c>
      <c r="D37" s="1820">
        <f>25000/150000</f>
        <v>0.16666666666666666</v>
      </c>
      <c r="E37" s="1810"/>
      <c r="F37" s="1802"/>
      <c r="G37" s="1811"/>
      <c r="H37" s="1802"/>
      <c r="I37" s="1811"/>
      <c r="J37" s="1802"/>
      <c r="K37" s="2379"/>
      <c r="L37" s="1807"/>
      <c r="M37" s="1794">
        <v>2</v>
      </c>
      <c r="N37" s="1795">
        <v>1</v>
      </c>
      <c r="O37" s="1788">
        <f t="shared" ref="O37:O38" si="1">ROUND((M37/D37)*N37,9)</f>
        <v>12</v>
      </c>
      <c r="P37" s="2342"/>
      <c r="Q37" s="2343"/>
      <c r="R37" s="2354"/>
      <c r="S37" s="2353"/>
      <c r="T37" s="1760"/>
      <c r="U37" s="1760"/>
    </row>
    <row r="38" spans="1:23" ht="21" customHeight="1">
      <c r="A38" s="1798" t="s">
        <v>970</v>
      </c>
      <c r="B38" s="1781" t="s">
        <v>204</v>
      </c>
      <c r="C38" s="1787" t="s">
        <v>959</v>
      </c>
      <c r="D38" s="1820">
        <v>1.25</v>
      </c>
      <c r="E38" s="1810"/>
      <c r="F38" s="1802"/>
      <c r="G38" s="1811"/>
      <c r="H38" s="1802"/>
      <c r="I38" s="1811"/>
      <c r="J38" s="1802"/>
      <c r="K38" s="2379"/>
      <c r="L38" s="1807"/>
      <c r="M38" s="1794">
        <v>93</v>
      </c>
      <c r="N38" s="1795">
        <v>1</v>
      </c>
      <c r="O38" s="1788">
        <f t="shared" si="1"/>
        <v>74.400000000000006</v>
      </c>
      <c r="P38" s="2342"/>
      <c r="Q38" s="2343"/>
      <c r="R38" s="2353"/>
      <c r="S38" s="2353"/>
      <c r="T38" s="2353"/>
      <c r="U38" s="2353"/>
      <c r="V38" s="1715"/>
      <c r="W38" s="1715"/>
    </row>
    <row r="39" spans="1:23" ht="27" customHeight="1">
      <c r="A39" s="4477" t="s">
        <v>1079</v>
      </c>
      <c r="B39" s="4479" t="s">
        <v>1064</v>
      </c>
      <c r="C39" s="4481" t="s">
        <v>1050</v>
      </c>
      <c r="D39" s="4483">
        <v>0.20829999999999999</v>
      </c>
      <c r="E39" s="2645">
        <v>9</v>
      </c>
      <c r="F39" s="1802">
        <v>1.24</v>
      </c>
      <c r="G39" s="2645">
        <v>14</v>
      </c>
      <c r="H39" s="1802">
        <v>27.25</v>
      </c>
      <c r="I39" s="1795" t="s">
        <v>1101</v>
      </c>
      <c r="J39" s="2341">
        <v>5.45</v>
      </c>
      <c r="K39" s="1795" t="s">
        <v>1102</v>
      </c>
      <c r="L39" s="2341">
        <v>13.48</v>
      </c>
      <c r="M39" s="4485">
        <f>F40+H40+J40+L40+L39+J39+H39+F39</f>
        <v>120.78</v>
      </c>
      <c r="N39" s="4487">
        <v>1</v>
      </c>
      <c r="O39" s="4470">
        <f>ROUND((M39/D39)*N39,9)</f>
        <v>579.83677388399997</v>
      </c>
      <c r="P39" s="2518"/>
      <c r="Q39" s="2343">
        <f>M39*1.7</f>
        <v>205.32599999999999</v>
      </c>
      <c r="R39" s="2353"/>
      <c r="S39" s="2353"/>
      <c r="T39" s="2353"/>
      <c r="U39" s="2589"/>
      <c r="V39" s="1715"/>
      <c r="W39" s="1715"/>
    </row>
    <row r="40" spans="1:23" ht="27.75" customHeight="1">
      <c r="A40" s="4478"/>
      <c r="B40" s="4480"/>
      <c r="C40" s="4482"/>
      <c r="D40" s="4484"/>
      <c r="E40" s="2645">
        <v>11</v>
      </c>
      <c r="F40" s="1802">
        <v>10.6</v>
      </c>
      <c r="G40" s="2645" t="s">
        <v>1099</v>
      </c>
      <c r="H40" s="1802">
        <v>17.88</v>
      </c>
      <c r="I40" s="1795" t="s">
        <v>208</v>
      </c>
      <c r="J40" s="2341">
        <v>41.17</v>
      </c>
      <c r="K40" s="1795" t="s">
        <v>1100</v>
      </c>
      <c r="L40" s="2341">
        <v>3.71</v>
      </c>
      <c r="M40" s="4486"/>
      <c r="N40" s="4488"/>
      <c r="O40" s="4471"/>
      <c r="P40" s="2350"/>
      <c r="Q40" s="2349"/>
      <c r="R40" s="2353"/>
      <c r="S40" s="2353"/>
      <c r="T40" s="2353"/>
      <c r="U40" s="2589"/>
      <c r="V40" s="1715"/>
      <c r="W40" s="1715"/>
    </row>
    <row r="41" spans="1:23" ht="21" customHeight="1">
      <c r="A41" s="1789" t="s">
        <v>92</v>
      </c>
      <c r="B41" s="1814" t="s">
        <v>930</v>
      </c>
      <c r="C41" s="1787"/>
      <c r="D41" s="1820"/>
      <c r="E41" s="1793"/>
      <c r="F41" s="1793"/>
      <c r="G41" s="1793"/>
      <c r="H41" s="1793"/>
      <c r="I41" s="1795"/>
      <c r="J41" s="1795"/>
      <c r="K41" s="1795"/>
      <c r="L41" s="2341"/>
      <c r="M41" s="1794"/>
      <c r="N41" s="1795"/>
      <c r="O41" s="1796">
        <f>SUM(O42:O45)</f>
        <v>532.36839174200009</v>
      </c>
      <c r="P41" s="2342"/>
      <c r="Q41" s="2343"/>
      <c r="R41" s="2353"/>
      <c r="S41" s="2353"/>
      <c r="T41" s="2353"/>
      <c r="U41" s="2353"/>
      <c r="V41" s="1715"/>
      <c r="W41" s="1715"/>
    </row>
    <row r="42" spans="1:23" ht="21.75" customHeight="1">
      <c r="A42" s="4477">
        <v>1</v>
      </c>
      <c r="B42" s="4479" t="s">
        <v>1313</v>
      </c>
      <c r="C42" s="4481" t="s">
        <v>1050</v>
      </c>
      <c r="D42" s="4483">
        <v>0.20830000000000001</v>
      </c>
      <c r="E42" s="1810" t="s">
        <v>160</v>
      </c>
      <c r="F42" s="1802">
        <v>12.18</v>
      </c>
      <c r="G42" s="1811" t="s">
        <v>1057</v>
      </c>
      <c r="H42" s="1802">
        <v>6.51</v>
      </c>
      <c r="I42" s="1810" t="s">
        <v>159</v>
      </c>
      <c r="J42" s="1802">
        <v>1.67</v>
      </c>
      <c r="K42" s="1795" t="s">
        <v>1228</v>
      </c>
      <c r="L42" s="2341">
        <v>8.44</v>
      </c>
      <c r="M42" s="4485">
        <f>F42+F43+H42+J42+L42+H43+J43+L43</f>
        <v>41.11</v>
      </c>
      <c r="N42" s="4487">
        <v>1</v>
      </c>
      <c r="O42" s="4470">
        <f>ROUND((M42/D42)*N42,9)</f>
        <v>197.359577532</v>
      </c>
      <c r="P42" s="2342"/>
      <c r="Q42" s="2343">
        <f>(M42+M44)*2</f>
        <v>84.34</v>
      </c>
      <c r="R42" s="1760"/>
      <c r="S42" s="1760"/>
      <c r="T42" s="1760"/>
      <c r="U42" s="1760"/>
    </row>
    <row r="43" spans="1:23" ht="21" customHeight="1">
      <c r="A43" s="4478"/>
      <c r="B43" s="4480"/>
      <c r="C43" s="4482"/>
      <c r="D43" s="4484"/>
      <c r="E43" s="1811">
        <v>8</v>
      </c>
      <c r="F43" s="1802">
        <v>4.6500000000000004</v>
      </c>
      <c r="G43" s="1811" t="s">
        <v>1074</v>
      </c>
      <c r="H43" s="1802">
        <v>7.66</v>
      </c>
      <c r="I43" s="1810"/>
      <c r="J43" s="1802"/>
      <c r="K43" s="1795"/>
      <c r="L43" s="2341"/>
      <c r="M43" s="4486"/>
      <c r="N43" s="4488"/>
      <c r="O43" s="4471"/>
      <c r="P43" s="2342"/>
      <c r="Q43" s="2343"/>
      <c r="R43" s="2353"/>
      <c r="S43" s="2353"/>
      <c r="T43" s="1760"/>
      <c r="U43" s="1760"/>
    </row>
    <row r="44" spans="1:23" ht="21" customHeight="1">
      <c r="A44" s="2511">
        <v>2</v>
      </c>
      <c r="B44" s="2512" t="s">
        <v>1314</v>
      </c>
      <c r="C44" s="2513" t="s">
        <v>1050</v>
      </c>
      <c r="D44" s="2514">
        <v>0.20830000000000001</v>
      </c>
      <c r="E44" s="2646" t="s">
        <v>159</v>
      </c>
      <c r="F44" s="1800">
        <v>1.06</v>
      </c>
      <c r="G44" s="1811"/>
      <c r="H44" s="1802"/>
      <c r="I44" s="1810"/>
      <c r="J44" s="1802"/>
      <c r="K44" s="1795"/>
      <c r="L44" s="2341"/>
      <c r="M44" s="2515">
        <f>F44</f>
        <v>1.06</v>
      </c>
      <c r="N44" s="2516">
        <v>1</v>
      </c>
      <c r="O44" s="2517">
        <f>ROUND((M44/D44)*N44,9)</f>
        <v>5.0888142099999998</v>
      </c>
      <c r="P44" s="2342"/>
      <c r="Q44" s="2343"/>
      <c r="R44" s="2353"/>
      <c r="S44" s="2353"/>
      <c r="T44" s="1760"/>
      <c r="U44" s="1760"/>
    </row>
    <row r="45" spans="1:23" ht="21" customHeight="1">
      <c r="A45" s="2511">
        <v>3</v>
      </c>
      <c r="B45" s="2512" t="s">
        <v>1315</v>
      </c>
      <c r="C45" s="2513" t="s">
        <v>1050</v>
      </c>
      <c r="D45" s="2514">
        <f>1/16</f>
        <v>6.25E-2</v>
      </c>
      <c r="E45" s="2646" t="s">
        <v>160</v>
      </c>
      <c r="F45" s="2647">
        <v>12.18</v>
      </c>
      <c r="G45" s="1811" t="s">
        <v>1228</v>
      </c>
      <c r="H45" s="2647">
        <v>8.44</v>
      </c>
      <c r="I45" s="1810"/>
      <c r="J45" s="1802"/>
      <c r="K45" s="1795"/>
      <c r="L45" s="2341"/>
      <c r="M45" s="2515">
        <f>F45+H45</f>
        <v>20.619999999999997</v>
      </c>
      <c r="N45" s="2516">
        <v>1</v>
      </c>
      <c r="O45" s="2517">
        <f>ROUND((M45/D45)*N45,9)</f>
        <v>329.92</v>
      </c>
      <c r="P45" s="2342"/>
      <c r="Q45" s="2343"/>
      <c r="R45" s="2353"/>
      <c r="S45" s="2353"/>
      <c r="T45" s="1760"/>
      <c r="U45" s="1760"/>
    </row>
    <row r="46" spans="1:23" ht="21" customHeight="1">
      <c r="A46" s="1772" t="s">
        <v>53</v>
      </c>
      <c r="B46" s="1790" t="s">
        <v>825</v>
      </c>
      <c r="C46" s="1815"/>
      <c r="D46" s="2356"/>
      <c r="E46" s="2510"/>
      <c r="F46" s="2510"/>
      <c r="G46" s="2510"/>
      <c r="H46" s="2510"/>
      <c r="I46" s="2510"/>
      <c r="J46" s="2510"/>
      <c r="K46" s="2510"/>
      <c r="L46" s="2337"/>
      <c r="M46" s="1794"/>
      <c r="N46" s="1816"/>
      <c r="O46" s="1778">
        <f>SUM(O47:O47)</f>
        <v>416</v>
      </c>
      <c r="P46" s="1817"/>
      <c r="Q46" s="2335"/>
      <c r="R46" s="2353"/>
      <c r="S46" s="2353"/>
      <c r="T46" s="1760"/>
      <c r="U46" s="1760"/>
    </row>
    <row r="47" spans="1:23" ht="21" customHeight="1">
      <c r="A47" s="1798">
        <v>1</v>
      </c>
      <c r="B47" s="1818" t="s">
        <v>826</v>
      </c>
      <c r="C47" s="1787" t="s">
        <v>362</v>
      </c>
      <c r="D47" s="1820"/>
      <c r="E47" s="4472" t="s">
        <v>1229</v>
      </c>
      <c r="F47" s="4472"/>
      <c r="G47" s="4472"/>
      <c r="H47" s="4472"/>
      <c r="I47" s="4472"/>
      <c r="J47" s="4472"/>
      <c r="K47" s="1819"/>
      <c r="L47" s="1820"/>
      <c r="M47" s="1821"/>
      <c r="N47" s="1822"/>
      <c r="O47" s="1823">
        <f>4*2600000/25000</f>
        <v>416</v>
      </c>
      <c r="P47" s="1824"/>
      <c r="Q47" s="2357"/>
      <c r="R47" s="2353"/>
      <c r="S47" s="2353"/>
      <c r="T47" s="1760"/>
      <c r="U47" s="1760"/>
    </row>
    <row r="48" spans="1:23" ht="27" customHeight="1">
      <c r="A48" s="4473" t="s">
        <v>1230</v>
      </c>
      <c r="B48" s="4473"/>
      <c r="C48" s="4473"/>
      <c r="D48" s="2358"/>
      <c r="E48" s="1825"/>
      <c r="F48" s="1825"/>
      <c r="G48" s="1825"/>
      <c r="H48" s="1825"/>
      <c r="I48" s="1825"/>
      <c r="J48" s="1825"/>
      <c r="K48" s="1825"/>
      <c r="L48" s="1826"/>
      <c r="M48" s="1827"/>
      <c r="N48" s="1825"/>
      <c r="O48" s="1828">
        <f>O11+O46+O41</f>
        <v>8671.9610798029989</v>
      </c>
      <c r="P48" s="1829"/>
      <c r="Q48" s="2336"/>
      <c r="R48" s="2353"/>
      <c r="S48" s="2353"/>
      <c r="T48" s="1760"/>
      <c r="U48" s="1760"/>
    </row>
    <row r="49" spans="1:21" ht="20.45" customHeight="1">
      <c r="A49" s="1830"/>
      <c r="B49" s="1831"/>
      <c r="C49" s="1832"/>
      <c r="D49" s="2359"/>
      <c r="E49" s="1834"/>
      <c r="F49" s="1835"/>
      <c r="G49" s="1834"/>
      <c r="H49" s="1835"/>
      <c r="I49" s="2525"/>
      <c r="J49" s="1833"/>
      <c r="K49" s="2525"/>
      <c r="L49" s="4474" t="s">
        <v>1316</v>
      </c>
      <c r="M49" s="4474"/>
      <c r="N49" s="4474"/>
      <c r="O49" s="4474"/>
      <c r="P49" s="4474"/>
      <c r="Q49" s="2360"/>
      <c r="R49" s="2353"/>
      <c r="S49" s="2353"/>
      <c r="T49" s="1760"/>
      <c r="U49" s="1760"/>
    </row>
    <row r="50" spans="1:21" ht="20.45" customHeight="1">
      <c r="A50" s="4475"/>
      <c r="B50" s="4475"/>
      <c r="C50" s="4475"/>
      <c r="D50" s="4475"/>
      <c r="E50" s="4475"/>
      <c r="F50" s="1836"/>
      <c r="G50" s="1836"/>
      <c r="H50" s="4476"/>
      <c r="I50" s="4476"/>
      <c r="J50" s="4476"/>
      <c r="K50" s="2524"/>
      <c r="L50" s="4475" t="s">
        <v>827</v>
      </c>
      <c r="M50" s="4475"/>
      <c r="N50" s="4475"/>
      <c r="O50" s="4475"/>
      <c r="P50" s="4475"/>
      <c r="Q50" s="2523"/>
      <c r="R50" s="1760"/>
      <c r="S50" s="1760"/>
      <c r="T50" s="1760"/>
      <c r="U50" s="1760"/>
    </row>
    <row r="51" spans="1:21" ht="20.45" customHeight="1">
      <c r="A51" s="1837"/>
      <c r="B51" s="1838"/>
      <c r="C51" s="1839"/>
      <c r="D51" s="2361"/>
      <c r="E51" s="1840"/>
      <c r="F51" s="1839"/>
      <c r="G51" s="1841"/>
      <c r="H51" s="1839"/>
      <c r="I51" s="2362"/>
      <c r="J51" s="2519"/>
      <c r="K51" s="2362"/>
      <c r="L51" s="2361"/>
      <c r="M51" s="1842"/>
      <c r="N51" s="1843"/>
      <c r="O51" s="4489"/>
      <c r="P51" s="4489"/>
      <c r="Q51" s="2519"/>
    </row>
    <row r="52" spans="1:21" ht="20.45" customHeight="1">
      <c r="A52" s="1837"/>
      <c r="B52" s="1838"/>
      <c r="C52" s="1838"/>
      <c r="D52" s="2363"/>
      <c r="E52" s="1844"/>
      <c r="F52" s="1845"/>
      <c r="G52" s="1754"/>
      <c r="H52" s="1845"/>
      <c r="I52" s="2331"/>
      <c r="J52" s="2364"/>
      <c r="K52" s="2365"/>
      <c r="L52" s="2366"/>
      <c r="M52" s="1846"/>
      <c r="N52" s="1845"/>
      <c r="P52" s="1837"/>
      <c r="Q52" s="1837"/>
    </row>
    <row r="53" spans="1:21" ht="20.45" customHeight="1">
      <c r="A53" s="1837"/>
      <c r="B53" s="1838"/>
      <c r="C53" s="1838"/>
      <c r="D53" s="2363"/>
      <c r="E53" s="1844"/>
      <c r="F53" s="1845"/>
      <c r="G53" s="1754"/>
      <c r="H53" s="1845"/>
      <c r="I53" s="2331"/>
      <c r="J53" s="2364"/>
      <c r="K53" s="2365"/>
      <c r="L53" s="2366"/>
      <c r="M53" s="1846"/>
      <c r="N53" s="1845"/>
      <c r="P53" s="1837"/>
      <c r="Q53" s="1837"/>
    </row>
    <row r="54" spans="1:21" ht="21.75" customHeight="1">
      <c r="A54" s="4490"/>
      <c r="B54" s="4490"/>
      <c r="C54" s="4490"/>
      <c r="D54" s="4490"/>
      <c r="E54" s="4490"/>
      <c r="F54" s="1848"/>
      <c r="G54" s="1849"/>
      <c r="H54" s="4468"/>
      <c r="I54" s="4468"/>
      <c r="J54" s="4468"/>
      <c r="K54" s="2367"/>
      <c r="L54" s="2368"/>
      <c r="M54" s="4468"/>
      <c r="N54" s="4468"/>
      <c r="O54" s="4468"/>
      <c r="P54" s="4468"/>
      <c r="Q54" s="2520"/>
    </row>
    <row r="55" spans="1:21" ht="17.45" customHeight="1">
      <c r="A55" s="4469" t="s">
        <v>828</v>
      </c>
      <c r="B55" s="4469"/>
      <c r="C55" s="4469"/>
      <c r="D55" s="4469"/>
      <c r="E55" s="4469"/>
      <c r="F55" s="4469"/>
      <c r="G55" s="4469"/>
      <c r="H55" s="4469"/>
      <c r="I55" s="4469"/>
      <c r="J55" s="4469"/>
      <c r="K55" s="4469"/>
      <c r="L55" s="4469"/>
      <c r="M55" s="4469"/>
      <c r="N55" s="4469"/>
      <c r="O55" s="4469"/>
      <c r="P55" s="4469"/>
      <c r="Q55" s="2521"/>
    </row>
    <row r="56" spans="1:21" ht="27.75" customHeight="1">
      <c r="A56" s="4464" t="s">
        <v>1232</v>
      </c>
      <c r="B56" s="4464"/>
      <c r="C56" s="4464"/>
      <c r="D56" s="4464"/>
      <c r="E56" s="4464"/>
      <c r="F56" s="4464"/>
      <c r="G56" s="4464"/>
      <c r="H56" s="4464"/>
      <c r="I56" s="4464"/>
      <c r="J56" s="4464"/>
      <c r="K56" s="4464"/>
      <c r="L56" s="4464"/>
      <c r="M56" s="4464"/>
      <c r="N56" s="4464"/>
      <c r="O56" s="4464"/>
      <c r="P56" s="4464"/>
      <c r="Q56" s="2522"/>
    </row>
    <row r="57" spans="1:21" ht="27.75" customHeight="1"/>
    <row r="58" spans="1:21" ht="27.75" customHeight="1"/>
    <row r="59" spans="1:21" ht="27.75" customHeight="1">
      <c r="N59" s="1851"/>
    </row>
    <row r="60" spans="1:21" ht="27.75" customHeight="1"/>
    <row r="61" spans="1:21" ht="27.75" customHeight="1"/>
    <row r="62" spans="1:21" ht="27.75" customHeight="1"/>
    <row r="63" spans="1:21" ht="27.75" customHeight="1"/>
    <row r="64" spans="1:21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4" ht="10.5" customHeight="1"/>
    <row r="95" ht="10.5" customHeight="1"/>
    <row r="96" ht="10.5" customHeight="1"/>
    <row r="97" ht="10.5" customHeight="1"/>
    <row r="98" ht="10.5" customHeight="1"/>
    <row r="99" ht="6" customHeight="1"/>
  </sheetData>
  <mergeCells count="63">
    <mergeCell ref="A56:P56"/>
    <mergeCell ref="E47:J47"/>
    <mergeCell ref="A48:C48"/>
    <mergeCell ref="L49:P49"/>
    <mergeCell ref="A50:E50"/>
    <mergeCell ref="H50:J50"/>
    <mergeCell ref="L50:P50"/>
    <mergeCell ref="O51:P51"/>
    <mergeCell ref="A54:E54"/>
    <mergeCell ref="H54:J54"/>
    <mergeCell ref="M54:P54"/>
    <mergeCell ref="A55:P55"/>
    <mergeCell ref="O39:O40"/>
    <mergeCell ref="A42:A43"/>
    <mergeCell ref="B42:B43"/>
    <mergeCell ref="C42:C43"/>
    <mergeCell ref="D42:D43"/>
    <mergeCell ref="M42:M43"/>
    <mergeCell ref="N42:N43"/>
    <mergeCell ref="O42:O43"/>
    <mergeCell ref="A39:A40"/>
    <mergeCell ref="B39:B40"/>
    <mergeCell ref="C39:C40"/>
    <mergeCell ref="D39:D40"/>
    <mergeCell ref="M39:M40"/>
    <mergeCell ref="N39:N40"/>
    <mergeCell ref="O24:O25"/>
    <mergeCell ref="A31:A35"/>
    <mergeCell ref="B31:B35"/>
    <mergeCell ref="C31:C35"/>
    <mergeCell ref="D31:D35"/>
    <mergeCell ref="M31:M35"/>
    <mergeCell ref="N31:N35"/>
    <mergeCell ref="O31:O35"/>
    <mergeCell ref="A24:A25"/>
    <mergeCell ref="B24:B25"/>
    <mergeCell ref="C24:C25"/>
    <mergeCell ref="D24:D25"/>
    <mergeCell ref="M24:M25"/>
    <mergeCell ref="N24:N25"/>
    <mergeCell ref="R22:S22"/>
    <mergeCell ref="A7:P7"/>
    <mergeCell ref="A8:P8"/>
    <mergeCell ref="A9:A10"/>
    <mergeCell ref="B9:B10"/>
    <mergeCell ref="C9:C10"/>
    <mergeCell ref="D9:D10"/>
    <mergeCell ref="E9:M9"/>
    <mergeCell ref="N9:N10"/>
    <mergeCell ref="O9:O10"/>
    <mergeCell ref="P9:P10"/>
    <mergeCell ref="E16:L16"/>
    <mergeCell ref="E17:L17"/>
    <mergeCell ref="E18:L18"/>
    <mergeCell ref="E19:L19"/>
    <mergeCell ref="E20:L20"/>
    <mergeCell ref="A5:F5"/>
    <mergeCell ref="G5:P5"/>
    <mergeCell ref="A1:P1"/>
    <mergeCell ref="A2:P2"/>
    <mergeCell ref="A3:P3"/>
    <mergeCell ref="A4:F4"/>
    <mergeCell ref="G4:P4"/>
  </mergeCells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8"/>
  <sheetViews>
    <sheetView topLeftCell="A4" workbookViewId="0">
      <selection activeCell="T18" sqref="T18"/>
    </sheetView>
  </sheetViews>
  <sheetFormatPr defaultRowHeight="15.75"/>
  <cols>
    <col min="1" max="1" width="4.25" style="1852" customWidth="1"/>
    <col min="2" max="2" width="28.25" style="1853" customWidth="1"/>
    <col min="3" max="3" width="6" style="1854" customWidth="1"/>
    <col min="4" max="4" width="5.875" style="2369" customWidth="1"/>
    <col min="5" max="5" width="5" style="1856" customWidth="1"/>
    <col min="6" max="6" width="6" style="1857" customWidth="1"/>
    <col min="7" max="7" width="5.75" style="1858" customWidth="1"/>
    <col min="8" max="8" width="5.375" style="1857" customWidth="1"/>
    <col min="9" max="9" width="5.75" style="2370" customWidth="1"/>
    <col min="10" max="10" width="5.75" style="2371" customWidth="1"/>
    <col min="11" max="11" width="5.75" style="2372" customWidth="1"/>
    <col min="12" max="12" width="5.75" style="2373" customWidth="1"/>
    <col min="13" max="13" width="7.875" style="1859" customWidth="1"/>
    <col min="14" max="14" width="3.875" style="1857" customWidth="1"/>
    <col min="15" max="15" width="8.875" style="1847" customWidth="1"/>
    <col min="16" max="16" width="14" style="1860" customWidth="1"/>
    <col min="17" max="17" width="6.375" style="1860" customWidth="1"/>
    <col min="18" max="18" width="9.75" customWidth="1"/>
    <col min="19" max="19" width="11" bestFit="1" customWidth="1"/>
    <col min="20" max="20" width="9" bestFit="1" customWidth="1"/>
  </cols>
  <sheetData>
    <row r="1" spans="1:23" ht="16.5">
      <c r="A1" s="4081" t="s">
        <v>165</v>
      </c>
      <c r="B1" s="4081"/>
      <c r="C1" s="4081"/>
      <c r="D1" s="4081"/>
      <c r="E1" s="4081"/>
      <c r="F1" s="4081"/>
      <c r="G1" s="4081"/>
      <c r="H1" s="4081"/>
      <c r="I1" s="4081"/>
      <c r="J1" s="4081"/>
      <c r="K1" s="4081"/>
      <c r="L1" s="4081"/>
      <c r="M1" s="4081"/>
      <c r="N1" s="4081"/>
      <c r="O1" s="4081"/>
      <c r="P1" s="4081"/>
    </row>
    <row r="2" spans="1:23" ht="16.5">
      <c r="A2" s="4081" t="s">
        <v>171</v>
      </c>
      <c r="B2" s="4081"/>
      <c r="C2" s="4081"/>
      <c r="D2" s="4081"/>
      <c r="E2" s="4081"/>
      <c r="F2" s="4081"/>
      <c r="G2" s="4081"/>
      <c r="H2" s="4081"/>
      <c r="I2" s="4081"/>
      <c r="J2" s="4081"/>
      <c r="K2" s="4081"/>
      <c r="L2" s="4081"/>
      <c r="M2" s="4081"/>
      <c r="N2" s="4081"/>
      <c r="O2" s="4081"/>
      <c r="P2" s="4081"/>
    </row>
    <row r="3" spans="1:23" ht="16.5">
      <c r="A3" s="4087" t="s">
        <v>726</v>
      </c>
      <c r="B3" s="4087"/>
      <c r="C3" s="4087"/>
      <c r="D3" s="4087"/>
      <c r="E3" s="4087"/>
      <c r="F3" s="4087"/>
      <c r="G3" s="4087"/>
      <c r="H3" s="4087"/>
      <c r="I3" s="4087"/>
      <c r="J3" s="4087"/>
      <c r="K3" s="4087"/>
      <c r="L3" s="4087"/>
      <c r="M3" s="4087"/>
      <c r="N3" s="4087"/>
      <c r="O3" s="4087"/>
      <c r="P3" s="4087"/>
    </row>
    <row r="4" spans="1:23">
      <c r="A4" s="4548" t="s">
        <v>809</v>
      </c>
      <c r="B4" s="4548"/>
      <c r="C4" s="4548"/>
      <c r="D4" s="4548"/>
      <c r="E4" s="4548"/>
      <c r="F4" s="4548"/>
      <c r="G4" s="4512"/>
      <c r="H4" s="4512"/>
      <c r="I4" s="4512"/>
      <c r="J4" s="4512"/>
      <c r="K4" s="4512"/>
      <c r="L4" s="4512"/>
      <c r="M4" s="4512"/>
      <c r="N4" s="4512"/>
      <c r="O4" s="4512"/>
      <c r="P4" s="4512"/>
      <c r="Q4" s="2837"/>
    </row>
    <row r="5" spans="1:23">
      <c r="A5" s="4512" t="s">
        <v>541</v>
      </c>
      <c r="B5" s="4512"/>
      <c r="C5" s="4512"/>
      <c r="D5" s="4512"/>
      <c r="E5" s="4512"/>
      <c r="F5" s="4512"/>
      <c r="G5" s="4512"/>
      <c r="H5" s="4512"/>
      <c r="I5" s="4512"/>
      <c r="J5" s="4512"/>
      <c r="K5" s="4512"/>
      <c r="L5" s="4512"/>
      <c r="M5" s="4512"/>
      <c r="N5" s="4512"/>
      <c r="O5" s="4512"/>
      <c r="P5" s="4512"/>
      <c r="Q5" s="2837"/>
    </row>
    <row r="6" spans="1:23" ht="18.75" customHeight="1">
      <c r="A6" s="1755"/>
      <c r="B6" s="1755"/>
      <c r="C6" s="1755"/>
      <c r="D6" s="1757"/>
      <c r="E6" s="1752"/>
      <c r="F6" s="1753"/>
      <c r="G6" s="1754"/>
      <c r="H6" s="1753"/>
      <c r="I6" s="2331"/>
      <c r="J6" s="2332"/>
      <c r="K6" s="1756"/>
      <c r="L6" s="1757"/>
      <c r="M6" s="1758"/>
      <c r="N6" s="1755"/>
      <c r="O6" s="1759"/>
      <c r="P6" s="1755"/>
      <c r="Q6" s="1755"/>
    </row>
    <row r="7" spans="1:23" ht="18.75">
      <c r="A7" s="4504" t="s">
        <v>1332</v>
      </c>
      <c r="B7" s="4504"/>
      <c r="C7" s="4504"/>
      <c r="D7" s="4504"/>
      <c r="E7" s="4504"/>
      <c r="F7" s="4504"/>
      <c r="G7" s="4504"/>
      <c r="H7" s="4504"/>
      <c r="I7" s="4504"/>
      <c r="J7" s="4504"/>
      <c r="K7" s="4504"/>
      <c r="L7" s="4504"/>
      <c r="M7" s="4504"/>
      <c r="N7" s="4504"/>
      <c r="O7" s="4504"/>
      <c r="P7" s="4504"/>
      <c r="Q7" s="2838"/>
      <c r="R7" s="1760"/>
      <c r="S7" s="1760"/>
      <c r="T7" s="1760"/>
      <c r="U7" s="1760"/>
    </row>
    <row r="8" spans="1:23" ht="15">
      <c r="A8" s="4519" t="s">
        <v>1304</v>
      </c>
      <c r="B8" s="4519"/>
      <c r="C8" s="4519"/>
      <c r="D8" s="4519"/>
      <c r="E8" s="4519"/>
      <c r="F8" s="4519"/>
      <c r="G8" s="4519"/>
      <c r="H8" s="4519"/>
      <c r="I8" s="4519"/>
      <c r="J8" s="4519"/>
      <c r="K8" s="4519"/>
      <c r="L8" s="4519"/>
      <c r="M8" s="4519"/>
      <c r="N8" s="4519"/>
      <c r="O8" s="4519"/>
      <c r="P8" s="4519"/>
      <c r="Q8" s="2849"/>
      <c r="R8" s="1760"/>
      <c r="S8" s="1760"/>
      <c r="T8" s="1760"/>
      <c r="U8" s="1760"/>
    </row>
    <row r="9" spans="1:23" ht="18">
      <c r="A9" s="4550" t="s">
        <v>19</v>
      </c>
      <c r="B9" s="4550" t="s">
        <v>1217</v>
      </c>
      <c r="C9" s="4550" t="s">
        <v>623</v>
      </c>
      <c r="D9" s="4552" t="s">
        <v>361</v>
      </c>
      <c r="E9" s="4550" t="s">
        <v>811</v>
      </c>
      <c r="F9" s="4550"/>
      <c r="G9" s="4550"/>
      <c r="H9" s="4550"/>
      <c r="I9" s="4550"/>
      <c r="J9" s="4550"/>
      <c r="K9" s="4550"/>
      <c r="L9" s="4550"/>
      <c r="M9" s="4550"/>
      <c r="N9" s="4550" t="s">
        <v>812</v>
      </c>
      <c r="O9" s="4554" t="s">
        <v>47</v>
      </c>
      <c r="P9" s="4556" t="s">
        <v>813</v>
      </c>
      <c r="Q9" s="2333"/>
      <c r="R9" s="1760"/>
      <c r="S9" s="1760"/>
      <c r="T9" s="1760"/>
      <c r="U9" s="1760"/>
    </row>
    <row r="10" spans="1:23" ht="39" customHeight="1">
      <c r="A10" s="4551"/>
      <c r="B10" s="4551"/>
      <c r="C10" s="4551"/>
      <c r="D10" s="4553"/>
      <c r="E10" s="2855" t="s">
        <v>814</v>
      </c>
      <c r="F10" s="2855" t="s">
        <v>815</v>
      </c>
      <c r="G10" s="2855" t="s">
        <v>814</v>
      </c>
      <c r="H10" s="2855" t="s">
        <v>815</v>
      </c>
      <c r="I10" s="2855" t="s">
        <v>814</v>
      </c>
      <c r="J10" s="2855" t="s">
        <v>815</v>
      </c>
      <c r="K10" s="2855" t="s">
        <v>814</v>
      </c>
      <c r="L10" s="2856" t="s">
        <v>815</v>
      </c>
      <c r="M10" s="2857" t="s">
        <v>21</v>
      </c>
      <c r="N10" s="4551"/>
      <c r="O10" s="4555"/>
      <c r="P10" s="4557"/>
      <c r="Q10" s="2333"/>
      <c r="R10" s="1760"/>
      <c r="S10" s="1760"/>
      <c r="T10" s="1760"/>
      <c r="U10" s="1760"/>
    </row>
    <row r="11" spans="1:23" ht="51" customHeight="1">
      <c r="A11" s="2858" t="s">
        <v>52</v>
      </c>
      <c r="B11" s="1790" t="s">
        <v>887</v>
      </c>
      <c r="C11" s="2859"/>
      <c r="D11" s="2860"/>
      <c r="E11" s="2861"/>
      <c r="F11" s="2861"/>
      <c r="G11" s="2861"/>
      <c r="H11" s="2861"/>
      <c r="I11" s="2861"/>
      <c r="J11" s="2861"/>
      <c r="K11" s="2861"/>
      <c r="L11" s="2862"/>
      <c r="M11" s="2863"/>
      <c r="N11" s="2861"/>
      <c r="O11" s="2864"/>
      <c r="P11" s="2865"/>
      <c r="Q11" s="2335"/>
      <c r="R11" s="1760"/>
      <c r="S11" s="1760"/>
      <c r="T11" s="1760"/>
      <c r="U11" s="1760"/>
    </row>
    <row r="12" spans="1:23" ht="32.25" customHeight="1">
      <c r="A12" s="2858" t="s">
        <v>147</v>
      </c>
      <c r="B12" s="1773" t="s">
        <v>817</v>
      </c>
      <c r="C12" s="2866"/>
      <c r="D12" s="2867"/>
      <c r="E12" s="2858"/>
      <c r="F12" s="2858"/>
      <c r="G12" s="2858"/>
      <c r="H12" s="2858"/>
      <c r="I12" s="2858"/>
      <c r="J12" s="2858"/>
      <c r="K12" s="2858"/>
      <c r="L12" s="2867"/>
      <c r="M12" s="2868"/>
      <c r="N12" s="2858"/>
      <c r="O12" s="2864"/>
      <c r="P12" s="2855"/>
      <c r="Q12" s="2336"/>
      <c r="R12" s="2869"/>
      <c r="S12" s="2870" t="s">
        <v>1333</v>
      </c>
      <c r="T12" s="2870" t="s">
        <v>569</v>
      </c>
      <c r="U12" s="2870" t="s">
        <v>1237</v>
      </c>
      <c r="V12" s="2871" t="s">
        <v>1289</v>
      </c>
      <c r="W12" s="2871" t="s">
        <v>1334</v>
      </c>
    </row>
    <row r="13" spans="1:23" ht="32.25" customHeight="1">
      <c r="A13" s="2872">
        <v>1</v>
      </c>
      <c r="B13" s="2873" t="s">
        <v>49</v>
      </c>
      <c r="C13" s="2872" t="s">
        <v>818</v>
      </c>
      <c r="D13" s="2874"/>
      <c r="E13" s="2858"/>
      <c r="F13" s="2872"/>
      <c r="G13" s="2858"/>
      <c r="H13" s="2858"/>
      <c r="I13" s="2858"/>
      <c r="J13" s="2858"/>
      <c r="K13" s="2858"/>
      <c r="L13" s="2867"/>
      <c r="M13" s="2868"/>
      <c r="N13" s="2872"/>
      <c r="O13" s="2864"/>
      <c r="P13" s="2875"/>
      <c r="Q13" s="2338"/>
      <c r="R13" s="2870" t="s">
        <v>1295</v>
      </c>
      <c r="S13" s="2876">
        <f>O23+O27+O30</f>
        <v>208</v>
      </c>
      <c r="T13" s="2876">
        <f>O32</f>
        <v>329.92</v>
      </c>
      <c r="U13" s="2876">
        <f>O25</f>
        <v>32</v>
      </c>
      <c r="V13" s="2876">
        <f>O29+O26</f>
        <v>42</v>
      </c>
      <c r="W13" s="2869">
        <f>O35</f>
        <v>48</v>
      </c>
    </row>
    <row r="14" spans="1:23" ht="32.25" customHeight="1">
      <c r="A14" s="2872">
        <v>2</v>
      </c>
      <c r="B14" s="2873" t="s">
        <v>819</v>
      </c>
      <c r="C14" s="2872" t="s">
        <v>818</v>
      </c>
      <c r="D14" s="2874"/>
      <c r="E14" s="2858"/>
      <c r="F14" s="2872"/>
      <c r="G14" s="2858"/>
      <c r="H14" s="2858"/>
      <c r="I14" s="2858"/>
      <c r="J14" s="2858"/>
      <c r="K14" s="2858"/>
      <c r="L14" s="2867"/>
      <c r="M14" s="2877"/>
      <c r="N14" s="2872"/>
      <c r="O14" s="2864"/>
      <c r="P14" s="2878"/>
      <c r="Q14" s="2340"/>
      <c r="R14" s="2870" t="s">
        <v>1335</v>
      </c>
      <c r="S14" s="2990">
        <f>S13*25000</f>
        <v>5200000</v>
      </c>
      <c r="T14" s="2870">
        <f>T13*25000</f>
        <v>8248000</v>
      </c>
      <c r="U14" s="2870">
        <f>U13*25000</f>
        <v>800000</v>
      </c>
      <c r="V14" s="2870">
        <f>V13*25000</f>
        <v>1050000</v>
      </c>
      <c r="W14" s="2869">
        <f>W13*25000</f>
        <v>1200000</v>
      </c>
    </row>
    <row r="15" spans="1:23" ht="27.75" customHeight="1">
      <c r="A15" s="2858" t="s">
        <v>148</v>
      </c>
      <c r="B15" s="1773" t="s">
        <v>820</v>
      </c>
      <c r="C15" s="2858"/>
      <c r="D15" s="2867"/>
      <c r="E15" s="2858"/>
      <c r="F15" s="2858"/>
      <c r="G15" s="2858"/>
      <c r="H15" s="2858"/>
      <c r="I15" s="2858"/>
      <c r="J15" s="2858"/>
      <c r="K15" s="2858"/>
      <c r="L15" s="2867"/>
      <c r="M15" s="2868"/>
      <c r="N15" s="2858"/>
      <c r="O15" s="2864"/>
      <c r="P15" s="2855"/>
      <c r="Q15" s="2336"/>
      <c r="R15" s="2870" t="s">
        <v>724</v>
      </c>
      <c r="S15" s="4558">
        <f>S14+T14+U14+V14+W14</f>
        <v>16498000</v>
      </c>
      <c r="T15" s="4559"/>
      <c r="U15" s="4559"/>
      <c r="V15" s="4559"/>
      <c r="W15" s="4560"/>
    </row>
    <row r="16" spans="1:23" ht="38.25" customHeight="1">
      <c r="A16" s="2872">
        <v>1</v>
      </c>
      <c r="B16" s="2873" t="s">
        <v>821</v>
      </c>
      <c r="C16" s="2879" t="s">
        <v>362</v>
      </c>
      <c r="D16" s="2874"/>
      <c r="E16" s="4549"/>
      <c r="F16" s="4549"/>
      <c r="G16" s="4549"/>
      <c r="H16" s="4549"/>
      <c r="I16" s="4549"/>
      <c r="J16" s="4549"/>
      <c r="K16" s="4549"/>
      <c r="L16" s="4549"/>
      <c r="M16" s="2868"/>
      <c r="N16" s="2872"/>
      <c r="O16" s="2880"/>
      <c r="P16" s="2878"/>
      <c r="Q16" s="2340"/>
      <c r="R16" s="2385">
        <f>S13+T13+U13+V13</f>
        <v>611.92000000000007</v>
      </c>
      <c r="S16" s="1760">
        <f>O33</f>
        <v>416</v>
      </c>
      <c r="T16" s="1760">
        <f>O35</f>
        <v>48</v>
      </c>
      <c r="U16" s="1760"/>
    </row>
    <row r="17" spans="1:28" ht="38.25" customHeight="1">
      <c r="A17" s="2872">
        <v>2</v>
      </c>
      <c r="B17" s="2873" t="s">
        <v>1306</v>
      </c>
      <c r="C17" s="2872" t="s">
        <v>362</v>
      </c>
      <c r="D17" s="2874"/>
      <c r="E17" s="4549"/>
      <c r="F17" s="4549"/>
      <c r="G17" s="4549"/>
      <c r="H17" s="4549"/>
      <c r="I17" s="4549"/>
      <c r="J17" s="4549"/>
      <c r="K17" s="4549"/>
      <c r="L17" s="4549"/>
      <c r="M17" s="2868"/>
      <c r="N17" s="2872"/>
      <c r="O17" s="2880"/>
      <c r="P17" s="2878"/>
      <c r="Q17" s="2340"/>
      <c r="R17" s="2385">
        <f>R16+S16+T16</f>
        <v>1075.92</v>
      </c>
      <c r="S17" s="1760"/>
      <c r="T17" s="1760"/>
      <c r="U17" s="1760"/>
    </row>
    <row r="18" spans="1:28" ht="38.25" customHeight="1">
      <c r="A18" s="2872">
        <v>3</v>
      </c>
      <c r="B18" s="2873" t="s">
        <v>1041</v>
      </c>
      <c r="C18" s="2879" t="s">
        <v>362</v>
      </c>
      <c r="D18" s="2874"/>
      <c r="E18" s="4549"/>
      <c r="F18" s="4549"/>
      <c r="G18" s="4549"/>
      <c r="H18" s="4549"/>
      <c r="I18" s="4549"/>
      <c r="J18" s="4549"/>
      <c r="K18" s="4549"/>
      <c r="L18" s="4549"/>
      <c r="M18" s="2868"/>
      <c r="N18" s="2872"/>
      <c r="O18" s="2880"/>
      <c r="P18" s="2878"/>
      <c r="Q18" s="2340"/>
      <c r="R18" s="1760"/>
      <c r="S18" s="1760"/>
      <c r="T18" s="1760"/>
      <c r="U18" s="1760"/>
    </row>
    <row r="19" spans="1:28" ht="37.5" customHeight="1">
      <c r="A19" s="2872">
        <v>4</v>
      </c>
      <c r="B19" s="2873" t="s">
        <v>1308</v>
      </c>
      <c r="C19" s="2872" t="s">
        <v>362</v>
      </c>
      <c r="D19" s="2874"/>
      <c r="E19" s="4549"/>
      <c r="F19" s="4549"/>
      <c r="G19" s="4549"/>
      <c r="H19" s="4549"/>
      <c r="I19" s="4549"/>
      <c r="J19" s="4549"/>
      <c r="K19" s="4549"/>
      <c r="L19" s="4549"/>
      <c r="M19" s="2868"/>
      <c r="N19" s="2872"/>
      <c r="O19" s="2880"/>
      <c r="P19" s="2878"/>
      <c r="Q19" s="2340"/>
      <c r="R19" s="1760"/>
      <c r="S19" s="1760"/>
      <c r="T19" s="1760"/>
      <c r="U19" s="1760"/>
    </row>
    <row r="20" spans="1:28" ht="37.5" customHeight="1">
      <c r="A20" s="2872">
        <v>5</v>
      </c>
      <c r="B20" s="2873" t="s">
        <v>1297</v>
      </c>
      <c r="C20" s="2872" t="s">
        <v>362</v>
      </c>
      <c r="D20" s="2874"/>
      <c r="E20" s="4549"/>
      <c r="F20" s="4549"/>
      <c r="G20" s="4549"/>
      <c r="H20" s="4549"/>
      <c r="I20" s="4549"/>
      <c r="J20" s="4549"/>
      <c r="K20" s="4549"/>
      <c r="L20" s="4549"/>
      <c r="M20" s="2868"/>
      <c r="N20" s="2872"/>
      <c r="O20" s="2880"/>
      <c r="P20" s="2878"/>
      <c r="Q20" s="2340"/>
      <c r="R20" s="2614"/>
      <c r="S20" s="2614"/>
      <c r="T20" s="2614"/>
      <c r="U20" s="2614"/>
      <c r="V20" s="2602"/>
      <c r="W20" s="2602"/>
      <c r="X20" s="2602"/>
      <c r="Y20" s="2602"/>
      <c r="Z20" s="2602"/>
      <c r="AA20" s="2602"/>
      <c r="AB20" s="2602"/>
    </row>
    <row r="21" spans="1:28" ht="32.25" customHeight="1">
      <c r="A21" s="2881" t="s">
        <v>149</v>
      </c>
      <c r="B21" s="1790" t="s">
        <v>958</v>
      </c>
      <c r="C21" s="2879"/>
      <c r="D21" s="2882"/>
      <c r="E21" s="2883"/>
      <c r="F21" s="2884"/>
      <c r="G21" s="2883"/>
      <c r="H21" s="2884"/>
      <c r="I21" s="2861"/>
      <c r="J21" s="2885"/>
      <c r="K21" s="2861"/>
      <c r="L21" s="2886"/>
      <c r="M21" s="2863"/>
      <c r="N21" s="2885"/>
      <c r="O21" s="2887">
        <f>+O22+O28+O24</f>
        <v>282</v>
      </c>
      <c r="P21" s="2888"/>
      <c r="Q21" s="2343"/>
      <c r="R21" s="2614"/>
      <c r="S21" s="2614"/>
      <c r="T21" s="2614"/>
      <c r="U21" s="2614"/>
      <c r="V21" s="2602"/>
      <c r="W21" s="2602"/>
      <c r="X21" s="2602"/>
      <c r="Y21" s="2602"/>
      <c r="Z21" s="2602"/>
      <c r="AA21" s="2602"/>
      <c r="AB21" s="2602"/>
    </row>
    <row r="22" spans="1:28" ht="40.5" customHeight="1">
      <c r="A22" s="2881">
        <v>1</v>
      </c>
      <c r="B22" s="1790" t="s">
        <v>927</v>
      </c>
      <c r="C22" s="2879"/>
      <c r="D22" s="2882"/>
      <c r="E22" s="2883"/>
      <c r="F22" s="2884"/>
      <c r="G22" s="2883"/>
      <c r="H22" s="2884"/>
      <c r="I22" s="2861"/>
      <c r="J22" s="2885"/>
      <c r="K22" s="2861"/>
      <c r="L22" s="2886"/>
      <c r="M22" s="2863"/>
      <c r="N22" s="2885"/>
      <c r="O22" s="2887">
        <f>+SUM(O23:O23)</f>
        <v>18.399999999999999</v>
      </c>
      <c r="P22" s="2888"/>
      <c r="Q22" s="2343"/>
      <c r="R22" s="4547"/>
      <c r="S22" s="4547"/>
      <c r="T22" s="2851"/>
      <c r="U22" s="2851"/>
      <c r="V22" s="2606"/>
      <c r="W22" s="2606"/>
      <c r="X22" s="2606"/>
      <c r="Y22" s="2606"/>
      <c r="Z22" s="2606"/>
      <c r="AA22" s="2606"/>
      <c r="AB22" s="2602"/>
    </row>
    <row r="23" spans="1:28" ht="32.25" customHeight="1">
      <c r="A23" s="2889" t="s">
        <v>837</v>
      </c>
      <c r="B23" s="2873" t="s">
        <v>204</v>
      </c>
      <c r="C23" s="2879" t="s">
        <v>959</v>
      </c>
      <c r="D23" s="2882">
        <v>1.25</v>
      </c>
      <c r="E23" s="2890"/>
      <c r="F23" s="2891"/>
      <c r="G23" s="2892"/>
      <c r="H23" s="2893"/>
      <c r="I23" s="2890"/>
      <c r="J23" s="2893"/>
      <c r="K23" s="2861"/>
      <c r="L23" s="2886"/>
      <c r="M23" s="2863">
        <v>23</v>
      </c>
      <c r="N23" s="2885">
        <v>1</v>
      </c>
      <c r="O23" s="2880">
        <f>ROUND((M23/D23)*N23,9)</f>
        <v>18.399999999999999</v>
      </c>
      <c r="P23" s="2888"/>
      <c r="Q23" s="2343"/>
      <c r="R23" s="2611"/>
      <c r="S23" s="2611"/>
      <c r="T23" s="2611"/>
      <c r="U23" s="2611"/>
      <c r="V23" s="2603"/>
      <c r="W23" s="2603"/>
      <c r="X23" s="2603"/>
      <c r="Y23" s="2603"/>
      <c r="Z23" s="2603"/>
      <c r="AA23" s="2603"/>
      <c r="AB23" s="2602"/>
    </row>
    <row r="24" spans="1:28" ht="42" customHeight="1">
      <c r="A24" s="2881">
        <v>2</v>
      </c>
      <c r="B24" s="1790" t="s">
        <v>824</v>
      </c>
      <c r="C24" s="2879"/>
      <c r="D24" s="2882"/>
      <c r="E24" s="2890"/>
      <c r="F24" s="2893"/>
      <c r="G24" s="2890"/>
      <c r="H24" s="2893"/>
      <c r="I24" s="2892"/>
      <c r="J24" s="2893"/>
      <c r="K24" s="2892"/>
      <c r="L24" s="2893"/>
      <c r="M24" s="2863"/>
      <c r="N24" s="2885"/>
      <c r="O24" s="2887">
        <f>+SUM(O25:O27)</f>
        <v>177.2</v>
      </c>
      <c r="P24" s="2888"/>
      <c r="Q24" s="2343"/>
      <c r="R24" s="2602"/>
      <c r="S24" s="2602"/>
      <c r="T24" s="2602"/>
      <c r="U24" s="2602"/>
      <c r="V24" s="2602"/>
      <c r="W24" s="2602"/>
      <c r="X24" s="2602"/>
      <c r="Y24" s="2602"/>
      <c r="Z24" s="2602"/>
      <c r="AA24" s="2602"/>
      <c r="AB24" s="2602"/>
    </row>
    <row r="25" spans="1:28" ht="55.5" customHeight="1">
      <c r="A25" s="2889" t="s">
        <v>969</v>
      </c>
      <c r="B25" s="2894" t="s">
        <v>1227</v>
      </c>
      <c r="C25" s="2879" t="s">
        <v>959</v>
      </c>
      <c r="D25" s="2882">
        <f>25000/200000</f>
        <v>0.125</v>
      </c>
      <c r="E25" s="2890"/>
      <c r="F25" s="2891"/>
      <c r="G25" s="2892"/>
      <c r="H25" s="2893"/>
      <c r="I25" s="2890"/>
      <c r="J25" s="2893"/>
      <c r="K25" s="2861"/>
      <c r="L25" s="2886"/>
      <c r="M25" s="2863">
        <v>4</v>
      </c>
      <c r="N25" s="2885">
        <v>1</v>
      </c>
      <c r="O25" s="2880">
        <f t="shared" ref="O25:O27" si="0">ROUND((M25/D25)*N25,9)</f>
        <v>32</v>
      </c>
      <c r="P25" s="2888"/>
      <c r="Q25" s="2343"/>
      <c r="R25" s="2614"/>
      <c r="S25" s="2602"/>
      <c r="T25" s="2614"/>
      <c r="U25" s="2614"/>
      <c r="V25" s="2602"/>
      <c r="W25" s="2602"/>
      <c r="X25" s="2602"/>
      <c r="Y25" s="2602"/>
      <c r="Z25" s="2602"/>
      <c r="AA25" s="2602"/>
      <c r="AB25" s="2602"/>
    </row>
    <row r="26" spans="1:28" ht="36" customHeight="1">
      <c r="A26" s="2889" t="s">
        <v>1065</v>
      </c>
      <c r="B26" s="2873" t="s">
        <v>1046</v>
      </c>
      <c r="C26" s="2879" t="s">
        <v>959</v>
      </c>
      <c r="D26" s="2882">
        <f>25000/150000</f>
        <v>0.16666666666666666</v>
      </c>
      <c r="E26" s="2890"/>
      <c r="F26" s="2893"/>
      <c r="G26" s="2892"/>
      <c r="H26" s="2893"/>
      <c r="I26" s="2892"/>
      <c r="J26" s="2893"/>
      <c r="K26" s="2895"/>
      <c r="L26" s="2896"/>
      <c r="M26" s="2863">
        <v>5</v>
      </c>
      <c r="N26" s="2885">
        <v>1</v>
      </c>
      <c r="O26" s="2880">
        <f t="shared" si="0"/>
        <v>30</v>
      </c>
      <c r="P26" s="2888"/>
      <c r="Q26" s="2343"/>
      <c r="R26" s="1760"/>
      <c r="S26" s="1760"/>
      <c r="T26" s="1760"/>
      <c r="U26" s="1760"/>
    </row>
    <row r="27" spans="1:28" ht="37.5" customHeight="1">
      <c r="A27" s="2889" t="s">
        <v>1066</v>
      </c>
      <c r="B27" s="2873" t="s">
        <v>204</v>
      </c>
      <c r="C27" s="2879" t="s">
        <v>959</v>
      </c>
      <c r="D27" s="2882">
        <v>1.25</v>
      </c>
      <c r="E27" s="2890"/>
      <c r="F27" s="2893"/>
      <c r="G27" s="2892"/>
      <c r="H27" s="2893"/>
      <c r="I27" s="2892"/>
      <c r="J27" s="2893"/>
      <c r="K27" s="2895"/>
      <c r="L27" s="2896"/>
      <c r="M27" s="2863">
        <v>144</v>
      </c>
      <c r="N27" s="2885">
        <v>1</v>
      </c>
      <c r="O27" s="2880">
        <f t="shared" si="0"/>
        <v>115.2</v>
      </c>
      <c r="P27" s="2888"/>
      <c r="Q27" s="2343"/>
      <c r="R27" s="1760"/>
      <c r="S27" s="1760"/>
      <c r="T27" s="1760"/>
      <c r="U27" s="1760"/>
    </row>
    <row r="28" spans="1:28" ht="35.25" customHeight="1">
      <c r="A28" s="2881">
        <v>3</v>
      </c>
      <c r="B28" s="1790" t="s">
        <v>928</v>
      </c>
      <c r="C28" s="2879"/>
      <c r="D28" s="2882"/>
      <c r="E28" s="2859"/>
      <c r="F28" s="2879"/>
      <c r="G28" s="2859"/>
      <c r="H28" s="2879"/>
      <c r="I28" s="2897"/>
      <c r="J28" s="2891"/>
      <c r="K28" s="2892"/>
      <c r="L28" s="2893"/>
      <c r="M28" s="2863"/>
      <c r="N28" s="2885"/>
      <c r="O28" s="2887">
        <f>+SUM(O29:O30)</f>
        <v>86.4</v>
      </c>
      <c r="P28" s="2888"/>
      <c r="Q28" s="2343"/>
      <c r="R28" s="2353"/>
      <c r="S28" s="2353"/>
      <c r="T28" s="1760"/>
      <c r="U28" s="1760"/>
    </row>
    <row r="29" spans="1:28" ht="36" customHeight="1">
      <c r="A29" s="2889" t="s">
        <v>889</v>
      </c>
      <c r="B29" s="2894" t="s">
        <v>1046</v>
      </c>
      <c r="C29" s="2879" t="s">
        <v>959</v>
      </c>
      <c r="D29" s="2882">
        <f>25000/150000</f>
        <v>0.16666666666666666</v>
      </c>
      <c r="E29" s="2890"/>
      <c r="F29" s="2893"/>
      <c r="G29" s="2892"/>
      <c r="H29" s="2893"/>
      <c r="I29" s="2890"/>
      <c r="J29" s="2893"/>
      <c r="K29" s="2890"/>
      <c r="L29" s="2893"/>
      <c r="M29" s="2863">
        <v>2</v>
      </c>
      <c r="N29" s="2885">
        <v>1</v>
      </c>
      <c r="O29" s="2898">
        <f t="shared" ref="O29:O30" si="1">ROUND((M29/D29)*N29,9)</f>
        <v>12</v>
      </c>
      <c r="P29" s="2888"/>
      <c r="Q29" s="2343"/>
      <c r="R29" s="2353"/>
      <c r="S29" s="2353"/>
      <c r="T29" s="1760"/>
      <c r="U29" s="1760"/>
    </row>
    <row r="30" spans="1:28" ht="39" customHeight="1">
      <c r="A30" s="2889" t="s">
        <v>970</v>
      </c>
      <c r="B30" s="2873" t="s">
        <v>204</v>
      </c>
      <c r="C30" s="2879" t="s">
        <v>959</v>
      </c>
      <c r="D30" s="2882">
        <v>1.25</v>
      </c>
      <c r="E30" s="2890"/>
      <c r="F30" s="2893"/>
      <c r="G30" s="2892"/>
      <c r="H30" s="2893"/>
      <c r="I30" s="2892"/>
      <c r="J30" s="2893"/>
      <c r="K30" s="2895"/>
      <c r="L30" s="2896"/>
      <c r="M30" s="2863">
        <v>93</v>
      </c>
      <c r="N30" s="2885">
        <v>1</v>
      </c>
      <c r="O30" s="2880">
        <f t="shared" si="1"/>
        <v>74.400000000000006</v>
      </c>
      <c r="P30" s="2888"/>
      <c r="Q30" s="2343"/>
      <c r="R30" s="2353"/>
      <c r="S30" s="2353"/>
      <c r="T30" s="1760"/>
      <c r="U30" s="1760"/>
    </row>
    <row r="31" spans="1:28" ht="21" customHeight="1">
      <c r="A31" s="2881" t="s">
        <v>92</v>
      </c>
      <c r="B31" s="1814" t="s">
        <v>930</v>
      </c>
      <c r="C31" s="2879"/>
      <c r="D31" s="2882"/>
      <c r="E31" s="2883"/>
      <c r="F31" s="2884"/>
      <c r="G31" s="2883"/>
      <c r="H31" s="2884"/>
      <c r="I31" s="2861"/>
      <c r="J31" s="2885"/>
      <c r="K31" s="2861"/>
      <c r="L31" s="2886"/>
      <c r="M31" s="2863"/>
      <c r="N31" s="2885"/>
      <c r="O31" s="2887">
        <f>O32</f>
        <v>329.92</v>
      </c>
      <c r="P31" s="2888"/>
      <c r="Q31" s="2343"/>
      <c r="R31" s="2353"/>
      <c r="S31" s="2353"/>
      <c r="T31" s="2353"/>
      <c r="U31" s="2353"/>
      <c r="V31" s="1715"/>
      <c r="W31" s="1715"/>
    </row>
    <row r="32" spans="1:28" ht="27" customHeight="1">
      <c r="A32" s="2889">
        <v>1</v>
      </c>
      <c r="B32" s="2899" t="s">
        <v>1336</v>
      </c>
      <c r="C32" s="2879" t="s">
        <v>1050</v>
      </c>
      <c r="D32" s="2900">
        <f>1/16</f>
        <v>6.25E-2</v>
      </c>
      <c r="E32" s="2901" t="s">
        <v>160</v>
      </c>
      <c r="F32" s="2893">
        <v>12.18</v>
      </c>
      <c r="G32" s="2901" t="s">
        <v>1228</v>
      </c>
      <c r="H32" s="2893">
        <v>8.44</v>
      </c>
      <c r="I32" s="2890"/>
      <c r="J32" s="2893"/>
      <c r="K32" s="2861"/>
      <c r="L32" s="2886"/>
      <c r="M32" s="2863">
        <f>F32+H32</f>
        <v>20.619999999999997</v>
      </c>
      <c r="N32" s="2885">
        <v>1</v>
      </c>
      <c r="O32" s="2902">
        <f>ROUND((M32/D32)*N32,9)</f>
        <v>329.92</v>
      </c>
      <c r="P32" s="2888"/>
      <c r="Q32" s="2343"/>
      <c r="R32" s="2353"/>
      <c r="S32" s="2353"/>
      <c r="T32" s="1760"/>
      <c r="U32" s="1760"/>
    </row>
    <row r="33" spans="1:23" ht="21" customHeight="1">
      <c r="A33" s="2858" t="s">
        <v>53</v>
      </c>
      <c r="B33" s="1790" t="s">
        <v>825</v>
      </c>
      <c r="C33" s="2859"/>
      <c r="D33" s="2860"/>
      <c r="E33" s="2858"/>
      <c r="F33" s="2858"/>
      <c r="G33" s="2858"/>
      <c r="H33" s="2858"/>
      <c r="I33" s="2858"/>
      <c r="J33" s="2858"/>
      <c r="K33" s="2858"/>
      <c r="L33" s="2867"/>
      <c r="M33" s="2863"/>
      <c r="N33" s="2861"/>
      <c r="O33" s="2864">
        <f>O34</f>
        <v>416</v>
      </c>
      <c r="P33" s="2865"/>
      <c r="Q33" s="2335"/>
      <c r="R33" s="2353"/>
      <c r="S33" s="2353"/>
      <c r="T33" s="1760"/>
      <c r="U33" s="1760"/>
    </row>
    <row r="34" spans="1:23" ht="44.25" customHeight="1">
      <c r="A34" s="2889">
        <v>1</v>
      </c>
      <c r="B34" s="2899" t="s">
        <v>826</v>
      </c>
      <c r="C34" s="2879" t="s">
        <v>362</v>
      </c>
      <c r="D34" s="2882"/>
      <c r="E34" s="4561" t="s">
        <v>1229</v>
      </c>
      <c r="F34" s="4561"/>
      <c r="G34" s="4561"/>
      <c r="H34" s="4561"/>
      <c r="I34" s="4561"/>
      <c r="J34" s="4561"/>
      <c r="K34" s="4561"/>
      <c r="L34" s="4561"/>
      <c r="M34" s="4561"/>
      <c r="N34" s="2903"/>
      <c r="O34" s="2904">
        <f>4*2600000/25000</f>
        <v>416</v>
      </c>
      <c r="P34" s="2905"/>
      <c r="Q34" s="2357"/>
      <c r="R34" s="2353"/>
      <c r="S34" s="2353"/>
      <c r="T34" s="1760"/>
      <c r="U34" s="1760"/>
    </row>
    <row r="35" spans="1:23" ht="20.25" customHeight="1">
      <c r="A35" s="2858" t="s">
        <v>93</v>
      </c>
      <c r="B35" s="1790" t="s">
        <v>1103</v>
      </c>
      <c r="C35" s="2859"/>
      <c r="D35" s="2860"/>
      <c r="E35" s="2858"/>
      <c r="F35" s="2858"/>
      <c r="G35" s="2858"/>
      <c r="H35" s="2858"/>
      <c r="I35" s="2858"/>
      <c r="J35" s="2858"/>
      <c r="K35" s="2858"/>
      <c r="L35" s="2867"/>
      <c r="M35" s="2863"/>
      <c r="N35" s="2861"/>
      <c r="O35" s="2864">
        <f>O36</f>
        <v>48</v>
      </c>
      <c r="P35" s="2865"/>
      <c r="Q35" s="2335"/>
      <c r="R35" s="1797"/>
      <c r="S35" s="1760"/>
      <c r="T35" s="1760"/>
      <c r="U35" s="1760"/>
      <c r="V35" s="1760"/>
      <c r="W35" s="1760"/>
    </row>
    <row r="36" spans="1:23" s="2392" customFormat="1" ht="21" customHeight="1">
      <c r="A36" s="2872">
        <v>1</v>
      </c>
      <c r="B36" s="2899" t="s">
        <v>1329</v>
      </c>
      <c r="C36" s="2879" t="s">
        <v>362</v>
      </c>
      <c r="D36" s="2882"/>
      <c r="E36" s="4549" t="s">
        <v>1337</v>
      </c>
      <c r="F36" s="4549"/>
      <c r="G36" s="4549"/>
      <c r="H36" s="4549"/>
      <c r="I36" s="4549"/>
      <c r="J36" s="4549"/>
      <c r="K36" s="4549"/>
      <c r="L36" s="4549"/>
      <c r="M36" s="4549"/>
      <c r="N36" s="2885"/>
      <c r="O36" s="2906">
        <v>48</v>
      </c>
      <c r="P36" s="2905"/>
      <c r="Q36" s="2357"/>
      <c r="R36" s="1797"/>
      <c r="S36" s="1760"/>
      <c r="T36" s="1760"/>
      <c r="U36" s="1760"/>
      <c r="V36" s="1760"/>
      <c r="W36" s="1760"/>
    </row>
    <row r="37" spans="1:23" ht="27" customHeight="1">
      <c r="A37" s="4473" t="s">
        <v>1230</v>
      </c>
      <c r="B37" s="4473"/>
      <c r="C37" s="4473"/>
      <c r="D37" s="2907"/>
      <c r="E37" s="2908"/>
      <c r="F37" s="2908"/>
      <c r="G37" s="2908"/>
      <c r="H37" s="2908"/>
      <c r="I37" s="2908"/>
      <c r="J37" s="2908"/>
      <c r="K37" s="2908"/>
      <c r="L37" s="2909"/>
      <c r="M37" s="2910"/>
      <c r="N37" s="2908"/>
      <c r="O37" s="2911">
        <f>O21+O31+O33+O35</f>
        <v>1075.92</v>
      </c>
      <c r="P37" s="2908"/>
      <c r="Q37" s="2336"/>
      <c r="R37" s="2353"/>
      <c r="S37" s="2353"/>
      <c r="T37" s="1760"/>
      <c r="U37" s="1760"/>
    </row>
    <row r="38" spans="1:23" ht="20.45" customHeight="1">
      <c r="A38" s="1830"/>
      <c r="B38" s="1831"/>
      <c r="C38" s="1832"/>
      <c r="D38" s="2359"/>
      <c r="E38" s="1834"/>
      <c r="F38" s="1835"/>
      <c r="G38" s="1834"/>
      <c r="H38" s="1835"/>
      <c r="I38" s="2849"/>
      <c r="J38" s="1833"/>
      <c r="K38" s="2849"/>
      <c r="L38" s="4562" t="s">
        <v>1338</v>
      </c>
      <c r="M38" s="4562"/>
      <c r="N38" s="4562"/>
      <c r="O38" s="4562"/>
      <c r="P38" s="4562"/>
      <c r="Q38" s="2360"/>
      <c r="R38" s="2353"/>
      <c r="S38" s="2353"/>
      <c r="T38" s="1760"/>
      <c r="U38" s="1760"/>
    </row>
    <row r="39" spans="1:23" ht="20.45" customHeight="1">
      <c r="A39" s="4475"/>
      <c r="B39" s="4475"/>
      <c r="C39" s="4475"/>
      <c r="D39" s="4475"/>
      <c r="E39" s="4475"/>
      <c r="F39" s="1836"/>
      <c r="G39" s="1836"/>
      <c r="H39" s="4476"/>
      <c r="I39" s="4476"/>
      <c r="J39" s="4476"/>
      <c r="K39" s="2848"/>
      <c r="L39" s="4475" t="s">
        <v>827</v>
      </c>
      <c r="M39" s="4475"/>
      <c r="N39" s="4475"/>
      <c r="O39" s="4475"/>
      <c r="P39" s="4475"/>
      <c r="Q39" s="2847"/>
      <c r="R39" s="1760"/>
      <c r="S39" s="1760"/>
      <c r="T39" s="1760"/>
      <c r="U39" s="1760"/>
    </row>
    <row r="40" spans="1:23" ht="20.45" customHeight="1">
      <c r="A40" s="1837"/>
      <c r="B40" s="1838"/>
      <c r="C40" s="1839"/>
      <c r="D40" s="2361"/>
      <c r="E40" s="1840"/>
      <c r="F40" s="1839"/>
      <c r="G40" s="1841"/>
      <c r="H40" s="1839"/>
      <c r="I40" s="2362"/>
      <c r="J40" s="2843"/>
      <c r="K40" s="2362"/>
      <c r="L40" s="2361"/>
      <c r="M40" s="1842"/>
      <c r="N40" s="1843"/>
      <c r="O40" s="4489"/>
      <c r="P40" s="4489"/>
      <c r="Q40" s="2843"/>
    </row>
    <row r="41" spans="1:23" ht="20.45" customHeight="1">
      <c r="A41" s="1837"/>
      <c r="B41" s="1838"/>
      <c r="C41" s="1838"/>
      <c r="D41" s="2363"/>
      <c r="E41" s="1844"/>
      <c r="F41" s="1845"/>
      <c r="G41" s="1754"/>
      <c r="H41" s="1845"/>
      <c r="I41" s="2331"/>
      <c r="J41" s="2364"/>
      <c r="K41" s="2365"/>
      <c r="L41" s="2366"/>
      <c r="M41" s="1846"/>
      <c r="N41" s="1845"/>
      <c r="P41" s="1837"/>
      <c r="Q41" s="1837"/>
    </row>
    <row r="42" spans="1:23" ht="20.45" customHeight="1">
      <c r="A42" s="1837"/>
      <c r="B42" s="1838"/>
      <c r="C42" s="1838"/>
      <c r="D42" s="2363"/>
      <c r="E42" s="1844"/>
      <c r="F42" s="1845"/>
      <c r="G42" s="1754"/>
      <c r="H42" s="1845"/>
      <c r="I42" s="2331"/>
      <c r="J42" s="2364"/>
      <c r="K42" s="2365"/>
      <c r="L42" s="2366"/>
      <c r="M42" s="1846"/>
      <c r="N42" s="1845"/>
      <c r="P42" s="1837"/>
      <c r="Q42" s="1837"/>
    </row>
    <row r="43" spans="1:23" ht="21.75" customHeight="1">
      <c r="A43" s="4490"/>
      <c r="B43" s="4490"/>
      <c r="C43" s="4490"/>
      <c r="D43" s="4490"/>
      <c r="E43" s="4490"/>
      <c r="F43" s="1848"/>
      <c r="G43" s="1849"/>
      <c r="H43" s="4468"/>
      <c r="I43" s="4468"/>
      <c r="J43" s="4468"/>
      <c r="K43" s="2367"/>
      <c r="L43" s="2368"/>
      <c r="M43" s="4468"/>
      <c r="N43" s="4468"/>
      <c r="O43" s="4468"/>
      <c r="P43" s="4468"/>
      <c r="Q43" s="2844"/>
    </row>
    <row r="44" spans="1:23" ht="17.45" customHeight="1">
      <c r="Q44" s="2845"/>
    </row>
    <row r="45" spans="1:23" ht="27.75" customHeight="1">
      <c r="A45" s="4469" t="s">
        <v>828</v>
      </c>
      <c r="B45" s="4469"/>
      <c r="C45" s="4469"/>
      <c r="D45" s="4469"/>
      <c r="E45" s="4469"/>
      <c r="F45" s="4469"/>
      <c r="G45" s="4469"/>
      <c r="H45" s="4469"/>
      <c r="I45" s="4469"/>
      <c r="J45" s="4469"/>
      <c r="K45" s="4469"/>
      <c r="L45" s="4469"/>
      <c r="M45" s="4469"/>
      <c r="N45" s="4469"/>
      <c r="O45" s="4469"/>
      <c r="P45" s="4469"/>
      <c r="Q45" s="2846"/>
    </row>
    <row r="46" spans="1:23" ht="27.75" customHeight="1">
      <c r="A46" s="4464" t="s">
        <v>1232</v>
      </c>
      <c r="B46" s="4464"/>
      <c r="C46" s="4464"/>
      <c r="D46" s="4464"/>
      <c r="E46" s="4464"/>
      <c r="F46" s="4464"/>
      <c r="G46" s="4464"/>
      <c r="H46" s="4464"/>
      <c r="I46" s="4464"/>
      <c r="J46" s="4464"/>
      <c r="K46" s="4464"/>
      <c r="L46" s="4464"/>
      <c r="M46" s="4464"/>
      <c r="N46" s="4464"/>
      <c r="O46" s="4464"/>
      <c r="P46" s="4464"/>
    </row>
    <row r="47" spans="1:23" ht="27.75" customHeight="1"/>
    <row r="48" spans="1:23" ht="27.75" customHeight="1">
      <c r="N48" s="1851"/>
    </row>
    <row r="49" ht="27.75" customHeight="1"/>
    <row r="50" ht="27.75" customHeight="1"/>
    <row r="51" ht="27.75" customHeight="1"/>
    <row r="52" ht="27.75" customHeight="1"/>
    <row r="53" ht="27.75" customHeight="1"/>
    <row r="54" ht="27.75" customHeight="1"/>
    <row r="55" ht="27.75" customHeight="1"/>
    <row r="56" ht="27.75" customHeight="1"/>
    <row r="57" ht="27.75" customHeight="1"/>
    <row r="58" ht="27.75" customHeight="1"/>
    <row r="59" ht="27.75" customHeight="1"/>
    <row r="60" ht="27.75" customHeight="1"/>
    <row r="61" ht="27.75" customHeight="1"/>
    <row r="62" ht="27.75" customHeight="1"/>
    <row r="63" ht="27.75" customHeight="1"/>
    <row r="64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83" ht="10.5" customHeight="1"/>
    <row r="84" ht="10.5" customHeight="1"/>
    <row r="85" ht="10.5" customHeight="1"/>
    <row r="86" ht="10.5" customHeight="1"/>
    <row r="87" ht="10.5" customHeight="1"/>
    <row r="88" ht="6" customHeight="1"/>
  </sheetData>
  <mergeCells count="37">
    <mergeCell ref="A46:P46"/>
    <mergeCell ref="R22:S22"/>
    <mergeCell ref="E34:M34"/>
    <mergeCell ref="E36:M36"/>
    <mergeCell ref="A37:C37"/>
    <mergeCell ref="L38:P38"/>
    <mergeCell ref="A39:E39"/>
    <mergeCell ref="H39:J39"/>
    <mergeCell ref="L39:P39"/>
    <mergeCell ref="O40:P40"/>
    <mergeCell ref="A43:E43"/>
    <mergeCell ref="H43:J43"/>
    <mergeCell ref="M43:P43"/>
    <mergeCell ref="A45:P45"/>
    <mergeCell ref="S15:W15"/>
    <mergeCell ref="E16:L16"/>
    <mergeCell ref="E17:L17"/>
    <mergeCell ref="E18:L18"/>
    <mergeCell ref="E19:L19"/>
    <mergeCell ref="E20:L20"/>
    <mergeCell ref="A7:P7"/>
    <mergeCell ref="A8:P8"/>
    <mergeCell ref="A9:A10"/>
    <mergeCell ref="B9:B10"/>
    <mergeCell ref="C9:C10"/>
    <mergeCell ref="D9:D10"/>
    <mergeCell ref="E9:M9"/>
    <mergeCell ref="N9:N10"/>
    <mergeCell ref="O9:O10"/>
    <mergeCell ref="P9:P10"/>
    <mergeCell ref="A5:F5"/>
    <mergeCell ref="G5:P5"/>
    <mergeCell ref="A1:P1"/>
    <mergeCell ref="A2:P2"/>
    <mergeCell ref="A3:P3"/>
    <mergeCell ref="A4:F4"/>
    <mergeCell ref="G4:P4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1"/>
  <sheetViews>
    <sheetView topLeftCell="C26" workbookViewId="0">
      <selection activeCell="Y33" sqref="Y33"/>
    </sheetView>
  </sheetViews>
  <sheetFormatPr defaultRowHeight="15.75"/>
  <cols>
    <col min="1" max="1" width="3.625" style="1852" customWidth="1"/>
    <col min="2" max="2" width="31.75" style="1853" customWidth="1"/>
    <col min="3" max="3" width="4.875" style="1854" customWidth="1"/>
    <col min="4" max="4" width="5.125" style="2369" customWidth="1"/>
    <col min="5" max="5" width="4" style="1856" customWidth="1"/>
    <col min="6" max="6" width="6.125" style="1857" customWidth="1"/>
    <col min="7" max="7" width="4.375" style="1858" customWidth="1"/>
    <col min="8" max="8" width="5.625" style="1857" customWidth="1"/>
    <col min="9" max="9" width="4.75" style="2370" customWidth="1"/>
    <col min="10" max="10" width="5.25" style="2371" customWidth="1"/>
    <col min="11" max="11" width="4.75" style="2372" customWidth="1"/>
    <col min="12" max="12" width="5.75" style="2373" customWidth="1"/>
    <col min="13" max="13" width="7.25" style="1859" customWidth="1"/>
    <col min="14" max="14" width="3.875" style="1857" customWidth="1"/>
    <col min="15" max="15" width="9.375" style="1847" customWidth="1"/>
    <col min="16" max="16" width="10.75" style="1860" customWidth="1"/>
    <col min="17" max="17" width="6.375" style="1860" customWidth="1"/>
    <col min="18" max="18" width="9.75" customWidth="1"/>
    <col min="19" max="19" width="9.25" bestFit="1" customWidth="1"/>
    <col min="20" max="21" width="9.25" customWidth="1"/>
    <col min="22" max="22" width="9" bestFit="1" customWidth="1"/>
    <col min="23" max="23" width="11.75" bestFit="1" customWidth="1"/>
    <col min="25" max="25" width="15.25" bestFit="1" customWidth="1"/>
  </cols>
  <sheetData>
    <row r="1" spans="1:23" ht="16.5">
      <c r="A1" s="4081" t="s">
        <v>165</v>
      </c>
      <c r="B1" s="4081"/>
      <c r="C1" s="4081"/>
      <c r="D1" s="4081"/>
      <c r="E1" s="4081"/>
      <c r="F1" s="4081"/>
      <c r="G1" s="4081"/>
      <c r="H1" s="4081"/>
      <c r="I1" s="4081"/>
      <c r="J1" s="4081"/>
      <c r="K1" s="4081"/>
      <c r="L1" s="4081"/>
      <c r="M1" s="4081"/>
      <c r="N1" s="4081"/>
      <c r="O1" s="4081"/>
      <c r="P1" s="4081"/>
    </row>
    <row r="2" spans="1:23" ht="16.5">
      <c r="A2" s="4081" t="s">
        <v>171</v>
      </c>
      <c r="B2" s="4081"/>
      <c r="C2" s="4081"/>
      <c r="D2" s="4081"/>
      <c r="E2" s="4081"/>
      <c r="F2" s="4081"/>
      <c r="G2" s="4081"/>
      <c r="H2" s="4081"/>
      <c r="I2" s="4081"/>
      <c r="J2" s="4081"/>
      <c r="K2" s="4081"/>
      <c r="L2" s="4081"/>
      <c r="M2" s="4081"/>
      <c r="N2" s="4081"/>
      <c r="O2" s="4081"/>
      <c r="P2" s="4081"/>
    </row>
    <row r="3" spans="1:23" ht="16.5">
      <c r="A3" s="4087" t="s">
        <v>726</v>
      </c>
      <c r="B3" s="4087"/>
      <c r="C3" s="4087"/>
      <c r="D3" s="4087"/>
      <c r="E3" s="4087"/>
      <c r="F3" s="4087"/>
      <c r="G3" s="4087"/>
      <c r="H3" s="4087"/>
      <c r="I3" s="4087"/>
      <c r="J3" s="4087"/>
      <c r="K3" s="4087"/>
      <c r="L3" s="4087"/>
      <c r="M3" s="4087"/>
      <c r="N3" s="4087"/>
      <c r="O3" s="4087"/>
      <c r="P3" s="4087"/>
    </row>
    <row r="4" spans="1:23">
      <c r="A4" s="4548" t="s">
        <v>809</v>
      </c>
      <c r="B4" s="4548"/>
      <c r="C4" s="4548"/>
      <c r="D4" s="4548"/>
      <c r="E4" s="4548"/>
      <c r="F4" s="4548"/>
      <c r="G4" s="4512"/>
      <c r="H4" s="4512"/>
      <c r="I4" s="4512"/>
      <c r="J4" s="4512"/>
      <c r="K4" s="4512"/>
      <c r="L4" s="4512"/>
      <c r="M4" s="4512"/>
      <c r="N4" s="4512"/>
      <c r="O4" s="4512"/>
      <c r="P4" s="4512"/>
      <c r="Q4" s="2837"/>
    </row>
    <row r="5" spans="1:23">
      <c r="A5" s="4512" t="s">
        <v>541</v>
      </c>
      <c r="B5" s="4512"/>
      <c r="C5" s="4512"/>
      <c r="D5" s="4512"/>
      <c r="E5" s="4512"/>
      <c r="F5" s="4512"/>
      <c r="G5" s="4512"/>
      <c r="H5" s="4512"/>
      <c r="I5" s="4512"/>
      <c r="J5" s="4512"/>
      <c r="K5" s="4512"/>
      <c r="L5" s="4512"/>
      <c r="M5" s="4512"/>
      <c r="N5" s="4512"/>
      <c r="O5" s="4512"/>
      <c r="P5" s="4512"/>
      <c r="Q5" s="2837"/>
    </row>
    <row r="6" spans="1:23" ht="18.75" customHeight="1">
      <c r="A6" s="1755"/>
      <c r="B6" s="1755"/>
      <c r="C6" s="1755"/>
      <c r="D6" s="1757"/>
      <c r="E6" s="1752"/>
      <c r="F6" s="1753"/>
      <c r="G6" s="1754"/>
      <c r="H6" s="1753"/>
      <c r="I6" s="2331"/>
      <c r="J6" s="2332"/>
      <c r="K6" s="1756"/>
      <c r="L6" s="1757"/>
      <c r="M6" s="1758"/>
      <c r="N6" s="1755"/>
      <c r="O6" s="1759"/>
      <c r="P6" s="1755"/>
      <c r="Q6" s="1755"/>
    </row>
    <row r="7" spans="1:23" ht="18.75">
      <c r="A7" s="4504" t="s">
        <v>1339</v>
      </c>
      <c r="B7" s="4504"/>
      <c r="C7" s="4504"/>
      <c r="D7" s="4504"/>
      <c r="E7" s="4504"/>
      <c r="F7" s="4504"/>
      <c r="G7" s="4504"/>
      <c r="H7" s="4504"/>
      <c r="I7" s="4504"/>
      <c r="J7" s="4504"/>
      <c r="K7" s="4504"/>
      <c r="L7" s="4504"/>
      <c r="M7" s="4504"/>
      <c r="N7" s="4504"/>
      <c r="O7" s="4504"/>
      <c r="P7" s="4504"/>
      <c r="Q7" s="2838"/>
      <c r="R7" s="1760"/>
      <c r="S7" s="1760"/>
      <c r="T7" s="1760"/>
      <c r="U7" s="1760"/>
      <c r="V7" s="1760"/>
      <c r="W7" s="1760"/>
    </row>
    <row r="8" spans="1:23" ht="15">
      <c r="A8" s="4505" t="s">
        <v>1340</v>
      </c>
      <c r="B8" s="4505"/>
      <c r="C8" s="4505"/>
      <c r="D8" s="4505"/>
      <c r="E8" s="4505"/>
      <c r="F8" s="4505"/>
      <c r="G8" s="4505"/>
      <c r="H8" s="4505"/>
      <c r="I8" s="4505"/>
      <c r="J8" s="4505"/>
      <c r="K8" s="4505"/>
      <c r="L8" s="4505"/>
      <c r="M8" s="4505"/>
      <c r="N8" s="4505"/>
      <c r="O8" s="4505"/>
      <c r="P8" s="4505"/>
      <c r="Q8" s="2849"/>
      <c r="R8" s="1760"/>
      <c r="S8" s="1760"/>
      <c r="T8" s="1760"/>
      <c r="U8" s="1760"/>
      <c r="V8" s="1760"/>
      <c r="W8" s="1760"/>
    </row>
    <row r="9" spans="1:23" ht="16.5">
      <c r="A9" s="4564" t="s">
        <v>19</v>
      </c>
      <c r="B9" s="4564" t="s">
        <v>1217</v>
      </c>
      <c r="C9" s="4566" t="s">
        <v>623</v>
      </c>
      <c r="D9" s="4568" t="s">
        <v>361</v>
      </c>
      <c r="E9" s="4570" t="s">
        <v>811</v>
      </c>
      <c r="F9" s="4570"/>
      <c r="G9" s="4570"/>
      <c r="H9" s="4570"/>
      <c r="I9" s="4570"/>
      <c r="J9" s="4570"/>
      <c r="K9" s="4570"/>
      <c r="L9" s="4570"/>
      <c r="M9" s="4570"/>
      <c r="N9" s="4570" t="s">
        <v>812</v>
      </c>
      <c r="O9" s="4572" t="s">
        <v>47</v>
      </c>
      <c r="P9" s="4574" t="s">
        <v>813</v>
      </c>
      <c r="Q9" s="2333"/>
      <c r="R9" s="1760"/>
      <c r="S9" s="1760"/>
      <c r="T9" s="1760"/>
      <c r="U9" s="1760"/>
      <c r="V9" s="1760"/>
      <c r="W9" s="1760"/>
    </row>
    <row r="10" spans="1:23" ht="16.5">
      <c r="A10" s="4565"/>
      <c r="B10" s="4565"/>
      <c r="C10" s="4567"/>
      <c r="D10" s="4569"/>
      <c r="E10" s="2912" t="s">
        <v>814</v>
      </c>
      <c r="F10" s="2912" t="s">
        <v>815</v>
      </c>
      <c r="G10" s="2912" t="s">
        <v>814</v>
      </c>
      <c r="H10" s="2912" t="s">
        <v>815</v>
      </c>
      <c r="I10" s="2912" t="s">
        <v>814</v>
      </c>
      <c r="J10" s="2912" t="s">
        <v>815</v>
      </c>
      <c r="K10" s="2912" t="s">
        <v>814</v>
      </c>
      <c r="L10" s="2913" t="s">
        <v>815</v>
      </c>
      <c r="M10" s="2914" t="s">
        <v>21</v>
      </c>
      <c r="N10" s="4571"/>
      <c r="O10" s="4573"/>
      <c r="P10" s="4575"/>
      <c r="Q10" s="2333"/>
      <c r="R10" s="1760"/>
      <c r="S10" s="1760"/>
      <c r="T10" s="1760"/>
      <c r="U10" s="1760"/>
      <c r="V10" s="1760"/>
      <c r="W10" s="1760"/>
    </row>
    <row r="11" spans="1:23" ht="33" customHeight="1">
      <c r="A11" s="1772" t="s">
        <v>52</v>
      </c>
      <c r="B11" s="1790" t="s">
        <v>816</v>
      </c>
      <c r="C11" s="1815"/>
      <c r="D11" s="2356"/>
      <c r="E11" s="1816"/>
      <c r="F11" s="1816"/>
      <c r="G11" s="1816"/>
      <c r="H11" s="1816"/>
      <c r="I11" s="1816"/>
      <c r="J11" s="1816"/>
      <c r="K11" s="1816"/>
      <c r="L11" s="2915"/>
      <c r="M11" s="1794"/>
      <c r="N11" s="1816"/>
      <c r="O11" s="1778">
        <f>O21+O15+O12</f>
        <v>7256.6605675199989</v>
      </c>
      <c r="P11" s="1817"/>
      <c r="Q11" s="2335"/>
      <c r="R11" s="1760"/>
      <c r="S11" s="1760"/>
      <c r="T11" s="1760"/>
      <c r="U11" s="1760"/>
      <c r="V11" s="1760"/>
      <c r="W11" s="1760"/>
    </row>
    <row r="12" spans="1:23" ht="30" customHeight="1">
      <c r="A12" s="1772" t="s">
        <v>147</v>
      </c>
      <c r="B12" s="1773" t="s">
        <v>817</v>
      </c>
      <c r="C12" s="1774"/>
      <c r="D12" s="1776"/>
      <c r="E12" s="1775"/>
      <c r="F12" s="1775"/>
      <c r="G12" s="1775"/>
      <c r="H12" s="1775"/>
      <c r="I12" s="1775"/>
      <c r="J12" s="1775"/>
      <c r="K12" s="1775"/>
      <c r="L12" s="1776"/>
      <c r="M12" s="1777"/>
      <c r="N12" s="1775"/>
      <c r="O12" s="1778"/>
      <c r="P12" s="1779"/>
      <c r="Q12" s="2336"/>
      <c r="R12" s="1760"/>
      <c r="S12" s="1760"/>
      <c r="T12" s="1760"/>
      <c r="U12" s="1760"/>
      <c r="V12" s="1760"/>
      <c r="W12" s="1760"/>
    </row>
    <row r="13" spans="1:23" ht="30" customHeight="1">
      <c r="A13" s="1780">
        <v>1</v>
      </c>
      <c r="B13" s="1781" t="s">
        <v>49</v>
      </c>
      <c r="C13" s="1782" t="s">
        <v>818</v>
      </c>
      <c r="D13" s="2337"/>
      <c r="E13" s="1775"/>
      <c r="F13" s="2839"/>
      <c r="G13" s="1775"/>
      <c r="H13" s="1775"/>
      <c r="I13" s="1775"/>
      <c r="J13" s="1775"/>
      <c r="K13" s="1775"/>
      <c r="L13" s="1776"/>
      <c r="M13" s="1777"/>
      <c r="N13" s="2839"/>
      <c r="O13" s="1778"/>
      <c r="P13" s="1783"/>
      <c r="Q13" s="2338"/>
      <c r="R13" s="1760"/>
      <c r="S13" s="1760"/>
      <c r="T13" s="1760"/>
      <c r="U13" s="1760"/>
      <c r="V13" s="1760"/>
      <c r="W13" s="1760"/>
    </row>
    <row r="14" spans="1:23" ht="30" customHeight="1">
      <c r="A14" s="1780">
        <v>2</v>
      </c>
      <c r="B14" s="1781" t="s">
        <v>819</v>
      </c>
      <c r="C14" s="1782" t="s">
        <v>818</v>
      </c>
      <c r="D14" s="2337"/>
      <c r="E14" s="1775"/>
      <c r="F14" s="2839"/>
      <c r="G14" s="1775"/>
      <c r="H14" s="1775"/>
      <c r="I14" s="1775"/>
      <c r="J14" s="1775"/>
      <c r="K14" s="1775"/>
      <c r="L14" s="1776"/>
      <c r="M14" s="2339">
        <v>141</v>
      </c>
      <c r="N14" s="2839"/>
      <c r="O14" s="1778"/>
      <c r="P14" s="1785"/>
      <c r="Q14" s="2340"/>
      <c r="R14" s="1760"/>
      <c r="S14" s="1760"/>
      <c r="T14" s="1760"/>
      <c r="U14" s="1760"/>
      <c r="V14" s="1760"/>
      <c r="W14" s="1760"/>
    </row>
    <row r="15" spans="1:23" ht="42" customHeight="1">
      <c r="A15" s="1772" t="s">
        <v>148</v>
      </c>
      <c r="B15" s="1773" t="s">
        <v>820</v>
      </c>
      <c r="C15" s="1786"/>
      <c r="D15" s="1776"/>
      <c r="E15" s="1775"/>
      <c r="F15" s="1775"/>
      <c r="G15" s="1775"/>
      <c r="H15" s="1775"/>
      <c r="I15" s="1775"/>
      <c r="J15" s="1775"/>
      <c r="K15" s="1775"/>
      <c r="L15" s="1776"/>
      <c r="M15" s="2916"/>
      <c r="N15" s="1775"/>
      <c r="O15" s="1778">
        <f>SUM(O16:O20)</f>
        <v>5507.5999999999995</v>
      </c>
      <c r="P15" s="1779"/>
      <c r="Q15" s="2336"/>
      <c r="R15" s="1760"/>
      <c r="S15" s="1760"/>
      <c r="T15" s="1760"/>
      <c r="U15" s="1760"/>
      <c r="V15" s="1760"/>
      <c r="W15" s="1760"/>
    </row>
    <row r="16" spans="1:23" ht="42" customHeight="1">
      <c r="A16" s="1780">
        <v>1</v>
      </c>
      <c r="B16" s="1781" t="s">
        <v>821</v>
      </c>
      <c r="C16" s="1787" t="s">
        <v>362</v>
      </c>
      <c r="D16" s="2337"/>
      <c r="E16" s="4501" t="s">
        <v>1305</v>
      </c>
      <c r="F16" s="4501"/>
      <c r="G16" s="4501"/>
      <c r="H16" s="4501"/>
      <c r="I16" s="4501"/>
      <c r="J16" s="4501"/>
      <c r="K16" s="4501"/>
      <c r="L16" s="4501"/>
      <c r="M16" s="1777"/>
      <c r="N16" s="2839"/>
      <c r="O16" s="1788">
        <f>43*4*70000/25000</f>
        <v>481.6</v>
      </c>
      <c r="P16" s="1785"/>
      <c r="Q16" s="2340"/>
      <c r="R16" s="1760"/>
      <c r="S16" s="1760"/>
      <c r="T16" s="1760"/>
      <c r="U16" s="1760"/>
      <c r="V16" s="1760"/>
      <c r="W16" s="1760"/>
    </row>
    <row r="17" spans="1:30" ht="42" customHeight="1">
      <c r="A17" s="1780">
        <v>2</v>
      </c>
      <c r="B17" s="1781" t="s">
        <v>1306</v>
      </c>
      <c r="C17" s="1782" t="s">
        <v>362</v>
      </c>
      <c r="D17" s="2337"/>
      <c r="E17" s="4501" t="s">
        <v>1341</v>
      </c>
      <c r="F17" s="4501"/>
      <c r="G17" s="4501"/>
      <c r="H17" s="4501"/>
      <c r="I17" s="4501"/>
      <c r="J17" s="4501"/>
      <c r="K17" s="4501"/>
      <c r="L17" s="4501"/>
      <c r="M17" s="1777"/>
      <c r="N17" s="2839"/>
      <c r="O17" s="1788">
        <f>43*27*50000/25000</f>
        <v>2322</v>
      </c>
      <c r="P17" s="1785"/>
      <c r="Q17" s="2340"/>
      <c r="R17" s="1760"/>
      <c r="S17" s="1760"/>
      <c r="T17" s="1760"/>
      <c r="U17" s="1760"/>
      <c r="V17" s="1760"/>
      <c r="W17" s="1760"/>
    </row>
    <row r="18" spans="1:30" ht="40.5" customHeight="1">
      <c r="A18" s="1780">
        <v>3</v>
      </c>
      <c r="B18" s="1781" t="s">
        <v>1041</v>
      </c>
      <c r="C18" s="1787" t="s">
        <v>362</v>
      </c>
      <c r="D18" s="2337"/>
      <c r="E18" s="4501" t="s">
        <v>1042</v>
      </c>
      <c r="F18" s="4501"/>
      <c r="G18" s="4501"/>
      <c r="H18" s="4501"/>
      <c r="I18" s="4501"/>
      <c r="J18" s="4501"/>
      <c r="K18" s="4501"/>
      <c r="L18" s="4501"/>
      <c r="M18" s="1777"/>
      <c r="N18" s="2839"/>
      <c r="O18" s="1788">
        <f>8*4*90000/25000</f>
        <v>115.2</v>
      </c>
      <c r="P18" s="1785"/>
      <c r="Q18" s="2340"/>
      <c r="R18" s="1760"/>
      <c r="S18" s="1760"/>
      <c r="T18" s="1760"/>
      <c r="U18" s="1760"/>
      <c r="V18" s="1760"/>
      <c r="W18" s="1760"/>
    </row>
    <row r="19" spans="1:30" ht="40.5" customHeight="1">
      <c r="A19" s="1780">
        <v>4</v>
      </c>
      <c r="B19" s="1781" t="s">
        <v>1308</v>
      </c>
      <c r="C19" s="1782" t="s">
        <v>362</v>
      </c>
      <c r="D19" s="2337"/>
      <c r="E19" s="4501" t="s">
        <v>1044</v>
      </c>
      <c r="F19" s="4501"/>
      <c r="G19" s="4501"/>
      <c r="H19" s="4501"/>
      <c r="I19" s="4501"/>
      <c r="J19" s="4501"/>
      <c r="K19" s="4501"/>
      <c r="L19" s="4501"/>
      <c r="M19" s="1777"/>
      <c r="N19" s="2839"/>
      <c r="O19" s="1788">
        <f>8*27*70000/25000</f>
        <v>604.79999999999995</v>
      </c>
      <c r="P19" s="1785"/>
      <c r="Q19" s="2340"/>
      <c r="R19" s="1760"/>
      <c r="S19" s="1760"/>
      <c r="T19" s="1760"/>
      <c r="U19" s="1760"/>
      <c r="V19" s="1760"/>
      <c r="W19" s="1760"/>
    </row>
    <row r="20" spans="1:30" ht="40.5" customHeight="1">
      <c r="A20" s="1780">
        <v>5</v>
      </c>
      <c r="B20" s="1781" t="s">
        <v>1297</v>
      </c>
      <c r="C20" s="1782" t="s">
        <v>362</v>
      </c>
      <c r="D20" s="2337"/>
      <c r="E20" s="4501" t="s">
        <v>1342</v>
      </c>
      <c r="F20" s="4501"/>
      <c r="G20" s="4501"/>
      <c r="H20" s="4501"/>
      <c r="I20" s="4501"/>
      <c r="J20" s="4501"/>
      <c r="K20" s="4501"/>
      <c r="L20" s="4501"/>
      <c r="M20" s="1777"/>
      <c r="N20" s="2839"/>
      <c r="O20" s="1788">
        <f>16*31*100000/25000</f>
        <v>1984</v>
      </c>
      <c r="P20" s="1785"/>
      <c r="Q20" s="2340"/>
      <c r="R20" s="2614"/>
      <c r="S20" s="2614"/>
      <c r="T20" s="2614"/>
      <c r="U20" s="2614"/>
      <c r="V20" s="2614"/>
      <c r="W20" s="2614"/>
      <c r="X20" s="2602"/>
      <c r="Y20" s="2602"/>
      <c r="Z20" s="2602"/>
      <c r="AA20" s="2602"/>
      <c r="AB20" s="2602"/>
      <c r="AC20" s="2602"/>
      <c r="AD20" s="2602"/>
    </row>
    <row r="21" spans="1:30" ht="27" customHeight="1">
      <c r="A21" s="1789" t="s">
        <v>149</v>
      </c>
      <c r="B21" s="1790" t="s">
        <v>958</v>
      </c>
      <c r="C21" s="1787"/>
      <c r="D21" s="1820"/>
      <c r="E21" s="1792"/>
      <c r="F21" s="1793"/>
      <c r="G21" s="1792"/>
      <c r="H21" s="1793"/>
      <c r="I21" s="1816"/>
      <c r="J21" s="1795"/>
      <c r="K21" s="1816"/>
      <c r="L21" s="2341"/>
      <c r="M21" s="1794"/>
      <c r="N21" s="1795"/>
      <c r="O21" s="1796">
        <f>+O23+O35+O28+O41+O47</f>
        <v>1749.0605675199999</v>
      </c>
      <c r="P21" s="2342"/>
      <c r="Q21" s="2343"/>
      <c r="R21" s="2614"/>
      <c r="S21" s="2614"/>
      <c r="T21" s="2614"/>
      <c r="U21" s="2614"/>
      <c r="V21" s="2614"/>
      <c r="W21" s="2614"/>
      <c r="X21" s="2602"/>
      <c r="Y21" s="2602"/>
      <c r="Z21" s="2602"/>
      <c r="AA21" s="2602"/>
      <c r="AB21" s="2602"/>
      <c r="AC21" s="2602"/>
      <c r="AD21" s="2602"/>
    </row>
    <row r="22" spans="1:30" ht="22.5" customHeight="1">
      <c r="A22" s="1789"/>
      <c r="B22" s="1773" t="s">
        <v>321</v>
      </c>
      <c r="C22" s="1787"/>
      <c r="D22" s="1820"/>
      <c r="E22" s="1792"/>
      <c r="F22" s="1793"/>
      <c r="G22" s="1792"/>
      <c r="H22" s="1793"/>
      <c r="I22" s="1816"/>
      <c r="J22" s="1795"/>
      <c r="K22" s="1816"/>
      <c r="L22" s="2341"/>
      <c r="M22" s="1794"/>
      <c r="N22" s="1795"/>
      <c r="O22" s="1796">
        <f>O23+O28+O35</f>
        <v>947.38963034200003</v>
      </c>
      <c r="P22" s="2342"/>
      <c r="Q22" s="2343"/>
      <c r="R22" s="2614"/>
      <c r="S22" s="2614"/>
      <c r="T22" s="2614"/>
      <c r="U22" s="2614"/>
      <c r="V22" s="2614"/>
      <c r="W22" s="2614"/>
      <c r="X22" s="2602"/>
      <c r="Y22" s="2602"/>
      <c r="Z22" s="2602"/>
      <c r="AA22" s="2602"/>
      <c r="AB22" s="2602"/>
      <c r="AC22" s="2602"/>
      <c r="AD22" s="2602"/>
    </row>
    <row r="23" spans="1:30" ht="22.5" customHeight="1">
      <c r="A23" s="1789">
        <v>1</v>
      </c>
      <c r="B23" s="1790" t="s">
        <v>927</v>
      </c>
      <c r="C23" s="1787"/>
      <c r="D23" s="1820"/>
      <c r="E23" s="1792"/>
      <c r="F23" s="1793"/>
      <c r="G23" s="1792"/>
      <c r="H23" s="1793"/>
      <c r="I23" s="1816"/>
      <c r="J23" s="1795"/>
      <c r="K23" s="1816"/>
      <c r="L23" s="2341"/>
      <c r="M23" s="1794"/>
      <c r="N23" s="1795"/>
      <c r="O23" s="1796">
        <f>+SUM(O24:O27)</f>
        <v>124.225012002</v>
      </c>
      <c r="P23" s="2342"/>
      <c r="Q23" s="2343"/>
      <c r="R23" s="2608"/>
      <c r="S23" s="3075"/>
      <c r="T23" s="4502" t="s">
        <v>1386</v>
      </c>
      <c r="U23" s="4563"/>
      <c r="V23" s="4503"/>
      <c r="W23" s="4544" t="s">
        <v>1387</v>
      </c>
      <c r="X23" s="4544"/>
      <c r="Y23" s="4544"/>
      <c r="Z23" s="2606"/>
      <c r="AA23" s="2606"/>
      <c r="AB23" s="2606"/>
      <c r="AC23" s="2606"/>
      <c r="AD23" s="2602"/>
    </row>
    <row r="24" spans="1:30" ht="22.5" customHeight="1">
      <c r="A24" s="1798" t="s">
        <v>837</v>
      </c>
      <c r="B24" s="1781" t="s">
        <v>204</v>
      </c>
      <c r="C24" s="1787" t="s">
        <v>959</v>
      </c>
      <c r="D24" s="1820">
        <v>1.25</v>
      </c>
      <c r="E24" s="1799"/>
      <c r="F24" s="1800"/>
      <c r="G24" s="1801"/>
      <c r="H24" s="1802"/>
      <c r="I24" s="1799"/>
      <c r="J24" s="1802"/>
      <c r="K24" s="1816"/>
      <c r="L24" s="2341"/>
      <c r="M24" s="1794">
        <v>23</v>
      </c>
      <c r="N24" s="1795">
        <v>1</v>
      </c>
      <c r="O24" s="1788">
        <f>ROUND((M24/D24)*N24,9)</f>
        <v>18.399999999999999</v>
      </c>
      <c r="P24" s="2342"/>
      <c r="Q24" s="2343"/>
      <c r="R24" s="2616"/>
      <c r="S24" s="3078"/>
      <c r="T24" s="3078" t="s">
        <v>1388</v>
      </c>
      <c r="U24" s="3078" t="s">
        <v>1389</v>
      </c>
      <c r="V24" s="3079" t="s">
        <v>1390</v>
      </c>
      <c r="W24" s="3079" t="s">
        <v>1388</v>
      </c>
      <c r="X24" s="2348" t="s">
        <v>1389</v>
      </c>
      <c r="Y24" s="2348" t="s">
        <v>1390</v>
      </c>
      <c r="Z24" s="2603"/>
      <c r="AA24" s="2603"/>
      <c r="AB24" s="2603"/>
      <c r="AC24" s="2603"/>
      <c r="AD24" s="2602"/>
    </row>
    <row r="25" spans="1:30" ht="22.5" customHeight="1">
      <c r="A25" s="2917" t="s">
        <v>838</v>
      </c>
      <c r="B25" s="2918" t="s">
        <v>1343</v>
      </c>
      <c r="C25" s="1787" t="s">
        <v>1050</v>
      </c>
      <c r="D25" s="1820">
        <v>0.20830000000000001</v>
      </c>
      <c r="E25" s="1811" t="s">
        <v>1061</v>
      </c>
      <c r="F25" s="1802">
        <v>1.22</v>
      </c>
      <c r="G25" s="1810" t="s">
        <v>1057</v>
      </c>
      <c r="H25" s="1802">
        <v>6.09</v>
      </c>
      <c r="I25" s="1795" t="s">
        <v>209</v>
      </c>
      <c r="J25" s="2341">
        <v>1.77</v>
      </c>
      <c r="K25" s="1816"/>
      <c r="L25" s="2341"/>
      <c r="M25" s="1794">
        <f>F25+H25+J25</f>
        <v>9.08</v>
      </c>
      <c r="N25" s="1795">
        <v>1</v>
      </c>
      <c r="O25" s="1788">
        <f>ROUND((M25/D25)*N25,9)</f>
        <v>43.590974555999999</v>
      </c>
      <c r="P25" s="2350"/>
      <c r="Q25" s="2349"/>
      <c r="R25" s="2602"/>
      <c r="S25" s="3080">
        <v>1</v>
      </c>
      <c r="T25" s="3084">
        <f>M25+M31+M37</f>
        <v>100.88999999999999</v>
      </c>
      <c r="U25" s="3085">
        <f>M43</f>
        <v>85.47</v>
      </c>
      <c r="V25" s="3081"/>
      <c r="W25" s="3081">
        <f>M27+M39+M34</f>
        <v>8.7866999999999997</v>
      </c>
      <c r="X25" s="3082"/>
      <c r="Y25" s="3088">
        <f>M48</f>
        <v>61.351349999999996</v>
      </c>
      <c r="Z25" s="2602"/>
      <c r="AA25" s="2602"/>
      <c r="AB25" s="2602"/>
      <c r="AC25" s="2602"/>
      <c r="AD25" s="2602"/>
    </row>
    <row r="26" spans="1:30" ht="22.5" customHeight="1">
      <c r="A26" s="2917" t="s">
        <v>1047</v>
      </c>
      <c r="B26" s="2918" t="s">
        <v>1345</v>
      </c>
      <c r="C26" s="1787" t="s">
        <v>1050</v>
      </c>
      <c r="D26" s="1820">
        <v>0.20830000000000001</v>
      </c>
      <c r="E26" s="1811">
        <v>9</v>
      </c>
      <c r="F26" s="1802">
        <v>8.08</v>
      </c>
      <c r="G26" s="1810">
        <v>8</v>
      </c>
      <c r="H26" s="1802">
        <v>2.0499999999999998</v>
      </c>
      <c r="I26" s="1816"/>
      <c r="J26" s="2341"/>
      <c r="K26" s="1816"/>
      <c r="L26" s="2341"/>
      <c r="M26" s="1794">
        <f>F26+H26</f>
        <v>10.129999999999999</v>
      </c>
      <c r="N26" s="1795">
        <v>1</v>
      </c>
      <c r="O26" s="1788">
        <f>ROUND((M26/D26)*N26,9)</f>
        <v>48.631781085</v>
      </c>
      <c r="P26" s="2350"/>
      <c r="Q26" s="2349"/>
      <c r="R26" s="2616"/>
      <c r="S26" s="3083">
        <v>0.8</v>
      </c>
      <c r="T26" s="3086">
        <f>M26+M38</f>
        <v>53.67</v>
      </c>
      <c r="U26" s="3086"/>
      <c r="V26" s="3086"/>
      <c r="W26" s="3086"/>
      <c r="X26" s="3082"/>
      <c r="Y26" s="3086"/>
      <c r="Z26" s="3090">
        <f>T25+T26+U25+U26+W25+Y25</f>
        <v>310.16804999999999</v>
      </c>
      <c r="AA26" s="2602">
        <f>Z26*1.7</f>
        <v>527.28568499999994</v>
      </c>
      <c r="AB26" s="2602"/>
      <c r="AC26" s="2602"/>
      <c r="AD26" s="2602"/>
    </row>
    <row r="27" spans="1:30" ht="54" customHeight="1">
      <c r="A27" s="2917" t="s">
        <v>1048</v>
      </c>
      <c r="B27" s="2918" t="s">
        <v>1346</v>
      </c>
      <c r="C27" s="1787" t="s">
        <v>1050</v>
      </c>
      <c r="D27" s="1820">
        <v>0.20830000000000001</v>
      </c>
      <c r="E27" s="1811" t="s">
        <v>1060</v>
      </c>
      <c r="F27" s="1802">
        <f>(352*15)/10000</f>
        <v>0.52800000000000002</v>
      </c>
      <c r="G27" s="1810" t="s">
        <v>1056</v>
      </c>
      <c r="H27" s="1802">
        <f>(931.4*15)/10000</f>
        <v>1.3971</v>
      </c>
      <c r="I27" s="1795" t="s">
        <v>1059</v>
      </c>
      <c r="J27" s="2341">
        <f>(605.5*15)/10000</f>
        <v>0.90825</v>
      </c>
      <c r="K27" s="1816"/>
      <c r="L27" s="2341"/>
      <c r="M27" s="1794">
        <f>F27+H27+J27</f>
        <v>2.8333500000000003</v>
      </c>
      <c r="N27" s="1795">
        <v>1</v>
      </c>
      <c r="O27" s="1788">
        <f>ROUND((M27/D27)*N27,9)</f>
        <v>13.602256361</v>
      </c>
      <c r="P27" s="2919" t="s">
        <v>1347</v>
      </c>
      <c r="Q27" s="2349"/>
      <c r="R27" s="2602"/>
      <c r="S27" s="3087" t="s">
        <v>1344</v>
      </c>
      <c r="T27" s="2347">
        <f>F53+H53+L53</f>
        <v>18.82</v>
      </c>
      <c r="U27" s="2347">
        <f>J53+F54</f>
        <v>2.73</v>
      </c>
      <c r="V27" s="2347"/>
      <c r="W27" s="2347"/>
      <c r="X27" s="2347">
        <f>M55</f>
        <v>5.0999999999999996</v>
      </c>
      <c r="Y27" s="2347"/>
      <c r="Z27" s="2616">
        <f>T27+U27+X27</f>
        <v>26.65</v>
      </c>
      <c r="AA27" s="2602">
        <f>Z27*2</f>
        <v>53.3</v>
      </c>
      <c r="AB27" s="2602"/>
      <c r="AC27" s="2602"/>
      <c r="AD27" s="2602"/>
    </row>
    <row r="28" spans="1:30" ht="24.75" customHeight="1">
      <c r="A28" s="1789">
        <v>2</v>
      </c>
      <c r="B28" s="1790" t="s">
        <v>824</v>
      </c>
      <c r="C28" s="1787"/>
      <c r="D28" s="1820"/>
      <c r="E28" s="1799"/>
      <c r="F28" s="1802"/>
      <c r="G28" s="1799"/>
      <c r="H28" s="1802"/>
      <c r="I28" s="1801"/>
      <c r="J28" s="1802"/>
      <c r="K28" s="1801"/>
      <c r="L28" s="1802"/>
      <c r="M28" s="1794"/>
      <c r="N28" s="1795"/>
      <c r="O28" s="1796">
        <f>+SUM(O29:O34)</f>
        <v>276.47537205999998</v>
      </c>
      <c r="P28" s="2342"/>
      <c r="Q28" s="2343"/>
      <c r="R28" s="2602"/>
      <c r="S28" s="2347" t="s">
        <v>187</v>
      </c>
      <c r="T28" s="2347">
        <f>SUM(T25:T27)</f>
        <v>173.38</v>
      </c>
      <c r="U28" s="2347">
        <f t="shared" ref="U28:Y28" si="0">SUM(U25:U27)</f>
        <v>88.2</v>
      </c>
      <c r="V28" s="2347">
        <f t="shared" si="0"/>
        <v>0</v>
      </c>
      <c r="W28" s="2347">
        <f t="shared" si="0"/>
        <v>8.7866999999999997</v>
      </c>
      <c r="X28" s="2347">
        <f t="shared" si="0"/>
        <v>5.0999999999999996</v>
      </c>
      <c r="Y28" s="2347">
        <f t="shared" si="0"/>
        <v>61.351349999999996</v>
      </c>
      <c r="Z28" s="2602"/>
      <c r="AA28" s="2602"/>
      <c r="AB28" s="2602"/>
      <c r="AC28" s="2602"/>
      <c r="AD28" s="2602"/>
    </row>
    <row r="29" spans="1:30" ht="45.75" customHeight="1">
      <c r="A29" s="1798" t="s">
        <v>969</v>
      </c>
      <c r="B29" s="2351" t="s">
        <v>1227</v>
      </c>
      <c r="C29" s="1787" t="s">
        <v>959</v>
      </c>
      <c r="D29" s="1820">
        <f>25000/200000</f>
        <v>0.125</v>
      </c>
      <c r="E29" s="1799"/>
      <c r="F29" s="1800"/>
      <c r="G29" s="1801"/>
      <c r="H29" s="1802"/>
      <c r="I29" s="1799"/>
      <c r="J29" s="1802"/>
      <c r="K29" s="1816"/>
      <c r="L29" s="2341"/>
      <c r="M29" s="1794">
        <v>6</v>
      </c>
      <c r="N29" s="1795">
        <v>1</v>
      </c>
      <c r="O29" s="1788">
        <f t="shared" ref="O29:O30" si="1">ROUND((M29/D29)*N29,9)</f>
        <v>48</v>
      </c>
      <c r="P29" s="2342"/>
      <c r="Q29" s="2343"/>
      <c r="R29" s="2614"/>
      <c r="S29" s="2602"/>
      <c r="T29" s="2616">
        <f>T28+U28+V28</f>
        <v>261.58</v>
      </c>
      <c r="U29" s="2602"/>
      <c r="V29" s="2614"/>
      <c r="W29" s="3089">
        <f>W28+X28+Y28</f>
        <v>75.238050000000001</v>
      </c>
      <c r="X29" s="2602"/>
      <c r="Y29" s="2602"/>
      <c r="Z29" s="2602"/>
      <c r="AA29" s="2602"/>
      <c r="AB29" s="2602"/>
      <c r="AC29" s="2602"/>
      <c r="AD29" s="2602"/>
    </row>
    <row r="30" spans="1:30" ht="39" customHeight="1">
      <c r="A30" s="1798" t="s">
        <v>1065</v>
      </c>
      <c r="B30" s="1781" t="s">
        <v>204</v>
      </c>
      <c r="C30" s="1787" t="s">
        <v>959</v>
      </c>
      <c r="D30" s="1820">
        <v>1.25</v>
      </c>
      <c r="E30" s="1799"/>
      <c r="F30" s="1802"/>
      <c r="G30" s="1801"/>
      <c r="H30" s="1802"/>
      <c r="I30" s="1801"/>
      <c r="J30" s="1802"/>
      <c r="K30" s="2352"/>
      <c r="L30" s="1807"/>
      <c r="M30" s="1794">
        <v>28</v>
      </c>
      <c r="N30" s="1795">
        <v>1</v>
      </c>
      <c r="O30" s="1788">
        <f t="shared" si="1"/>
        <v>22.4</v>
      </c>
      <c r="P30" s="2342"/>
      <c r="Q30" s="2343"/>
      <c r="R30" s="1804"/>
      <c r="S30" s="1760"/>
      <c r="T30" s="1760"/>
      <c r="U30" s="1760"/>
      <c r="V30" s="1760"/>
      <c r="W30" s="1760"/>
      <c r="Y30" s="2382">
        <f>T28+U28+W28+X28</f>
        <v>275.4667</v>
      </c>
      <c r="Z30">
        <v>120000</v>
      </c>
    </row>
    <row r="31" spans="1:30" ht="33.75" customHeight="1">
      <c r="A31" s="4578" t="s">
        <v>1066</v>
      </c>
      <c r="B31" s="4579" t="s">
        <v>1064</v>
      </c>
      <c r="C31" s="4580" t="s">
        <v>1050</v>
      </c>
      <c r="D31" s="4581">
        <v>0.20829999999999999</v>
      </c>
      <c r="E31" s="1810">
        <v>10</v>
      </c>
      <c r="F31" s="1802">
        <v>3.09</v>
      </c>
      <c r="G31" s="1810">
        <v>14</v>
      </c>
      <c r="H31" s="1802">
        <v>4.3499999999999996</v>
      </c>
      <c r="I31" s="1810" t="s">
        <v>1060</v>
      </c>
      <c r="J31" s="1802">
        <v>1.64</v>
      </c>
      <c r="K31" s="1810" t="s">
        <v>1074</v>
      </c>
      <c r="L31" s="1807">
        <v>2.96</v>
      </c>
      <c r="M31" s="4582">
        <f>F31+F32+F33+H31+H32+H33+J31+L31+L32+J32+J33</f>
        <v>39.99</v>
      </c>
      <c r="N31" s="4576">
        <v>1</v>
      </c>
      <c r="O31" s="4470">
        <f>ROUND((M31/D31)*N31,9)</f>
        <v>191.982717235</v>
      </c>
      <c r="P31" s="2342"/>
      <c r="Q31" s="2343"/>
      <c r="R31" s="1715"/>
      <c r="S31" s="1715"/>
      <c r="T31" s="1715"/>
      <c r="U31" s="1715"/>
      <c r="V31" s="1760"/>
      <c r="W31" s="1760"/>
      <c r="Y31" s="3055">
        <f>Y30*Z30</f>
        <v>33056004</v>
      </c>
    </row>
    <row r="32" spans="1:30" ht="33.75" customHeight="1">
      <c r="A32" s="4578"/>
      <c r="B32" s="4579"/>
      <c r="C32" s="4580"/>
      <c r="D32" s="4581"/>
      <c r="E32" s="1810">
        <v>11</v>
      </c>
      <c r="F32" s="1802">
        <v>1.08</v>
      </c>
      <c r="G32" s="1810" t="s">
        <v>1073</v>
      </c>
      <c r="H32" s="1802">
        <v>6.81</v>
      </c>
      <c r="I32" s="1810" t="s">
        <v>209</v>
      </c>
      <c r="J32" s="1802">
        <v>2.87</v>
      </c>
      <c r="K32" s="1810">
        <v>9</v>
      </c>
      <c r="L32" s="1802">
        <v>2.46</v>
      </c>
      <c r="M32" s="4582"/>
      <c r="N32" s="4576"/>
      <c r="O32" s="4491"/>
      <c r="P32" s="2342"/>
      <c r="Q32" s="2343"/>
      <c r="R32" s="2353"/>
      <c r="S32" s="2353"/>
      <c r="T32" s="2353"/>
      <c r="U32" s="2353"/>
      <c r="V32" s="1760"/>
      <c r="W32" s="1760"/>
      <c r="Y32">
        <f>120000*255</f>
        <v>30600000</v>
      </c>
    </row>
    <row r="33" spans="1:25" ht="33.75" customHeight="1">
      <c r="A33" s="4578"/>
      <c r="B33" s="4579"/>
      <c r="C33" s="4580"/>
      <c r="D33" s="4581"/>
      <c r="E33" s="1810">
        <v>8</v>
      </c>
      <c r="F33" s="1802">
        <v>1.55</v>
      </c>
      <c r="G33" s="1810">
        <v>10</v>
      </c>
      <c r="H33" s="1802">
        <v>5.78</v>
      </c>
      <c r="I33" s="2387" t="s">
        <v>1073</v>
      </c>
      <c r="J33" s="1800">
        <v>7.4</v>
      </c>
      <c r="K33" s="1801"/>
      <c r="L33" s="1802"/>
      <c r="M33" s="4582"/>
      <c r="N33" s="4576"/>
      <c r="O33" s="4471"/>
      <c r="P33" s="2342"/>
      <c r="Q33" s="2343"/>
      <c r="R33" s="2353"/>
      <c r="S33" s="2353"/>
      <c r="T33" s="2353"/>
      <c r="U33" s="2353"/>
      <c r="V33" s="1760"/>
      <c r="W33" s="1760"/>
      <c r="Y33" s="3091">
        <f>Y31-Y32</f>
        <v>2456004</v>
      </c>
    </row>
    <row r="34" spans="1:25" ht="57.75" customHeight="1">
      <c r="A34" s="1798" t="s">
        <v>1067</v>
      </c>
      <c r="B34" s="2918" t="s">
        <v>1346</v>
      </c>
      <c r="C34" s="1787" t="s">
        <v>1050</v>
      </c>
      <c r="D34" s="1820">
        <v>0.20830000000000001</v>
      </c>
      <c r="E34" s="1810">
        <v>4</v>
      </c>
      <c r="F34" s="1802">
        <f>(1957*15)/10000</f>
        <v>2.9355000000000002</v>
      </c>
      <c r="G34" s="1810"/>
      <c r="H34" s="1802"/>
      <c r="I34" s="1808"/>
      <c r="J34" s="1800"/>
      <c r="K34" s="1801"/>
      <c r="L34" s="1802"/>
      <c r="M34" s="1794">
        <f>F34</f>
        <v>2.9355000000000002</v>
      </c>
      <c r="N34" s="1795">
        <v>1</v>
      </c>
      <c r="O34" s="1788">
        <f>ROUND((M34/D34)*N34,9)</f>
        <v>14.092654825</v>
      </c>
      <c r="P34" s="2919" t="s">
        <v>1347</v>
      </c>
      <c r="Q34" s="2343"/>
      <c r="R34" s="2353"/>
      <c r="S34" s="2353"/>
      <c r="T34" s="2353"/>
      <c r="U34" s="2353"/>
      <c r="V34" s="1760"/>
      <c r="W34" s="1760"/>
    </row>
    <row r="35" spans="1:25" ht="23.25" customHeight="1">
      <c r="A35" s="1789">
        <v>3</v>
      </c>
      <c r="B35" s="1790" t="s">
        <v>928</v>
      </c>
      <c r="C35" s="1787"/>
      <c r="D35" s="1820"/>
      <c r="E35" s="1812"/>
      <c r="F35" s="1791"/>
      <c r="G35" s="1812"/>
      <c r="H35" s="1791"/>
      <c r="I35" s="1808"/>
      <c r="J35" s="1800"/>
      <c r="K35" s="1801"/>
      <c r="L35" s="1802"/>
      <c r="M35" s="1794"/>
      <c r="N35" s="1795"/>
      <c r="O35" s="1796">
        <f>+SUM(O36:O39)</f>
        <v>546.68924628000002</v>
      </c>
      <c r="P35" s="2342"/>
      <c r="Q35" s="2343"/>
      <c r="R35" s="2353"/>
      <c r="S35" s="2353"/>
      <c r="T35" s="2353"/>
      <c r="U35" s="2353"/>
      <c r="V35" s="1760"/>
      <c r="W35" s="1760"/>
    </row>
    <row r="36" spans="1:25" ht="23.25" customHeight="1">
      <c r="A36" s="1798" t="s">
        <v>889</v>
      </c>
      <c r="B36" s="1781" t="s">
        <v>204</v>
      </c>
      <c r="C36" s="1787" t="s">
        <v>959</v>
      </c>
      <c r="D36" s="1820">
        <v>1.25</v>
      </c>
      <c r="E36" s="1799"/>
      <c r="F36" s="1802"/>
      <c r="G36" s="1801"/>
      <c r="H36" s="1802"/>
      <c r="I36" s="1801"/>
      <c r="J36" s="1802"/>
      <c r="K36" s="2352"/>
      <c r="L36" s="1807"/>
      <c r="M36" s="1794">
        <v>93</v>
      </c>
      <c r="N36" s="1795">
        <v>1</v>
      </c>
      <c r="O36" s="1788">
        <f t="shared" ref="O36" si="2">ROUND((M36/D36)*N36,9)</f>
        <v>74.400000000000006</v>
      </c>
      <c r="P36" s="2342"/>
      <c r="Q36" s="2343"/>
      <c r="R36" s="2353"/>
      <c r="S36" s="2353"/>
      <c r="T36" s="2353"/>
      <c r="U36" s="2353"/>
      <c r="V36" s="1760"/>
      <c r="W36" s="1760"/>
    </row>
    <row r="37" spans="1:25" ht="36" customHeight="1">
      <c r="A37" s="1798" t="s">
        <v>970</v>
      </c>
      <c r="B37" s="1818" t="s">
        <v>1348</v>
      </c>
      <c r="C37" s="1787" t="s">
        <v>1050</v>
      </c>
      <c r="D37" s="1820">
        <v>0.20829999999999999</v>
      </c>
      <c r="E37" s="2645">
        <v>9</v>
      </c>
      <c r="F37" s="1802">
        <v>1.24</v>
      </c>
      <c r="G37" s="2645">
        <v>14</v>
      </c>
      <c r="H37" s="1802">
        <v>27.25</v>
      </c>
      <c r="I37" s="1795" t="s">
        <v>1101</v>
      </c>
      <c r="J37" s="2341">
        <v>5.45</v>
      </c>
      <c r="K37" s="1795" t="s">
        <v>1099</v>
      </c>
      <c r="L37" s="2341">
        <v>17.88</v>
      </c>
      <c r="M37" s="1794">
        <f>F37+H37+J37+L37</f>
        <v>51.819999999999993</v>
      </c>
      <c r="N37" s="1795">
        <v>1</v>
      </c>
      <c r="O37" s="1788">
        <f>ROUND((M37/D37)*N37,9)</f>
        <v>248.77580412899999</v>
      </c>
      <c r="P37" s="2350"/>
      <c r="Q37" s="2349"/>
      <c r="S37" s="2353" t="s">
        <v>1333</v>
      </c>
      <c r="T37" s="2353"/>
      <c r="U37" s="2353"/>
      <c r="V37" s="2353" t="s">
        <v>1238</v>
      </c>
      <c r="W37" s="2353"/>
      <c r="X37" s="1715"/>
      <c r="Y37" s="1715"/>
    </row>
    <row r="38" spans="1:25" ht="33.75" customHeight="1">
      <c r="A38" s="1798" t="s">
        <v>1079</v>
      </c>
      <c r="B38" s="1818" t="s">
        <v>1349</v>
      </c>
      <c r="C38" s="1787" t="s">
        <v>1050</v>
      </c>
      <c r="D38" s="1820">
        <v>0.20829999999999999</v>
      </c>
      <c r="E38" s="2645" t="s">
        <v>208</v>
      </c>
      <c r="F38" s="1802">
        <v>32.94</v>
      </c>
      <c r="G38" s="2645">
        <v>11</v>
      </c>
      <c r="H38" s="1802">
        <v>10.6</v>
      </c>
      <c r="I38" s="1816"/>
      <c r="J38" s="2341"/>
      <c r="K38" s="1816"/>
      <c r="L38" s="2341"/>
      <c r="M38" s="1794">
        <f>F38+H38</f>
        <v>43.54</v>
      </c>
      <c r="N38" s="1795">
        <v>1</v>
      </c>
      <c r="O38" s="1788">
        <f>ROUND((M38/D38)*N38,9)</f>
        <v>209.02544407100001</v>
      </c>
      <c r="P38" s="2350"/>
      <c r="Q38" s="2349"/>
      <c r="R38" s="2353" t="s">
        <v>1350</v>
      </c>
      <c r="S38" s="2353">
        <f>M24+M30+M36</f>
        <v>144</v>
      </c>
      <c r="T38" s="2353"/>
      <c r="U38" s="2353"/>
      <c r="V38" s="2988">
        <f>O37+O38+O43+O55+O54+O53</f>
        <v>995.86516699800006</v>
      </c>
      <c r="W38" s="2989">
        <f>V38*25000</f>
        <v>24896629.17495</v>
      </c>
      <c r="X38" s="1715"/>
      <c r="Y38" s="1715"/>
    </row>
    <row r="39" spans="1:25" ht="54.75" customHeight="1">
      <c r="A39" s="1798" t="s">
        <v>1081</v>
      </c>
      <c r="B39" s="2918" t="s">
        <v>1346</v>
      </c>
      <c r="C39" s="1787" t="s">
        <v>1050</v>
      </c>
      <c r="D39" s="1820">
        <v>0.20829999999999999</v>
      </c>
      <c r="E39" s="2645" t="s">
        <v>1102</v>
      </c>
      <c r="F39" s="1802">
        <f>(1467*15)/10000</f>
        <v>2.2004999999999999</v>
      </c>
      <c r="G39" s="2645" t="s">
        <v>1100</v>
      </c>
      <c r="H39" s="1802">
        <f>(544.9*15)/10000</f>
        <v>0.81735000000000002</v>
      </c>
      <c r="I39" s="1816"/>
      <c r="J39" s="2341"/>
      <c r="K39" s="1816"/>
      <c r="L39" s="2341"/>
      <c r="M39" s="1794">
        <f>F39+H39</f>
        <v>3.0178500000000001</v>
      </c>
      <c r="N39" s="1795">
        <v>1</v>
      </c>
      <c r="O39" s="1788">
        <f>ROUND((M39/D39)*N39,9)</f>
        <v>14.487998080000001</v>
      </c>
      <c r="P39" s="2919" t="s">
        <v>1347</v>
      </c>
      <c r="Q39" s="2349"/>
      <c r="R39" s="2353"/>
      <c r="S39" s="2353"/>
      <c r="T39" s="2353"/>
      <c r="U39" s="2353"/>
      <c r="V39" s="2353"/>
      <c r="W39" s="2353"/>
      <c r="X39" s="1715"/>
      <c r="Y39" s="1715"/>
    </row>
    <row r="40" spans="1:25" s="2374" customFormat="1" ht="33" customHeight="1">
      <c r="A40" s="1798"/>
      <c r="B40" s="1773" t="s">
        <v>322</v>
      </c>
      <c r="C40" s="1815"/>
      <c r="D40" s="2356"/>
      <c r="E40" s="1813"/>
      <c r="F40" s="2920"/>
      <c r="G40" s="1813"/>
      <c r="H40" s="2920"/>
      <c r="I40" s="1816"/>
      <c r="J40" s="2341"/>
      <c r="K40" s="1816"/>
      <c r="L40" s="2915"/>
      <c r="M40" s="1794"/>
      <c r="N40" s="1816"/>
      <c r="O40" s="1796">
        <f>O41</f>
        <v>458.32165146400001</v>
      </c>
      <c r="P40" s="2342"/>
      <c r="Q40" s="2343"/>
      <c r="R40" s="2921" t="s">
        <v>1351</v>
      </c>
      <c r="S40" s="2921">
        <f>M42</f>
        <v>60</v>
      </c>
      <c r="T40" s="2921"/>
      <c r="U40" s="2921"/>
      <c r="V40" s="2921"/>
      <c r="W40" s="2921"/>
      <c r="X40" s="2922"/>
      <c r="Y40" s="2922"/>
    </row>
    <row r="41" spans="1:25" ht="22.5" customHeight="1">
      <c r="A41" s="1789">
        <v>1</v>
      </c>
      <c r="B41" s="1790" t="s">
        <v>824</v>
      </c>
      <c r="C41" s="1787"/>
      <c r="D41" s="1820"/>
      <c r="E41" s="1813"/>
      <c r="F41" s="1802"/>
      <c r="G41" s="1813"/>
      <c r="H41" s="1802"/>
      <c r="I41" s="1816"/>
      <c r="J41" s="2341"/>
      <c r="K41" s="1816"/>
      <c r="L41" s="2341"/>
      <c r="M41" s="1794"/>
      <c r="N41" s="1795"/>
      <c r="O41" s="1796">
        <f>+SUM(O42:O45)</f>
        <v>458.32165146400001</v>
      </c>
      <c r="P41" s="2350"/>
      <c r="Q41" s="2349"/>
      <c r="R41" s="2353" t="s">
        <v>1352</v>
      </c>
      <c r="S41" s="2353">
        <f>M51</f>
        <v>64</v>
      </c>
      <c r="T41" s="2353"/>
      <c r="U41" s="2353"/>
      <c r="V41" s="2353"/>
      <c r="W41" s="2353"/>
      <c r="X41" s="1715"/>
      <c r="Y41" s="1715"/>
    </row>
    <row r="42" spans="1:25" ht="22.5" customHeight="1">
      <c r="A42" s="1798" t="s">
        <v>837</v>
      </c>
      <c r="B42" s="1781" t="s">
        <v>204</v>
      </c>
      <c r="C42" s="1787" t="s">
        <v>959</v>
      </c>
      <c r="D42" s="1820">
        <v>1.25</v>
      </c>
      <c r="E42" s="1813"/>
      <c r="F42" s="1802"/>
      <c r="G42" s="1813"/>
      <c r="H42" s="1802"/>
      <c r="I42" s="1816"/>
      <c r="J42" s="2341"/>
      <c r="K42" s="1816"/>
      <c r="L42" s="2341"/>
      <c r="M42" s="1794">
        <v>60</v>
      </c>
      <c r="N42" s="1795">
        <v>1</v>
      </c>
      <c r="O42" s="1788">
        <f t="shared" ref="O42" si="3">ROUND((M42/D42)*N42,9)</f>
        <v>48</v>
      </c>
      <c r="P42" s="2350"/>
      <c r="Q42" s="2349"/>
      <c r="R42" s="2353"/>
      <c r="S42" s="2353"/>
      <c r="T42" s="2353"/>
      <c r="U42" s="2353"/>
      <c r="V42" s="2353"/>
      <c r="W42" s="2353"/>
      <c r="X42" s="1715"/>
      <c r="Y42" s="1715"/>
    </row>
    <row r="43" spans="1:25" ht="22.5" customHeight="1">
      <c r="A43" s="4578" t="s">
        <v>838</v>
      </c>
      <c r="B43" s="4579" t="s">
        <v>1348</v>
      </c>
      <c r="C43" s="4580" t="s">
        <v>1050</v>
      </c>
      <c r="D43" s="4581">
        <v>0.20829999999999999</v>
      </c>
      <c r="E43" s="1810" t="s">
        <v>159</v>
      </c>
      <c r="F43" s="1802">
        <v>6.63</v>
      </c>
      <c r="G43" s="1810" t="s">
        <v>159</v>
      </c>
      <c r="H43" s="1802">
        <v>0.5</v>
      </c>
      <c r="I43" s="1810" t="s">
        <v>159</v>
      </c>
      <c r="J43" s="1802">
        <v>20.03</v>
      </c>
      <c r="K43" s="1810" t="s">
        <v>1085</v>
      </c>
      <c r="L43" s="1802">
        <v>11.11</v>
      </c>
      <c r="M43" s="4582">
        <f>F43+F44+F45+H43+H44+J43+J44+L43+L44+H45+J45</f>
        <v>85.47</v>
      </c>
      <c r="N43" s="4576">
        <v>1</v>
      </c>
      <c r="O43" s="4577">
        <f>ROUND((M43/D43)*N43,9)</f>
        <v>410.32165146400001</v>
      </c>
      <c r="P43" s="2350"/>
      <c r="Q43" s="2349"/>
      <c r="R43" s="2353"/>
      <c r="S43" s="2353"/>
      <c r="T43" s="2353"/>
      <c r="U43" s="2353"/>
      <c r="V43" s="2353"/>
      <c r="W43" s="2353"/>
      <c r="X43" s="1715"/>
      <c r="Y43" s="1715"/>
    </row>
    <row r="44" spans="1:25" ht="22.5" customHeight="1">
      <c r="A44" s="4578"/>
      <c r="B44" s="4579"/>
      <c r="C44" s="4580"/>
      <c r="D44" s="4581"/>
      <c r="E44" s="1810" t="s">
        <v>158</v>
      </c>
      <c r="F44" s="1807">
        <v>12.57</v>
      </c>
      <c r="G44" s="1810" t="s">
        <v>1086</v>
      </c>
      <c r="H44" s="1802">
        <v>3.95</v>
      </c>
      <c r="I44" s="1810">
        <v>7</v>
      </c>
      <c r="J44" s="1807">
        <v>0.95</v>
      </c>
      <c r="K44" s="1810" t="s">
        <v>206</v>
      </c>
      <c r="L44" s="1802">
        <v>8.86</v>
      </c>
      <c r="M44" s="4582"/>
      <c r="N44" s="4576"/>
      <c r="O44" s="4577"/>
      <c r="P44" s="2350"/>
      <c r="Q44" s="2349"/>
      <c r="R44" s="2589">
        <v>1.19</v>
      </c>
      <c r="S44" s="2353"/>
      <c r="T44" s="2353"/>
      <c r="U44" s="2353"/>
      <c r="V44" s="2353"/>
      <c r="W44" s="2353"/>
      <c r="X44" s="1715"/>
      <c r="Y44" s="1715"/>
    </row>
    <row r="45" spans="1:25" ht="22.5" customHeight="1">
      <c r="A45" s="4578"/>
      <c r="B45" s="4579"/>
      <c r="C45" s="4580"/>
      <c r="D45" s="4581"/>
      <c r="E45" s="1810" t="s">
        <v>1087</v>
      </c>
      <c r="F45" s="1802">
        <v>1.32</v>
      </c>
      <c r="G45" s="1810" t="s">
        <v>1076</v>
      </c>
      <c r="H45" s="1802">
        <v>15.52</v>
      </c>
      <c r="I45" s="1810">
        <v>6</v>
      </c>
      <c r="J45" s="1802">
        <v>4.03</v>
      </c>
      <c r="K45" s="1810"/>
      <c r="L45" s="1802"/>
      <c r="M45" s="4582"/>
      <c r="N45" s="4576"/>
      <c r="O45" s="4577"/>
      <c r="P45" s="2350"/>
      <c r="Q45" s="2349"/>
      <c r="R45" s="2589">
        <v>8.01</v>
      </c>
      <c r="S45" s="2353"/>
      <c r="T45" s="2353"/>
      <c r="U45" s="2353"/>
      <c r="V45" s="2353"/>
      <c r="W45" s="2353"/>
      <c r="X45" s="1715"/>
      <c r="Y45" s="1715"/>
    </row>
    <row r="46" spans="1:25" s="2374" customFormat="1" ht="22.5" customHeight="1">
      <c r="A46" s="1789"/>
      <c r="B46" s="1773" t="s">
        <v>371</v>
      </c>
      <c r="C46" s="1815"/>
      <c r="D46" s="2356"/>
      <c r="E46" s="1799"/>
      <c r="F46" s="2923"/>
      <c r="G46" s="1799"/>
      <c r="H46" s="2920"/>
      <c r="I46" s="1799"/>
      <c r="J46" s="2920"/>
      <c r="K46" s="1799"/>
      <c r="L46" s="2920"/>
      <c r="M46" s="1794"/>
      <c r="N46" s="1816"/>
      <c r="O46" s="1796">
        <f>O47</f>
        <v>343.34928571399996</v>
      </c>
      <c r="P46" s="2342"/>
      <c r="Q46" s="2343"/>
      <c r="R46" s="2924">
        <v>6.48</v>
      </c>
      <c r="S46" s="2921"/>
      <c r="T46" s="2921"/>
      <c r="U46" s="2921"/>
      <c r="V46" s="2921"/>
      <c r="W46" s="2921"/>
      <c r="X46" s="2922"/>
      <c r="Y46" s="2922"/>
    </row>
    <row r="47" spans="1:25" ht="22.5" customHeight="1">
      <c r="A47" s="1789">
        <v>1</v>
      </c>
      <c r="B47" s="1790" t="s">
        <v>824</v>
      </c>
      <c r="C47" s="1787"/>
      <c r="D47" s="1820"/>
      <c r="E47" s="1799"/>
      <c r="F47" s="1807"/>
      <c r="G47" s="1799"/>
      <c r="H47" s="1802"/>
      <c r="I47" s="1799"/>
      <c r="J47" s="1802"/>
      <c r="K47" s="1799"/>
      <c r="L47" s="1802"/>
      <c r="M47" s="1794"/>
      <c r="N47" s="1795"/>
      <c r="O47" s="1796">
        <f>O51+O48</f>
        <v>343.34928571399996</v>
      </c>
      <c r="P47" s="2350"/>
      <c r="Q47" s="2349"/>
      <c r="R47" s="2589">
        <v>13.34</v>
      </c>
      <c r="S47" s="2353"/>
      <c r="T47" s="2353"/>
      <c r="U47" s="2353"/>
      <c r="V47" s="2925">
        <f>542.5</f>
        <v>542.5</v>
      </c>
      <c r="W47" s="2353"/>
      <c r="X47" s="1715"/>
      <c r="Y47" s="1715"/>
    </row>
    <row r="48" spans="1:25" ht="24" customHeight="1">
      <c r="A48" s="4477" t="s">
        <v>837</v>
      </c>
      <c r="B48" s="4589" t="s">
        <v>1346</v>
      </c>
      <c r="C48" s="4481" t="s">
        <v>1050</v>
      </c>
      <c r="D48" s="4483">
        <v>0.21</v>
      </c>
      <c r="E48" s="1810" t="s">
        <v>1088</v>
      </c>
      <c r="F48" s="2926">
        <f>(542.5*15)/10000</f>
        <v>0.81374999999999997</v>
      </c>
      <c r="G48" s="1810" t="s">
        <v>1090</v>
      </c>
      <c r="H48" s="2926">
        <f>(2802*15)/10000</f>
        <v>4.2030000000000003</v>
      </c>
      <c r="I48" s="1810" t="s">
        <v>1092</v>
      </c>
      <c r="J48" s="2926">
        <f>((1636+932)*15)/10000</f>
        <v>3.8519999999999999</v>
      </c>
      <c r="K48" s="1810" t="s">
        <v>1089</v>
      </c>
      <c r="L48" s="2926">
        <f>((4246+400.3+437.7+387.3+410)*15)/10000</f>
        <v>8.8219499999999993</v>
      </c>
      <c r="M48" s="4592">
        <f>F48+H48+J48+L48+F49+H49+J49+F50+L49</f>
        <v>61.351349999999996</v>
      </c>
      <c r="N48" s="4487">
        <v>1</v>
      </c>
      <c r="O48" s="4583">
        <f>ROUND((M48/D48)*N48,9)</f>
        <v>292.14928571399997</v>
      </c>
      <c r="P48" s="4586" t="s">
        <v>1347</v>
      </c>
      <c r="Q48" s="2349"/>
      <c r="R48" s="2589">
        <v>1.21</v>
      </c>
      <c r="S48" s="2353"/>
      <c r="T48" s="2353"/>
      <c r="U48" s="2353"/>
      <c r="V48" s="2925">
        <f>2802</f>
        <v>2802</v>
      </c>
      <c r="W48" s="2353"/>
      <c r="X48" s="1715"/>
      <c r="Y48" s="1715"/>
    </row>
    <row r="49" spans="1:25" ht="24" customHeight="1">
      <c r="A49" s="4492"/>
      <c r="B49" s="4590"/>
      <c r="C49" s="4494"/>
      <c r="D49" s="4495"/>
      <c r="E49" s="1810" t="s">
        <v>1089</v>
      </c>
      <c r="F49" s="2926">
        <f>(456.4*15)/10000</f>
        <v>0.68459999999999999</v>
      </c>
      <c r="G49" s="1810" t="s">
        <v>1091</v>
      </c>
      <c r="H49" s="2926">
        <f>((2310+1477)*15)/10000</f>
        <v>5.6805000000000003</v>
      </c>
      <c r="I49" s="1810" t="s">
        <v>1093</v>
      </c>
      <c r="J49" s="2926">
        <f>((624.3+885.3+253.8+167.9+1352+898.5+1139)*15)/10000</f>
        <v>7.9812000000000003</v>
      </c>
      <c r="K49" s="1810" t="s">
        <v>1095</v>
      </c>
      <c r="L49" s="2926">
        <f>((1148+531.5+269.9+125.4+2132+202.9+687.5+1609+437.8+523.9+292.2+515.5+436.2+706.2+1404+379.6)*15)/10000</f>
        <v>17.102399999999999</v>
      </c>
      <c r="M49" s="4593"/>
      <c r="N49" s="4497"/>
      <c r="O49" s="4584"/>
      <c r="P49" s="4587"/>
      <c r="Q49" s="2349"/>
      <c r="R49" s="2589">
        <v>11.09</v>
      </c>
      <c r="S49" s="2353"/>
      <c r="T49" s="2353"/>
      <c r="U49" s="2353"/>
      <c r="V49" s="2925">
        <f>1636+932</f>
        <v>2568</v>
      </c>
      <c r="W49" s="2353"/>
      <c r="X49" s="1715"/>
      <c r="Y49" s="1715"/>
    </row>
    <row r="50" spans="1:25" ht="24" customHeight="1">
      <c r="A50" s="4478"/>
      <c r="B50" s="4591"/>
      <c r="C50" s="4482"/>
      <c r="D50" s="4484"/>
      <c r="E50" s="1810" t="s">
        <v>1094</v>
      </c>
      <c r="F50" s="2926">
        <f>((125+270+1550+856.5+358.5+426.1+803.2+243.2+760.7+542.3+187.8+2018)*15)/10000</f>
        <v>12.21195</v>
      </c>
      <c r="G50" s="1810"/>
      <c r="H50" s="1802"/>
      <c r="I50" s="1810"/>
      <c r="J50" s="1802"/>
      <c r="K50" s="1810"/>
      <c r="L50" s="1802"/>
      <c r="M50" s="4594"/>
      <c r="N50" s="4488"/>
      <c r="O50" s="4585"/>
      <c r="P50" s="4588"/>
      <c r="Q50" s="2349"/>
      <c r="R50" s="2589">
        <v>11.12</v>
      </c>
      <c r="S50" s="2353"/>
      <c r="T50" s="2353"/>
      <c r="U50" s="2353"/>
      <c r="V50" s="2925">
        <f>4246+400.3+437.7+387.3+410</f>
        <v>5881.3</v>
      </c>
      <c r="W50" s="2353"/>
      <c r="X50" s="1715"/>
      <c r="Y50" s="1715"/>
    </row>
    <row r="51" spans="1:25" ht="27.75" customHeight="1">
      <c r="A51" s="1798" t="s">
        <v>838</v>
      </c>
      <c r="B51" s="1781" t="s">
        <v>204</v>
      </c>
      <c r="C51" s="1787" t="s">
        <v>959</v>
      </c>
      <c r="D51" s="1820">
        <v>1.25</v>
      </c>
      <c r="E51" s="1799"/>
      <c r="F51" s="1807"/>
      <c r="G51" s="1799"/>
      <c r="H51" s="1802"/>
      <c r="I51" s="1799"/>
      <c r="J51" s="1802"/>
      <c r="K51" s="1799"/>
      <c r="L51" s="1802"/>
      <c r="M51" s="1794">
        <v>64</v>
      </c>
      <c r="N51" s="1795">
        <v>1</v>
      </c>
      <c r="O51" s="1788">
        <f>ROUND((M51/D51)*N51,9)</f>
        <v>51.2</v>
      </c>
      <c r="P51" s="2350"/>
      <c r="Q51" s="2349"/>
      <c r="R51" s="2589">
        <v>22.61</v>
      </c>
      <c r="S51" s="2353"/>
      <c r="T51" s="2353"/>
      <c r="U51" s="2353"/>
      <c r="V51" s="2925">
        <v>456.4</v>
      </c>
      <c r="W51" s="2353"/>
      <c r="X51" s="1715"/>
      <c r="Y51" s="1715"/>
    </row>
    <row r="52" spans="1:25" ht="21" customHeight="1">
      <c r="A52" s="1789" t="s">
        <v>92</v>
      </c>
      <c r="B52" s="1814" t="s">
        <v>930</v>
      </c>
      <c r="C52" s="1787"/>
      <c r="D52" s="1820"/>
      <c r="E52" s="1792"/>
      <c r="F52" s="1793"/>
      <c r="G52" s="1792"/>
      <c r="H52" s="1793"/>
      <c r="I52" s="1816"/>
      <c r="J52" s="1795"/>
      <c r="K52" s="1816"/>
      <c r="L52" s="2341"/>
      <c r="M52" s="1794"/>
      <c r="N52" s="1795"/>
      <c r="O52" s="1796">
        <f>SUM(O53:O56)</f>
        <v>2527.7422673340002</v>
      </c>
      <c r="P52" s="2342"/>
      <c r="Q52" s="2343"/>
      <c r="R52" s="2589">
        <v>0</v>
      </c>
      <c r="S52" s="2353"/>
      <c r="T52" s="2353"/>
      <c r="U52" s="2353"/>
      <c r="V52" s="2925">
        <f>2310+1477</f>
        <v>3787</v>
      </c>
      <c r="W52" s="2353"/>
      <c r="X52" s="1715"/>
      <c r="Y52" s="1715"/>
    </row>
    <row r="53" spans="1:25" ht="21.75" customHeight="1">
      <c r="A53" s="1798">
        <v>1</v>
      </c>
      <c r="B53" s="1818" t="s">
        <v>1353</v>
      </c>
      <c r="C53" s="1787" t="s">
        <v>1050</v>
      </c>
      <c r="D53" s="2633">
        <v>0.20829999999999999</v>
      </c>
      <c r="E53" s="2646">
        <v>8</v>
      </c>
      <c r="F53" s="1800">
        <v>4.6500000000000004</v>
      </c>
      <c r="G53" s="1811" t="s">
        <v>1057</v>
      </c>
      <c r="H53" s="1802">
        <v>6.51</v>
      </c>
      <c r="I53" s="1810" t="s">
        <v>159</v>
      </c>
      <c r="J53" s="1802">
        <v>1.67</v>
      </c>
      <c r="K53" s="1795" t="s">
        <v>1074</v>
      </c>
      <c r="L53" s="2341">
        <v>7.66</v>
      </c>
      <c r="M53" s="1794">
        <f>F53+H53+J53+L53</f>
        <v>20.490000000000002</v>
      </c>
      <c r="N53" s="1795">
        <v>1</v>
      </c>
      <c r="O53" s="1788">
        <f>ROUND((M53/D53)*N53,9)</f>
        <v>98.367738837999994</v>
      </c>
      <c r="P53" s="2342"/>
      <c r="Q53" s="2343"/>
      <c r="R53" s="1804">
        <v>21.02</v>
      </c>
      <c r="S53" s="1760"/>
      <c r="T53" s="1760"/>
      <c r="U53" s="1760"/>
      <c r="V53" s="2925">
        <f>624.3+885.3+253.8+167.9+1352+898.5+1139</f>
        <v>5320.8</v>
      </c>
      <c r="W53" s="1760"/>
    </row>
    <row r="54" spans="1:25" ht="21" customHeight="1">
      <c r="A54" s="1798">
        <v>2</v>
      </c>
      <c r="B54" s="1818" t="s">
        <v>1354</v>
      </c>
      <c r="C54" s="1787" t="s">
        <v>1050</v>
      </c>
      <c r="D54" s="2633">
        <v>0.20829999999999999</v>
      </c>
      <c r="E54" s="1811" t="s">
        <v>159</v>
      </c>
      <c r="F54" s="1802">
        <v>1.06</v>
      </c>
      <c r="G54" s="1801"/>
      <c r="H54" s="1802"/>
      <c r="I54" s="1799"/>
      <c r="J54" s="1802"/>
      <c r="K54" s="1816"/>
      <c r="L54" s="2341"/>
      <c r="M54" s="1794">
        <f>F54</f>
        <v>1.06</v>
      </c>
      <c r="N54" s="1795">
        <v>1</v>
      </c>
      <c r="O54" s="1788">
        <f>ROUND((M54/D54)*N54,9)</f>
        <v>5.0888142099999998</v>
      </c>
      <c r="P54" s="2342"/>
      <c r="Q54" s="2343"/>
      <c r="R54" s="2589">
        <v>0</v>
      </c>
      <c r="S54" s="2353"/>
      <c r="T54" s="2353"/>
      <c r="U54" s="2353"/>
      <c r="V54" s="2925">
        <f>1148+531.5+269.9+125.4+2132+202.9+687.5+1609+437.8+523.9+292.2+515.5+436.2+706.2+1404+379.6</f>
        <v>11401.6</v>
      </c>
      <c r="W54" s="1760"/>
    </row>
    <row r="55" spans="1:25" ht="52.5" customHeight="1">
      <c r="A55" s="1798">
        <v>3</v>
      </c>
      <c r="B55" s="2918" t="s">
        <v>1346</v>
      </c>
      <c r="C55" s="1787" t="s">
        <v>1050</v>
      </c>
      <c r="D55" s="2633">
        <v>0.21</v>
      </c>
      <c r="E55" s="1811" t="s">
        <v>160</v>
      </c>
      <c r="F55" s="1802">
        <f>(2200*15)/10000</f>
        <v>3.3</v>
      </c>
      <c r="G55" s="2927" t="s">
        <v>1228</v>
      </c>
      <c r="H55" s="1802">
        <f>(1200*15)/10000</f>
        <v>1.8</v>
      </c>
      <c r="I55" s="1799"/>
      <c r="J55" s="1802"/>
      <c r="K55" s="1816"/>
      <c r="L55" s="2341"/>
      <c r="M55" s="1794">
        <f>F55+H55</f>
        <v>5.0999999999999996</v>
      </c>
      <c r="N55" s="1795">
        <v>1</v>
      </c>
      <c r="O55" s="1788">
        <f>ROUND((M55/D55)*N55,9)</f>
        <v>24.285714286000001</v>
      </c>
      <c r="P55" s="2919" t="s">
        <v>1347</v>
      </c>
      <c r="Q55" s="2343"/>
      <c r="R55" s="2589"/>
      <c r="S55" s="2353"/>
      <c r="T55" s="2353"/>
      <c r="U55" s="2353"/>
      <c r="V55" s="2928"/>
      <c r="W55" s="1760"/>
    </row>
    <row r="56" spans="1:25" ht="56.25" customHeight="1">
      <c r="A56" s="1798">
        <v>4</v>
      </c>
      <c r="B56" s="2918" t="s">
        <v>1355</v>
      </c>
      <c r="C56" s="1787" t="s">
        <v>1356</v>
      </c>
      <c r="D56" s="2633">
        <f>1/0.48</f>
        <v>2.0833333333333335</v>
      </c>
      <c r="E56" s="1811" t="s">
        <v>160</v>
      </c>
      <c r="F56" s="2927">
        <v>3000</v>
      </c>
      <c r="G56" s="2927" t="s">
        <v>1228</v>
      </c>
      <c r="H56" s="2927">
        <v>2000</v>
      </c>
      <c r="I56" s="1799"/>
      <c r="J56" s="1802"/>
      <c r="K56" s="1816"/>
      <c r="L56" s="2341"/>
      <c r="M56" s="1795">
        <f>F56+H56</f>
        <v>5000</v>
      </c>
      <c r="N56" s="1795">
        <v>1</v>
      </c>
      <c r="O56" s="2929">
        <f>ROUND((M56/D56)*N56,9)</f>
        <v>2400</v>
      </c>
      <c r="P56" s="2919" t="s">
        <v>1347</v>
      </c>
      <c r="Q56" s="2343"/>
      <c r="R56" s="2589"/>
      <c r="S56" s="2353">
        <f>O56*25000</f>
        <v>60000000</v>
      </c>
      <c r="T56" s="2353"/>
      <c r="U56" s="2353"/>
      <c r="V56" s="2925">
        <f>125+270+1550+856.5+358.5+426.1+803.2+243.2+760.7+542.3+187.8+2018</f>
        <v>8141.3</v>
      </c>
      <c r="W56" s="1760"/>
    </row>
    <row r="57" spans="1:25" ht="21" customHeight="1">
      <c r="A57" s="1772" t="s">
        <v>53</v>
      </c>
      <c r="B57" s="1790" t="s">
        <v>825</v>
      </c>
      <c r="C57" s="1815"/>
      <c r="D57" s="2356"/>
      <c r="E57" s="1775"/>
      <c r="F57" s="1775"/>
      <c r="G57" s="1775"/>
      <c r="H57" s="1775"/>
      <c r="I57" s="1775"/>
      <c r="J57" s="1775"/>
      <c r="K57" s="1775"/>
      <c r="L57" s="1776"/>
      <c r="M57" s="1794"/>
      <c r="N57" s="1816"/>
      <c r="O57" s="1778">
        <f>O58</f>
        <v>416</v>
      </c>
      <c r="P57" s="1817"/>
      <c r="Q57" s="2335"/>
      <c r="R57" s="2353"/>
      <c r="S57" s="2353"/>
      <c r="T57" s="2353"/>
      <c r="U57" s="2353"/>
      <c r="V57" s="2928"/>
      <c r="W57" s="1760"/>
    </row>
    <row r="58" spans="1:25" ht="21" customHeight="1">
      <c r="A58" s="1798">
        <v>1</v>
      </c>
      <c r="B58" s="1818" t="s">
        <v>826</v>
      </c>
      <c r="C58" s="1787" t="s">
        <v>362</v>
      </c>
      <c r="D58" s="1820"/>
      <c r="E58" s="4472" t="s">
        <v>1229</v>
      </c>
      <c r="F58" s="4472"/>
      <c r="G58" s="4472"/>
      <c r="H58" s="4472"/>
      <c r="I58" s="4472"/>
      <c r="J58" s="4472"/>
      <c r="K58" s="4472"/>
      <c r="L58" s="1820"/>
      <c r="M58" s="1821"/>
      <c r="N58" s="1822"/>
      <c r="O58" s="1823">
        <f>4*2600000/25000</f>
        <v>416</v>
      </c>
      <c r="P58" s="1824"/>
      <c r="Q58" s="2357"/>
      <c r="R58" s="2353"/>
      <c r="S58" s="2353"/>
      <c r="T58" s="2353"/>
      <c r="U58" s="2353"/>
      <c r="V58" s="1760"/>
      <c r="W58" s="1760"/>
    </row>
    <row r="59" spans="1:25" s="2374" customFormat="1" ht="21" customHeight="1">
      <c r="A59" s="2930" t="s">
        <v>93</v>
      </c>
      <c r="B59" s="2931" t="s">
        <v>1103</v>
      </c>
      <c r="C59" s="2932"/>
      <c r="D59" s="2933"/>
      <c r="E59" s="2634"/>
      <c r="F59" s="2634"/>
      <c r="G59" s="2634"/>
      <c r="H59" s="2634"/>
      <c r="I59" s="2634"/>
      <c r="J59" s="2634"/>
      <c r="K59" s="2634"/>
      <c r="L59" s="2634"/>
      <c r="M59" s="2934"/>
      <c r="N59" s="2935"/>
      <c r="O59" s="2936">
        <f>O60</f>
        <v>20</v>
      </c>
      <c r="P59" s="2937"/>
      <c r="Q59" s="2335"/>
      <c r="R59" s="2921"/>
      <c r="S59" s="2921"/>
      <c r="T59" s="2921"/>
      <c r="U59" s="2921"/>
      <c r="V59" s="1797"/>
      <c r="W59" s="1797"/>
    </row>
    <row r="60" spans="1:25" ht="21" customHeight="1">
      <c r="A60" s="2840">
        <v>1</v>
      </c>
      <c r="B60" s="2938" t="s">
        <v>1357</v>
      </c>
      <c r="C60" s="2841" t="s">
        <v>362</v>
      </c>
      <c r="D60" s="2842"/>
      <c r="E60" s="2850"/>
      <c r="F60" s="2850"/>
      <c r="G60" s="2850"/>
      <c r="H60" s="2850"/>
      <c r="I60" s="2850"/>
      <c r="J60" s="2850"/>
      <c r="K60" s="2850"/>
      <c r="L60" s="2850"/>
      <c r="M60" s="2850"/>
      <c r="N60" s="2939"/>
      <c r="O60" s="2940">
        <v>20</v>
      </c>
      <c r="P60" s="2391"/>
      <c r="Q60" s="2357"/>
      <c r="R60" s="2353"/>
      <c r="S60" s="2353"/>
      <c r="T60" s="2353"/>
      <c r="U60" s="2353"/>
      <c r="V60" s="1760"/>
      <c r="W60" s="1760"/>
    </row>
    <row r="61" spans="1:25" ht="20.25" customHeight="1">
      <c r="A61" s="4473" t="s">
        <v>1230</v>
      </c>
      <c r="B61" s="4473"/>
      <c r="C61" s="4473"/>
      <c r="D61" s="2358"/>
      <c r="E61" s="1825"/>
      <c r="F61" s="1825"/>
      <c r="G61" s="1825"/>
      <c r="H61" s="1825"/>
      <c r="I61" s="1825"/>
      <c r="J61" s="1825"/>
      <c r="K61" s="1825"/>
      <c r="L61" s="1826"/>
      <c r="M61" s="1827"/>
      <c r="N61" s="1825"/>
      <c r="O61" s="1828">
        <f>O11+O57+O52+O59</f>
        <v>10220.402834854</v>
      </c>
      <c r="P61" s="1829"/>
      <c r="Q61" s="2336"/>
      <c r="R61" s="2353"/>
      <c r="S61" s="2353"/>
      <c r="T61" s="2353"/>
      <c r="U61" s="2353"/>
      <c r="V61" s="1760"/>
      <c r="W61" s="1760"/>
    </row>
    <row r="62" spans="1:25" ht="20.45" customHeight="1">
      <c r="A62" s="1830"/>
      <c r="B62" s="1831"/>
      <c r="C62" s="1832"/>
      <c r="D62" s="2359"/>
      <c r="E62" s="1834"/>
      <c r="F62" s="1835"/>
      <c r="G62" s="1834"/>
      <c r="H62" s="1835"/>
      <c r="I62" s="2849"/>
      <c r="J62" s="1833"/>
      <c r="K62" s="2849"/>
      <c r="L62" s="4562" t="s">
        <v>1338</v>
      </c>
      <c r="M62" s="4562"/>
      <c r="N62" s="4562"/>
      <c r="O62" s="4562"/>
      <c r="P62" s="4562"/>
      <c r="Q62" s="2360"/>
      <c r="R62" s="2353"/>
      <c r="S62" s="2353"/>
      <c r="T62" s="2353"/>
      <c r="U62" s="2353"/>
      <c r="V62" s="1760"/>
      <c r="W62" s="1760"/>
    </row>
    <row r="63" spans="1:25" ht="20.45" customHeight="1">
      <c r="A63" s="4475"/>
      <c r="B63" s="4475"/>
      <c r="C63" s="4475"/>
      <c r="D63" s="4475"/>
      <c r="E63" s="4475"/>
      <c r="F63" s="1836"/>
      <c r="G63" s="1836"/>
      <c r="H63" s="4476"/>
      <c r="I63" s="4476"/>
      <c r="J63" s="4476"/>
      <c r="K63" s="2848"/>
      <c r="L63" s="4475" t="s">
        <v>827</v>
      </c>
      <c r="M63" s="4475"/>
      <c r="N63" s="4475"/>
      <c r="O63" s="4475"/>
      <c r="P63" s="4475"/>
      <c r="Q63" s="2847"/>
      <c r="R63" s="1760"/>
      <c r="S63" s="1760"/>
      <c r="T63" s="1760"/>
      <c r="U63" s="1760"/>
      <c r="V63" s="1760"/>
      <c r="W63" s="1760"/>
    </row>
    <row r="64" spans="1:25" ht="20.45" customHeight="1">
      <c r="A64" s="1837"/>
      <c r="B64" s="1838"/>
      <c r="C64" s="1839"/>
      <c r="D64" s="2361"/>
      <c r="E64" s="1840"/>
      <c r="F64" s="1839"/>
      <c r="G64" s="1841"/>
      <c r="H64" s="1839"/>
      <c r="I64" s="2362"/>
      <c r="J64" s="2843"/>
      <c r="K64" s="2362"/>
      <c r="L64" s="2361"/>
      <c r="M64" s="1842"/>
      <c r="N64" s="1843"/>
      <c r="O64" s="4489"/>
      <c r="P64" s="4489"/>
      <c r="Q64" s="2843"/>
    </row>
    <row r="65" spans="1:17" ht="20.45" customHeight="1">
      <c r="A65" s="1837"/>
      <c r="B65" s="1838"/>
      <c r="C65" s="1838"/>
      <c r="D65" s="2363"/>
      <c r="E65" s="1844"/>
      <c r="F65" s="1845"/>
      <c r="G65" s="1754"/>
      <c r="H65" s="1845"/>
      <c r="I65" s="2331"/>
      <c r="J65" s="2364"/>
      <c r="K65" s="2365"/>
      <c r="L65" s="2366"/>
      <c r="M65" s="1846"/>
      <c r="N65" s="1845"/>
      <c r="P65" s="1837"/>
      <c r="Q65" s="1837"/>
    </row>
    <row r="66" spans="1:17" ht="20.45" customHeight="1">
      <c r="A66" s="1837"/>
      <c r="B66" s="1838"/>
      <c r="C66" s="1838"/>
      <c r="D66" s="2363"/>
      <c r="E66" s="1844"/>
      <c r="F66" s="1845"/>
      <c r="G66" s="1754"/>
      <c r="H66" s="1845"/>
      <c r="I66" s="2331"/>
      <c r="J66" s="2364"/>
      <c r="K66" s="2365"/>
      <c r="L66" s="2366"/>
      <c r="M66" s="1846"/>
      <c r="N66" s="1845"/>
      <c r="P66" s="1837"/>
      <c r="Q66" s="1837"/>
    </row>
    <row r="67" spans="1:17" ht="17.45" customHeight="1">
      <c r="Q67" s="2845"/>
    </row>
    <row r="68" spans="1:17" ht="27.75" customHeight="1">
      <c r="A68" s="4469" t="s">
        <v>828</v>
      </c>
      <c r="B68" s="4469"/>
      <c r="C68" s="4469"/>
      <c r="D68" s="4469"/>
      <c r="E68" s="4469"/>
      <c r="F68" s="4469"/>
      <c r="G68" s="4469"/>
      <c r="H68" s="4469"/>
      <c r="I68" s="4469"/>
      <c r="J68" s="4469"/>
      <c r="K68" s="4469"/>
      <c r="L68" s="4469"/>
      <c r="M68" s="4469"/>
      <c r="N68" s="4469"/>
      <c r="O68" s="4469"/>
      <c r="P68" s="4469"/>
      <c r="Q68" s="2846"/>
    </row>
    <row r="69" spans="1:17" ht="27.75" customHeight="1">
      <c r="A69" s="4464" t="s">
        <v>1232</v>
      </c>
      <c r="B69" s="4464"/>
      <c r="C69" s="4464"/>
      <c r="D69" s="4464"/>
      <c r="E69" s="4464"/>
      <c r="F69" s="4464"/>
      <c r="G69" s="4464"/>
      <c r="H69" s="4464"/>
      <c r="I69" s="4464"/>
      <c r="J69" s="4464"/>
      <c r="K69" s="4464"/>
      <c r="L69" s="4464"/>
      <c r="M69" s="4464"/>
      <c r="N69" s="4464"/>
      <c r="O69" s="4464"/>
      <c r="P69" s="4464"/>
    </row>
    <row r="70" spans="1:17" ht="27.75" customHeight="1"/>
    <row r="71" spans="1:17" ht="27.75" customHeight="1">
      <c r="N71" s="1851"/>
    </row>
    <row r="72" spans="1:17" ht="27.75" customHeight="1"/>
    <row r="73" spans="1:17" ht="27.75" customHeight="1"/>
    <row r="74" spans="1:17" ht="27.75" customHeight="1"/>
    <row r="75" spans="1:17" ht="27.75" customHeight="1"/>
    <row r="76" spans="1:17" ht="27.75" customHeight="1"/>
    <row r="77" spans="1:17" ht="27.75" customHeight="1"/>
    <row r="78" spans="1:17" ht="27.75" customHeight="1"/>
    <row r="79" spans="1:17" ht="27.75" customHeight="1"/>
    <row r="80" spans="1:17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27.75" customHeight="1"/>
    <row r="92" ht="27.75" customHeight="1"/>
    <row r="93" ht="27.75" customHeight="1"/>
    <row r="94" ht="27.75" customHeight="1"/>
    <row r="95" ht="27.75" customHeight="1"/>
    <row r="96" ht="27.75" customHeight="1"/>
    <row r="97" ht="27.75" customHeight="1"/>
    <row r="98" ht="27.75" customHeight="1"/>
    <row r="99" ht="27.75" customHeight="1"/>
    <row r="100" ht="27.75" customHeight="1"/>
    <row r="101" ht="27.75" customHeight="1"/>
    <row r="106" ht="10.5" customHeight="1"/>
    <row r="107" ht="10.5" customHeight="1"/>
    <row r="108" ht="10.5" customHeight="1"/>
    <row r="109" ht="10.5" customHeight="1"/>
    <row r="110" ht="10.5" customHeight="1"/>
    <row r="111" ht="6" customHeight="1"/>
  </sheetData>
  <mergeCells count="55">
    <mergeCell ref="O64:P64"/>
    <mergeCell ref="A68:P68"/>
    <mergeCell ref="A69:P69"/>
    <mergeCell ref="O48:O50"/>
    <mergeCell ref="P48:P50"/>
    <mergeCell ref="E58:K58"/>
    <mergeCell ref="A61:C61"/>
    <mergeCell ref="L62:P62"/>
    <mergeCell ref="A63:E63"/>
    <mergeCell ref="H63:J63"/>
    <mergeCell ref="L63:P63"/>
    <mergeCell ref="A48:A50"/>
    <mergeCell ref="B48:B50"/>
    <mergeCell ref="C48:C50"/>
    <mergeCell ref="D48:D50"/>
    <mergeCell ref="M48:M50"/>
    <mergeCell ref="A31:A33"/>
    <mergeCell ref="B31:B33"/>
    <mergeCell ref="C31:C33"/>
    <mergeCell ref="D31:D33"/>
    <mergeCell ref="M31:M33"/>
    <mergeCell ref="A43:A45"/>
    <mergeCell ref="B43:B45"/>
    <mergeCell ref="C43:C45"/>
    <mergeCell ref="D43:D45"/>
    <mergeCell ref="M43:M45"/>
    <mergeCell ref="E18:L18"/>
    <mergeCell ref="E19:L19"/>
    <mergeCell ref="E20:L20"/>
    <mergeCell ref="N48:N50"/>
    <mergeCell ref="O31:O33"/>
    <mergeCell ref="N43:N45"/>
    <mergeCell ref="O43:O45"/>
    <mergeCell ref="N31:N33"/>
    <mergeCell ref="N9:N10"/>
    <mergeCell ref="O9:O10"/>
    <mergeCell ref="P9:P10"/>
    <mergeCell ref="E16:L16"/>
    <mergeCell ref="E17:L17"/>
    <mergeCell ref="T23:V23"/>
    <mergeCell ref="W23:Y23"/>
    <mergeCell ref="A5:F5"/>
    <mergeCell ref="G5:P5"/>
    <mergeCell ref="A1:P1"/>
    <mergeCell ref="A2:P2"/>
    <mergeCell ref="A3:P3"/>
    <mergeCell ref="A4:F4"/>
    <mergeCell ref="G4:P4"/>
    <mergeCell ref="A7:P7"/>
    <mergeCell ref="A8:P8"/>
    <mergeCell ref="A9:A10"/>
    <mergeCell ref="B9:B10"/>
    <mergeCell ref="C9:C10"/>
    <mergeCell ref="D9:D10"/>
    <mergeCell ref="E9:M9"/>
  </mergeCells>
  <pageMargins left="0.7" right="0.7" top="0.75" bottom="0.75" header="0.3" footer="0.3"/>
  <pageSetup paperSize="9" orientation="landscape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9"/>
  <sheetViews>
    <sheetView topLeftCell="A23" workbookViewId="0">
      <selection activeCell="O26" sqref="O26"/>
    </sheetView>
  </sheetViews>
  <sheetFormatPr defaultRowHeight="15.75"/>
  <cols>
    <col min="1" max="1" width="4.125" style="1852" customWidth="1"/>
    <col min="2" max="2" width="30.875" style="1853" customWidth="1"/>
    <col min="3" max="3" width="5.75" style="1854" customWidth="1"/>
    <col min="4" max="4" width="6" style="2369" customWidth="1"/>
    <col min="5" max="5" width="4" style="1856" customWidth="1"/>
    <col min="6" max="6" width="7.625" style="1857" customWidth="1"/>
    <col min="7" max="7" width="4.5" style="1858" customWidth="1"/>
    <col min="8" max="8" width="8.25" style="1857" customWidth="1"/>
    <col min="9" max="9" width="4.75" style="2370" customWidth="1"/>
    <col min="10" max="10" width="5.625" style="2371" customWidth="1"/>
    <col min="11" max="11" width="4.75" style="2372" customWidth="1"/>
    <col min="12" max="12" width="6.625" style="2373" customWidth="1"/>
    <col min="13" max="13" width="8.125" style="1859" customWidth="1"/>
    <col min="14" max="14" width="4" style="1857" customWidth="1"/>
    <col min="15" max="15" width="8.75" style="1847" customWidth="1"/>
    <col min="16" max="16" width="14.625" style="1860" customWidth="1"/>
    <col min="17" max="17" width="6.375" style="1860" customWidth="1"/>
    <col min="18" max="18" width="9.75" customWidth="1"/>
    <col min="19" max="19" width="9.25" bestFit="1" customWidth="1"/>
    <col min="20" max="20" width="9.625" customWidth="1"/>
  </cols>
  <sheetData>
    <row r="1" spans="1:22" ht="16.5">
      <c r="A1" s="4081" t="s">
        <v>165</v>
      </c>
      <c r="B1" s="4081"/>
      <c r="C1" s="4081"/>
      <c r="D1" s="4081"/>
      <c r="E1" s="4081"/>
      <c r="F1" s="4081"/>
      <c r="G1" s="4081"/>
      <c r="H1" s="4081"/>
      <c r="I1" s="4081"/>
      <c r="J1" s="4081"/>
      <c r="K1" s="4081"/>
      <c r="L1" s="4081"/>
      <c r="M1" s="4081"/>
      <c r="N1" s="4081"/>
      <c r="O1" s="4081"/>
      <c r="P1" s="4081"/>
    </row>
    <row r="2" spans="1:22" ht="16.5">
      <c r="A2" s="4081" t="s">
        <v>171</v>
      </c>
      <c r="B2" s="4081"/>
      <c r="C2" s="4081"/>
      <c r="D2" s="4081"/>
      <c r="E2" s="4081"/>
      <c r="F2" s="4081"/>
      <c r="G2" s="4081"/>
      <c r="H2" s="4081"/>
      <c r="I2" s="4081"/>
      <c r="J2" s="4081"/>
      <c r="K2" s="4081"/>
      <c r="L2" s="4081"/>
      <c r="M2" s="4081"/>
      <c r="N2" s="4081"/>
      <c r="O2" s="4081"/>
      <c r="P2" s="4081"/>
    </row>
    <row r="3" spans="1:22" ht="16.5">
      <c r="A3" s="4087" t="s">
        <v>726</v>
      </c>
      <c r="B3" s="4087"/>
      <c r="C3" s="4087"/>
      <c r="D3" s="4087"/>
      <c r="E3" s="4087"/>
      <c r="F3" s="4087"/>
      <c r="G3" s="4087"/>
      <c r="H3" s="4087"/>
      <c r="I3" s="4087"/>
      <c r="J3" s="4087"/>
      <c r="K3" s="4087"/>
      <c r="L3" s="4087"/>
      <c r="M3" s="4087"/>
      <c r="N3" s="4087"/>
      <c r="O3" s="4087"/>
      <c r="P3" s="4087"/>
    </row>
    <row r="4" spans="1:22">
      <c r="A4" s="4548" t="s">
        <v>809</v>
      </c>
      <c r="B4" s="4548"/>
      <c r="C4" s="4548"/>
      <c r="D4" s="4548"/>
      <c r="E4" s="4548"/>
      <c r="F4" s="4548"/>
      <c r="G4" s="4512"/>
      <c r="H4" s="4512"/>
      <c r="I4" s="4512"/>
      <c r="J4" s="4512"/>
      <c r="K4" s="4512"/>
      <c r="L4" s="4512"/>
      <c r="M4" s="4512"/>
      <c r="N4" s="4512"/>
      <c r="O4" s="4512"/>
      <c r="P4" s="4512"/>
      <c r="Q4" s="3553"/>
    </row>
    <row r="5" spans="1:22">
      <c r="A5" s="4512" t="s">
        <v>541</v>
      </c>
      <c r="B5" s="4512"/>
      <c r="C5" s="4512"/>
      <c r="D5" s="4512"/>
      <c r="E5" s="4512"/>
      <c r="F5" s="4512"/>
      <c r="G5" s="4512"/>
      <c r="H5" s="4512"/>
      <c r="I5" s="4512"/>
      <c r="J5" s="4512"/>
      <c r="K5" s="4512"/>
      <c r="L5" s="4512"/>
      <c r="M5" s="4512"/>
      <c r="N5" s="4512"/>
      <c r="O5" s="4512"/>
      <c r="P5" s="4512"/>
      <c r="Q5" s="3553"/>
    </row>
    <row r="6" spans="1:22" ht="18.75" customHeight="1">
      <c r="A6" s="1755"/>
      <c r="B6" s="1755"/>
      <c r="C6" s="1755"/>
      <c r="D6" s="1757"/>
      <c r="E6" s="1752"/>
      <c r="F6" s="1753"/>
      <c r="G6" s="1754"/>
      <c r="H6" s="1753"/>
      <c r="I6" s="2331"/>
      <c r="J6" s="2332"/>
      <c r="K6" s="1756"/>
      <c r="L6" s="1757"/>
      <c r="M6" s="1758"/>
      <c r="N6" s="1755"/>
      <c r="O6" s="1759"/>
      <c r="P6" s="1755"/>
      <c r="Q6" s="1755"/>
    </row>
    <row r="7" spans="1:22" ht="18.75">
      <c r="A7" s="4504" t="s">
        <v>1791</v>
      </c>
      <c r="B7" s="4504"/>
      <c r="C7" s="4504"/>
      <c r="D7" s="4504"/>
      <c r="E7" s="4504"/>
      <c r="F7" s="4504"/>
      <c r="G7" s="4504"/>
      <c r="H7" s="4504"/>
      <c r="I7" s="4504"/>
      <c r="J7" s="4504"/>
      <c r="K7" s="4504"/>
      <c r="L7" s="4504"/>
      <c r="M7" s="4504"/>
      <c r="N7" s="4504"/>
      <c r="O7" s="4504"/>
      <c r="P7" s="4504"/>
      <c r="Q7" s="3554"/>
      <c r="R7" s="1760"/>
      <c r="S7" s="1760"/>
      <c r="T7" s="1760"/>
      <c r="U7" s="1760"/>
    </row>
    <row r="8" spans="1:22" ht="15">
      <c r="A8" s="4505" t="s">
        <v>1792</v>
      </c>
      <c r="B8" s="4505"/>
      <c r="C8" s="4505"/>
      <c r="D8" s="4505"/>
      <c r="E8" s="4505"/>
      <c r="F8" s="4505"/>
      <c r="G8" s="4505"/>
      <c r="H8" s="4505"/>
      <c r="I8" s="4505"/>
      <c r="J8" s="4505"/>
      <c r="K8" s="4505"/>
      <c r="L8" s="4505"/>
      <c r="M8" s="4505"/>
      <c r="N8" s="4505"/>
      <c r="O8" s="4505"/>
      <c r="P8" s="4505"/>
      <c r="Q8" s="3564"/>
      <c r="R8" s="1760"/>
      <c r="S8" s="1760"/>
      <c r="T8" s="1760"/>
      <c r="U8" s="1760"/>
    </row>
    <row r="9" spans="1:22" ht="32.25" customHeight="1">
      <c r="A9" s="4564" t="s">
        <v>19</v>
      </c>
      <c r="B9" s="4564" t="s">
        <v>1217</v>
      </c>
      <c r="C9" s="4564" t="s">
        <v>623</v>
      </c>
      <c r="D9" s="4601" t="s">
        <v>361</v>
      </c>
      <c r="E9" s="4564" t="s">
        <v>811</v>
      </c>
      <c r="F9" s="4564"/>
      <c r="G9" s="4564"/>
      <c r="H9" s="4564"/>
      <c r="I9" s="4564"/>
      <c r="J9" s="4564"/>
      <c r="K9" s="4564"/>
      <c r="L9" s="4564"/>
      <c r="M9" s="4564"/>
      <c r="N9" s="4564" t="s">
        <v>812</v>
      </c>
      <c r="O9" s="4603" t="s">
        <v>47</v>
      </c>
      <c r="P9" s="4574" t="s">
        <v>813</v>
      </c>
      <c r="Q9" s="2333"/>
      <c r="R9" s="1760"/>
      <c r="S9" s="1760"/>
      <c r="T9" s="1760"/>
      <c r="U9" s="1760"/>
    </row>
    <row r="10" spans="1:22" ht="33" customHeight="1">
      <c r="A10" s="4565"/>
      <c r="B10" s="4565"/>
      <c r="C10" s="4565"/>
      <c r="D10" s="4602"/>
      <c r="E10" s="1779" t="s">
        <v>814</v>
      </c>
      <c r="F10" s="1779" t="s">
        <v>815</v>
      </c>
      <c r="G10" s="1779" t="s">
        <v>814</v>
      </c>
      <c r="H10" s="1779" t="s">
        <v>815</v>
      </c>
      <c r="I10" s="1779" t="s">
        <v>814</v>
      </c>
      <c r="J10" s="1779" t="s">
        <v>815</v>
      </c>
      <c r="K10" s="1779" t="s">
        <v>814</v>
      </c>
      <c r="L10" s="3475" t="s">
        <v>815</v>
      </c>
      <c r="M10" s="3476" t="s">
        <v>21</v>
      </c>
      <c r="N10" s="4565"/>
      <c r="O10" s="4604"/>
      <c r="P10" s="4575"/>
      <c r="Q10" s="2333"/>
      <c r="R10" s="1760"/>
      <c r="S10" s="1760"/>
      <c r="T10" s="1760"/>
      <c r="U10" s="1760"/>
    </row>
    <row r="11" spans="1:22" ht="28.5" customHeight="1">
      <c r="A11" s="3570" t="s">
        <v>52</v>
      </c>
      <c r="B11" s="1790" t="s">
        <v>816</v>
      </c>
      <c r="C11" s="3477"/>
      <c r="D11" s="3478"/>
      <c r="E11" s="3479"/>
      <c r="F11" s="3479"/>
      <c r="G11" s="3479"/>
      <c r="H11" s="3479"/>
      <c r="I11" s="3479"/>
      <c r="J11" s="3479"/>
      <c r="K11" s="3479"/>
      <c r="L11" s="3480"/>
      <c r="M11" s="3481"/>
      <c r="N11" s="3479"/>
      <c r="O11" s="3482"/>
      <c r="P11" s="1817"/>
      <c r="Q11" s="2335"/>
      <c r="R11" s="1760"/>
      <c r="S11" s="1760"/>
      <c r="T11" s="2353"/>
      <c r="U11" s="3483"/>
    </row>
    <row r="12" spans="1:22" ht="25.5" customHeight="1">
      <c r="A12" s="3570" t="s">
        <v>147</v>
      </c>
      <c r="B12" s="1773" t="s">
        <v>817</v>
      </c>
      <c r="C12" s="1773"/>
      <c r="D12" s="3573"/>
      <c r="E12" s="3570"/>
      <c r="F12" s="3570"/>
      <c r="G12" s="3570"/>
      <c r="H12" s="3570"/>
      <c r="I12" s="3570"/>
      <c r="J12" s="3570"/>
      <c r="K12" s="3570"/>
      <c r="L12" s="3573"/>
      <c r="M12" s="3575"/>
      <c r="N12" s="3570"/>
      <c r="O12" s="3482"/>
      <c r="P12" s="1779"/>
      <c r="Q12" s="2336"/>
      <c r="R12" s="1760"/>
      <c r="S12" s="1760"/>
      <c r="T12" s="1760"/>
      <c r="U12" s="1760"/>
      <c r="V12" s="3484"/>
    </row>
    <row r="13" spans="1:22" ht="33" customHeight="1">
      <c r="A13" s="3571">
        <v>1</v>
      </c>
      <c r="B13" s="3568" t="s">
        <v>49</v>
      </c>
      <c r="C13" s="3571" t="s">
        <v>818</v>
      </c>
      <c r="D13" s="3485"/>
      <c r="E13" s="3570"/>
      <c r="F13" s="3571"/>
      <c r="G13" s="3570"/>
      <c r="H13" s="3570"/>
      <c r="I13" s="3570"/>
      <c r="J13" s="3570"/>
      <c r="K13" s="3570"/>
      <c r="L13" s="3573"/>
      <c r="M13" s="3575"/>
      <c r="N13" s="3571"/>
      <c r="O13" s="3482"/>
      <c r="P13" s="1783"/>
      <c r="Q13" s="2338"/>
      <c r="R13" s="1760"/>
      <c r="S13" s="1760"/>
      <c r="T13" s="1760"/>
      <c r="U13" s="1760"/>
      <c r="V13" s="3484"/>
    </row>
    <row r="14" spans="1:22" ht="30" customHeight="1">
      <c r="A14" s="3571">
        <v>2</v>
      </c>
      <c r="B14" s="3568" t="s">
        <v>819</v>
      </c>
      <c r="C14" s="3571" t="s">
        <v>818</v>
      </c>
      <c r="D14" s="3485"/>
      <c r="E14" s="3570"/>
      <c r="F14" s="3571"/>
      <c r="G14" s="3570"/>
      <c r="H14" s="3570"/>
      <c r="I14" s="3570"/>
      <c r="J14" s="3570"/>
      <c r="K14" s="3570"/>
      <c r="L14" s="3573"/>
      <c r="M14" s="3486"/>
      <c r="N14" s="3571"/>
      <c r="O14" s="3482"/>
      <c r="P14" s="1785"/>
      <c r="Q14" s="2340"/>
      <c r="R14" s="1760"/>
      <c r="S14" s="1760"/>
      <c r="T14" s="1760"/>
      <c r="U14" s="1760"/>
      <c r="V14" s="3484"/>
    </row>
    <row r="15" spans="1:22" ht="32.25" customHeight="1">
      <c r="A15" s="3570" t="s">
        <v>148</v>
      </c>
      <c r="B15" s="1773" t="s">
        <v>820</v>
      </c>
      <c r="C15" s="3570"/>
      <c r="D15" s="3573"/>
      <c r="E15" s="3570"/>
      <c r="F15" s="3570"/>
      <c r="G15" s="3570"/>
      <c r="H15" s="3570"/>
      <c r="I15" s="3570"/>
      <c r="J15" s="3570"/>
      <c r="K15" s="3570"/>
      <c r="L15" s="3573"/>
      <c r="M15" s="3487"/>
      <c r="N15" s="3570"/>
      <c r="O15" s="3482"/>
      <c r="P15" s="1779"/>
      <c r="Q15" s="2336"/>
      <c r="R15" s="1760"/>
      <c r="S15" s="1760"/>
      <c r="T15" s="1760"/>
      <c r="U15" s="1760"/>
    </row>
    <row r="16" spans="1:22" ht="32.25" customHeight="1">
      <c r="A16" s="3571">
        <v>1</v>
      </c>
      <c r="B16" s="3568" t="s">
        <v>821</v>
      </c>
      <c r="C16" s="3488" t="s">
        <v>362</v>
      </c>
      <c r="D16" s="3485"/>
      <c r="E16" s="4605"/>
      <c r="F16" s="4605"/>
      <c r="G16" s="4605"/>
      <c r="H16" s="4605"/>
      <c r="I16" s="4605"/>
      <c r="J16" s="4605"/>
      <c r="K16" s="4605"/>
      <c r="L16" s="4605"/>
      <c r="M16" s="3575"/>
      <c r="N16" s="3571"/>
      <c r="O16" s="3489"/>
      <c r="P16" s="1785"/>
      <c r="Q16" s="2340"/>
      <c r="R16" s="1760"/>
      <c r="S16" s="1760"/>
      <c r="T16" s="1760"/>
      <c r="U16" s="1760"/>
    </row>
    <row r="17" spans="1:22" ht="31.5" customHeight="1">
      <c r="A17" s="3571">
        <v>2</v>
      </c>
      <c r="B17" s="3568" t="s">
        <v>1306</v>
      </c>
      <c r="C17" s="3571" t="s">
        <v>362</v>
      </c>
      <c r="D17" s="3485"/>
      <c r="E17" s="4605"/>
      <c r="F17" s="4605"/>
      <c r="G17" s="4605"/>
      <c r="H17" s="4605"/>
      <c r="I17" s="4605"/>
      <c r="J17" s="4605"/>
      <c r="K17" s="4605"/>
      <c r="L17" s="4605"/>
      <c r="M17" s="3575"/>
      <c r="N17" s="3571"/>
      <c r="O17" s="3489"/>
      <c r="P17" s="1785"/>
      <c r="Q17" s="2340"/>
      <c r="R17" s="1760"/>
      <c r="S17" s="1760"/>
      <c r="T17" s="1760"/>
      <c r="U17" s="1760"/>
    </row>
    <row r="18" spans="1:22" ht="37.5" customHeight="1">
      <c r="A18" s="3571">
        <v>3</v>
      </c>
      <c r="B18" s="3568" t="s">
        <v>1041</v>
      </c>
      <c r="C18" s="3488" t="s">
        <v>362</v>
      </c>
      <c r="D18" s="3485"/>
      <c r="E18" s="4605"/>
      <c r="F18" s="4605"/>
      <c r="G18" s="4605"/>
      <c r="H18" s="4605"/>
      <c r="I18" s="4605"/>
      <c r="J18" s="4605"/>
      <c r="K18" s="4605"/>
      <c r="L18" s="4605"/>
      <c r="M18" s="3575"/>
      <c r="N18" s="3571"/>
      <c r="O18" s="3489"/>
      <c r="P18" s="1785"/>
      <c r="Q18" s="2340"/>
      <c r="R18" s="1760"/>
      <c r="S18" s="1760"/>
      <c r="T18" s="1760"/>
      <c r="U18" s="1760"/>
    </row>
    <row r="19" spans="1:22" ht="34.5" customHeight="1">
      <c r="A19" s="3571">
        <v>4</v>
      </c>
      <c r="B19" s="3568" t="s">
        <v>1308</v>
      </c>
      <c r="C19" s="3571" t="s">
        <v>362</v>
      </c>
      <c r="D19" s="3485"/>
      <c r="E19" s="4605"/>
      <c r="F19" s="4605"/>
      <c r="G19" s="4605"/>
      <c r="H19" s="4605"/>
      <c r="I19" s="4605"/>
      <c r="J19" s="4605"/>
      <c r="K19" s="4605"/>
      <c r="L19" s="4605"/>
      <c r="M19" s="3575"/>
      <c r="N19" s="3571"/>
      <c r="O19" s="3489"/>
      <c r="P19" s="1785"/>
      <c r="Q19" s="2340"/>
      <c r="R19" s="1760"/>
      <c r="S19" s="1760"/>
      <c r="T19" s="1760"/>
      <c r="U19" s="1760"/>
    </row>
    <row r="20" spans="1:22" s="3473" customFormat="1" ht="35.25" customHeight="1">
      <c r="A20" s="3571">
        <v>5</v>
      </c>
      <c r="B20" s="3568" t="s">
        <v>1297</v>
      </c>
      <c r="C20" s="3571" t="s">
        <v>362</v>
      </c>
      <c r="D20" s="3485"/>
      <c r="E20" s="4605"/>
      <c r="F20" s="4605"/>
      <c r="G20" s="4605"/>
      <c r="H20" s="4605"/>
      <c r="I20" s="4605"/>
      <c r="J20" s="4605"/>
      <c r="K20" s="4605"/>
      <c r="L20" s="4605"/>
      <c r="M20" s="3575"/>
      <c r="N20" s="3571"/>
      <c r="O20" s="3489"/>
      <c r="P20" s="1785"/>
      <c r="Q20" s="3507"/>
      <c r="R20" s="3472"/>
      <c r="S20" s="3472"/>
      <c r="T20" s="3472"/>
      <c r="U20" s="3472"/>
    </row>
    <row r="21" spans="1:22" s="3471" customFormat="1" ht="30" customHeight="1">
      <c r="A21" s="3572">
        <v>6</v>
      </c>
      <c r="B21" s="3285" t="s">
        <v>1365</v>
      </c>
      <c r="C21" s="3572" t="s">
        <v>362</v>
      </c>
      <c r="D21" s="3490"/>
      <c r="E21" s="4598"/>
      <c r="F21" s="4599"/>
      <c r="G21" s="4599"/>
      <c r="H21" s="4599"/>
      <c r="I21" s="4599"/>
      <c r="J21" s="4599"/>
      <c r="K21" s="4599"/>
      <c r="L21" s="4600"/>
      <c r="M21" s="3491"/>
      <c r="N21" s="3572"/>
      <c r="O21" s="3492"/>
      <c r="P21" s="3286"/>
      <c r="Q21" s="3469"/>
      <c r="R21" s="3470"/>
      <c r="S21" s="3470"/>
      <c r="T21" s="3470"/>
      <c r="U21" s="3470"/>
    </row>
    <row r="22" spans="1:22" s="3473" customFormat="1" ht="24" customHeight="1">
      <c r="A22" s="3474" t="s">
        <v>149</v>
      </c>
      <c r="B22" s="3501" t="s">
        <v>1741</v>
      </c>
      <c r="C22" s="3502"/>
      <c r="D22" s="3503"/>
      <c r="E22" s="3502"/>
      <c r="F22" s="3502"/>
      <c r="G22" s="3502"/>
      <c r="H22" s="3502"/>
      <c r="I22" s="3502"/>
      <c r="J22" s="3502"/>
      <c r="K22" s="3502"/>
      <c r="L22" s="3502"/>
      <c r="M22" s="3504"/>
      <c r="N22" s="3502"/>
      <c r="O22" s="3516">
        <v>0</v>
      </c>
      <c r="P22" s="3505"/>
      <c r="Q22" s="3507"/>
      <c r="R22" s="3472"/>
      <c r="S22" s="3472"/>
      <c r="T22" s="3472"/>
      <c r="U22" s="3472"/>
    </row>
    <row r="23" spans="1:22" ht="21.75" customHeight="1">
      <c r="A23" s="3287" t="s">
        <v>92</v>
      </c>
      <c r="B23" s="3290" t="s">
        <v>930</v>
      </c>
      <c r="C23" s="3508"/>
      <c r="D23" s="3509"/>
      <c r="E23" s="3510"/>
      <c r="F23" s="3511"/>
      <c r="G23" s="3510"/>
      <c r="H23" s="3511"/>
      <c r="I23" s="3512"/>
      <c r="J23" s="3513"/>
      <c r="K23" s="3512"/>
      <c r="L23" s="3514"/>
      <c r="M23" s="3515"/>
      <c r="N23" s="3513"/>
      <c r="O23" s="3516">
        <v>0</v>
      </c>
      <c r="P23" s="3288"/>
      <c r="Q23" s="2343"/>
      <c r="R23" s="2589"/>
      <c r="S23" s="2353"/>
      <c r="T23" s="2353"/>
      <c r="U23" s="3282"/>
      <c r="V23" s="3282"/>
    </row>
    <row r="24" spans="1:22" ht="27" customHeight="1">
      <c r="A24" s="3570" t="s">
        <v>53</v>
      </c>
      <c r="B24" s="1790" t="s">
        <v>825</v>
      </c>
      <c r="C24" s="3477"/>
      <c r="D24" s="3478"/>
      <c r="E24" s="3570"/>
      <c r="F24" s="3570"/>
      <c r="G24" s="3570"/>
      <c r="H24" s="3570"/>
      <c r="I24" s="3570"/>
      <c r="J24" s="3570"/>
      <c r="K24" s="3517"/>
      <c r="L24" s="3573"/>
      <c r="M24" s="3481"/>
      <c r="N24" s="3479"/>
      <c r="O24" s="3482">
        <f>SUM(O25:O26)</f>
        <v>1237.9354838709678</v>
      </c>
      <c r="P24" s="1817"/>
      <c r="Q24" s="2335"/>
      <c r="R24" s="2353"/>
      <c r="S24" s="2353"/>
      <c r="T24" s="1760"/>
    </row>
    <row r="25" spans="1:22" ht="23.25" customHeight="1">
      <c r="A25" s="3567">
        <v>1</v>
      </c>
      <c r="B25" s="1818" t="s">
        <v>826</v>
      </c>
      <c r="C25" s="3488" t="s">
        <v>362</v>
      </c>
      <c r="D25" s="3518"/>
      <c r="E25" s="4595" t="s">
        <v>1229</v>
      </c>
      <c r="F25" s="4596"/>
      <c r="G25" s="4596"/>
      <c r="H25" s="4596"/>
      <c r="I25" s="4596"/>
      <c r="J25" s="4596"/>
      <c r="K25" s="4596"/>
      <c r="L25" s="4597"/>
      <c r="M25" s="3519"/>
      <c r="N25" s="2917"/>
      <c r="O25" s="3520">
        <f>4*2600000/25000</f>
        <v>416</v>
      </c>
      <c r="P25" s="1824"/>
      <c r="Q25" s="2357"/>
      <c r="R25" s="2353"/>
      <c r="S25" s="2353"/>
      <c r="T25" s="1804">
        <f>O26</f>
        <v>821.9354838709678</v>
      </c>
      <c r="U25" s="1760"/>
    </row>
    <row r="26" spans="1:22" ht="23.25" customHeight="1">
      <c r="A26" s="3555">
        <v>2</v>
      </c>
      <c r="B26" s="3565" t="s">
        <v>1793</v>
      </c>
      <c r="C26" s="3488" t="s">
        <v>362</v>
      </c>
      <c r="D26" s="3521"/>
      <c r="E26" s="4595" t="s">
        <v>1794</v>
      </c>
      <c r="F26" s="4596"/>
      <c r="G26" s="4596"/>
      <c r="H26" s="4596"/>
      <c r="I26" s="4596"/>
      <c r="J26" s="4596"/>
      <c r="K26" s="4596"/>
      <c r="L26" s="4597"/>
      <c r="M26" s="3522"/>
      <c r="N26" s="3523"/>
      <c r="O26" s="3520">
        <f>((2600000/31*29*8) + (2600000/31*13))/25000</f>
        <v>821.9354838709678</v>
      </c>
      <c r="P26" s="2391"/>
      <c r="Q26" s="2357"/>
      <c r="R26" s="2353"/>
      <c r="S26" s="2353"/>
      <c r="T26" s="1760"/>
      <c r="U26" s="1760"/>
    </row>
    <row r="27" spans="1:22" ht="23.25" customHeight="1">
      <c r="A27" s="2930" t="s">
        <v>93</v>
      </c>
      <c r="B27" s="2931" t="s">
        <v>1103</v>
      </c>
      <c r="C27" s="3594"/>
      <c r="D27" s="3521"/>
      <c r="E27" s="3595"/>
      <c r="F27" s="3596"/>
      <c r="G27" s="3596"/>
      <c r="H27" s="3596"/>
      <c r="I27" s="3596"/>
      <c r="J27" s="3596"/>
      <c r="K27" s="3596"/>
      <c r="L27" s="3597"/>
      <c r="M27" s="3522"/>
      <c r="N27" s="3523"/>
      <c r="O27" s="3598">
        <f>O28</f>
        <v>20</v>
      </c>
      <c r="P27" s="2391"/>
      <c r="Q27" s="2357"/>
      <c r="R27" s="2353"/>
      <c r="S27" s="2353"/>
      <c r="T27" s="1760"/>
      <c r="U27" s="1760"/>
    </row>
    <row r="28" spans="1:22" ht="23.25" customHeight="1">
      <c r="A28" s="3555">
        <v>1</v>
      </c>
      <c r="B28" s="3565" t="s">
        <v>1795</v>
      </c>
      <c r="C28" s="3488" t="s">
        <v>362</v>
      </c>
      <c r="D28" s="3521"/>
      <c r="E28" s="4595" t="s">
        <v>1796</v>
      </c>
      <c r="F28" s="4596"/>
      <c r="G28" s="4596"/>
      <c r="H28" s="4596"/>
      <c r="I28" s="4596"/>
      <c r="J28" s="4596"/>
      <c r="K28" s="4596"/>
      <c r="L28" s="4597"/>
      <c r="M28" s="3522"/>
      <c r="N28" s="3523">
        <v>1</v>
      </c>
      <c r="O28" s="3599">
        <f>20</f>
        <v>20</v>
      </c>
      <c r="P28" s="2391"/>
      <c r="Q28" s="2357"/>
      <c r="R28" s="2353"/>
      <c r="S28" s="2353"/>
      <c r="T28" s="1760"/>
      <c r="U28" s="1760"/>
    </row>
    <row r="29" spans="1:22" ht="21.75" customHeight="1">
      <c r="A29" s="4473" t="s">
        <v>1230</v>
      </c>
      <c r="B29" s="4473"/>
      <c r="C29" s="4473"/>
      <c r="D29" s="3524"/>
      <c r="E29" s="1829"/>
      <c r="F29" s="1829"/>
      <c r="G29" s="1829"/>
      <c r="H29" s="1829"/>
      <c r="I29" s="1829"/>
      <c r="J29" s="1829"/>
      <c r="K29" s="1829"/>
      <c r="L29" s="3525"/>
      <c r="M29" s="3526"/>
      <c r="N29" s="1829"/>
      <c r="O29" s="3527"/>
      <c r="P29" s="1829"/>
      <c r="Q29" s="2336"/>
      <c r="R29" s="2353"/>
      <c r="S29" s="2353"/>
      <c r="T29" s="1760"/>
      <c r="U29" s="1760"/>
    </row>
    <row r="30" spans="1:22" ht="20.45" customHeight="1">
      <c r="A30" s="1830"/>
      <c r="B30" s="1831"/>
      <c r="C30" s="1832"/>
      <c r="D30" s="2359"/>
      <c r="E30" s="1834"/>
      <c r="F30" s="1835"/>
      <c r="G30" s="1834"/>
      <c r="H30" s="1835"/>
      <c r="I30" s="3564"/>
      <c r="J30" s="1833"/>
      <c r="K30" s="3564"/>
      <c r="L30" s="4562" t="s">
        <v>1797</v>
      </c>
      <c r="M30" s="4562"/>
      <c r="N30" s="4562"/>
      <c r="O30" s="4562"/>
      <c r="P30" s="4562"/>
      <c r="Q30" s="3566"/>
      <c r="R30" s="2353"/>
      <c r="S30" s="2353"/>
      <c r="T30" s="1760"/>
      <c r="U30" s="1760"/>
    </row>
    <row r="31" spans="1:22" ht="20.45" customHeight="1">
      <c r="A31" s="4475"/>
      <c r="B31" s="4475"/>
      <c r="C31" s="4475"/>
      <c r="D31" s="4475"/>
      <c r="E31" s="4475"/>
      <c r="F31" s="1836"/>
      <c r="G31" s="1836"/>
      <c r="H31" s="4476"/>
      <c r="I31" s="4476"/>
      <c r="J31" s="4476"/>
      <c r="K31" s="3563"/>
      <c r="L31" s="4475" t="s">
        <v>827</v>
      </c>
      <c r="M31" s="4475"/>
      <c r="N31" s="4475"/>
      <c r="O31" s="4475"/>
      <c r="P31" s="4475"/>
      <c r="Q31" s="3562"/>
      <c r="R31" s="1760"/>
      <c r="S31" s="1760"/>
      <c r="T31" s="1760"/>
      <c r="U31" s="1760"/>
    </row>
    <row r="32" spans="1:22" ht="20.45" customHeight="1">
      <c r="A32" s="1837"/>
      <c r="B32" s="1838"/>
      <c r="C32" s="1839"/>
      <c r="D32" s="2361"/>
      <c r="E32" s="1840"/>
      <c r="F32" s="1839"/>
      <c r="G32" s="1841"/>
      <c r="H32" s="1839"/>
      <c r="I32" s="2362"/>
      <c r="J32" s="3560"/>
      <c r="K32" s="2362"/>
      <c r="L32" s="2361"/>
      <c r="M32" s="1842"/>
      <c r="N32" s="1843"/>
      <c r="O32" s="4489"/>
      <c r="P32" s="4489"/>
      <c r="Q32" s="3560"/>
      <c r="R32" s="3291"/>
    </row>
    <row r="33" spans="1:17" ht="20.45" customHeight="1">
      <c r="A33" s="1837"/>
      <c r="B33" s="1838"/>
      <c r="C33" s="1838"/>
      <c r="D33" s="2363"/>
      <c r="E33" s="1844"/>
      <c r="F33" s="1845"/>
      <c r="G33" s="1754"/>
      <c r="H33" s="1845"/>
      <c r="I33" s="2331"/>
      <c r="J33" s="2364"/>
      <c r="K33" s="2365"/>
      <c r="L33" s="2366"/>
      <c r="M33" s="1846"/>
      <c r="N33" s="1845"/>
      <c r="P33" s="1837"/>
      <c r="Q33" s="1837"/>
    </row>
    <row r="34" spans="1:17" ht="20.45" customHeight="1">
      <c r="A34" s="1837"/>
      <c r="B34" s="1838"/>
      <c r="C34" s="1838"/>
      <c r="D34" s="2363"/>
      <c r="E34" s="1844"/>
      <c r="F34" s="1845"/>
      <c r="G34" s="1754"/>
      <c r="H34" s="1845"/>
      <c r="I34" s="2331"/>
      <c r="J34" s="2364"/>
      <c r="K34" s="2365"/>
      <c r="L34" s="2366"/>
      <c r="M34" s="1846"/>
      <c r="N34" s="1845"/>
      <c r="P34" s="1837"/>
      <c r="Q34" s="1837"/>
    </row>
    <row r="35" spans="1:17" ht="17.45" customHeight="1">
      <c r="Q35" s="3561"/>
    </row>
    <row r="36" spans="1:17" ht="27.75" customHeight="1">
      <c r="A36" s="4469" t="s">
        <v>828</v>
      </c>
      <c r="B36" s="4469"/>
      <c r="C36" s="4469"/>
      <c r="D36" s="4469"/>
      <c r="E36" s="4469"/>
      <c r="F36" s="4469"/>
      <c r="G36" s="4469"/>
      <c r="H36" s="4469"/>
      <c r="I36" s="4469"/>
      <c r="J36" s="4469"/>
      <c r="K36" s="4469"/>
      <c r="L36" s="4469"/>
      <c r="M36" s="4469"/>
      <c r="N36" s="4469"/>
      <c r="O36" s="4469"/>
      <c r="P36" s="4469"/>
      <c r="Q36" s="3552"/>
    </row>
    <row r="37" spans="1:17" ht="27.75" customHeight="1">
      <c r="A37" s="4464" t="s">
        <v>1232</v>
      </c>
      <c r="B37" s="4464"/>
      <c r="C37" s="4464"/>
      <c r="D37" s="4464"/>
      <c r="E37" s="4464"/>
      <c r="F37" s="4464"/>
      <c r="G37" s="4464"/>
      <c r="H37" s="4464"/>
      <c r="I37" s="4464"/>
      <c r="J37" s="4464"/>
      <c r="K37" s="4464"/>
      <c r="L37" s="4464"/>
      <c r="M37" s="4464"/>
      <c r="N37" s="4464"/>
      <c r="O37" s="4464"/>
      <c r="P37" s="4464"/>
    </row>
    <row r="38" spans="1:17" ht="27.75" customHeight="1"/>
    <row r="39" spans="1:17" ht="27.75" customHeight="1">
      <c r="N39" s="1851"/>
    </row>
    <row r="40" spans="1:17" ht="27.75" customHeight="1"/>
    <row r="41" spans="1:17" ht="27.75" customHeight="1"/>
    <row r="42" spans="1:17" ht="27.75" customHeight="1"/>
    <row r="43" spans="1:17" ht="27.75" customHeight="1"/>
    <row r="44" spans="1:17" ht="27.75" customHeight="1"/>
    <row r="45" spans="1:17" ht="27.75" customHeight="1"/>
    <row r="46" spans="1:17" ht="27.75" customHeight="1"/>
    <row r="47" spans="1:17" ht="27.75" customHeight="1"/>
    <row r="48" spans="1:17" ht="27.75" customHeight="1"/>
    <row r="49" ht="27.75" customHeight="1"/>
    <row r="50" ht="27.75" customHeight="1"/>
    <row r="51" ht="27.75" customHeight="1"/>
    <row r="52" ht="27.75" customHeight="1"/>
    <row r="53" ht="27.75" customHeight="1"/>
    <row r="54" ht="27.75" customHeight="1"/>
    <row r="55" ht="27.75" customHeight="1"/>
    <row r="56" ht="27.75" customHeight="1"/>
    <row r="57" ht="27.75" customHeight="1"/>
    <row r="58" ht="27.75" customHeight="1"/>
    <row r="59" ht="27.75" customHeight="1"/>
    <row r="60" ht="27.75" customHeight="1"/>
    <row r="61" ht="27.75" customHeight="1"/>
    <row r="62" ht="27.75" customHeight="1"/>
    <row r="63" ht="27.75" customHeight="1"/>
    <row r="64" ht="27.75" customHeight="1"/>
    <row r="65" ht="27.75" customHeight="1"/>
    <row r="66" ht="27.75" customHeight="1"/>
    <row r="67" ht="27.75" customHeight="1"/>
    <row r="68" ht="27.75" customHeight="1"/>
    <row r="69" ht="27.75" customHeight="1"/>
    <row r="74" ht="10.5" customHeight="1"/>
    <row r="75" ht="10.5" customHeight="1"/>
    <row r="76" ht="10.5" customHeight="1"/>
    <row r="77" ht="10.5" customHeight="1"/>
    <row r="78" ht="10.5" customHeight="1"/>
    <row r="79" ht="6" customHeight="1"/>
  </sheetData>
  <mergeCells count="34">
    <mergeCell ref="O32:P32"/>
    <mergeCell ref="A36:P36"/>
    <mergeCell ref="A37:P37"/>
    <mergeCell ref="E28:L28"/>
    <mergeCell ref="A29:C29"/>
    <mergeCell ref="L30:P30"/>
    <mergeCell ref="A31:E31"/>
    <mergeCell ref="H31:J31"/>
    <mergeCell ref="L31:P31"/>
    <mergeCell ref="E19:L19"/>
    <mergeCell ref="E20:L20"/>
    <mergeCell ref="A5:F5"/>
    <mergeCell ref="G5:P5"/>
    <mergeCell ref="A1:P1"/>
    <mergeCell ref="A2:P2"/>
    <mergeCell ref="A3:P3"/>
    <mergeCell ref="A4:F4"/>
    <mergeCell ref="G4:P4"/>
    <mergeCell ref="E25:L25"/>
    <mergeCell ref="E26:L26"/>
    <mergeCell ref="E21:L21"/>
    <mergeCell ref="A7:P7"/>
    <mergeCell ref="A8:P8"/>
    <mergeCell ref="A9:A10"/>
    <mergeCell ref="B9:B10"/>
    <mergeCell ref="C9:C10"/>
    <mergeCell ref="D9:D10"/>
    <mergeCell ref="E9:M9"/>
    <mergeCell ref="N9:N10"/>
    <mergeCell ref="O9:O10"/>
    <mergeCell ref="P9:P10"/>
    <mergeCell ref="E16:L16"/>
    <mergeCell ref="E17:L17"/>
    <mergeCell ref="E18:L18"/>
  </mergeCells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4"/>
  <sheetViews>
    <sheetView topLeftCell="A45" workbookViewId="0">
      <selection activeCell="H35" sqref="H35"/>
    </sheetView>
  </sheetViews>
  <sheetFormatPr defaultRowHeight="15.75"/>
  <cols>
    <col min="1" max="1" width="4.125" style="1852" customWidth="1"/>
    <col min="2" max="2" width="31.5" style="1853" customWidth="1"/>
    <col min="3" max="3" width="6.5" style="1854" customWidth="1"/>
    <col min="4" max="4" width="6.625" style="2369" customWidth="1"/>
    <col min="5" max="5" width="4.5" style="1856" customWidth="1"/>
    <col min="6" max="6" width="9.625" style="1857" customWidth="1"/>
    <col min="7" max="7" width="4.5" style="1858" customWidth="1"/>
    <col min="8" max="8" width="8.375" style="1857" customWidth="1"/>
    <col min="9" max="9" width="4.75" style="2370" customWidth="1"/>
    <col min="10" max="10" width="9" style="2371" customWidth="1"/>
    <col min="11" max="11" width="4.75" style="2372" customWidth="1"/>
    <col min="12" max="12" width="8.125" style="2373" customWidth="1"/>
    <col min="13" max="13" width="9.625" style="1859" customWidth="1"/>
    <col min="14" max="14" width="6.125" style="1857" customWidth="1"/>
    <col min="15" max="15" width="12.375" style="1847" customWidth="1"/>
    <col min="16" max="16" width="14.5" style="1860" customWidth="1"/>
    <col min="17" max="17" width="6.375" style="1860" customWidth="1"/>
    <col min="18" max="18" width="9.75" customWidth="1"/>
    <col min="19" max="19" width="14.125" customWidth="1"/>
    <col min="20" max="20" width="12.875" customWidth="1"/>
  </cols>
  <sheetData>
    <row r="1" spans="1:22" ht="16.5">
      <c r="A1" s="4081" t="s">
        <v>165</v>
      </c>
      <c r="B1" s="4081"/>
      <c r="C1" s="4081"/>
      <c r="D1" s="4081"/>
      <c r="E1" s="4081"/>
      <c r="F1" s="4081"/>
      <c r="G1" s="4081"/>
      <c r="H1" s="4081"/>
      <c r="I1" s="4081"/>
      <c r="J1" s="4081"/>
      <c r="K1" s="4081"/>
      <c r="L1" s="4081"/>
      <c r="M1" s="4081"/>
      <c r="N1" s="4081"/>
      <c r="O1" s="4081"/>
      <c r="P1" s="4081"/>
    </row>
    <row r="2" spans="1:22" ht="16.5">
      <c r="A2" s="4081" t="s">
        <v>171</v>
      </c>
      <c r="B2" s="4081"/>
      <c r="C2" s="4081"/>
      <c r="D2" s="4081"/>
      <c r="E2" s="4081"/>
      <c r="F2" s="4081"/>
      <c r="G2" s="4081"/>
      <c r="H2" s="4081"/>
      <c r="I2" s="4081"/>
      <c r="J2" s="4081"/>
      <c r="K2" s="4081"/>
      <c r="L2" s="4081"/>
      <c r="M2" s="4081"/>
      <c r="N2" s="4081"/>
      <c r="O2" s="4081"/>
      <c r="P2" s="4081"/>
    </row>
    <row r="3" spans="1:22" ht="16.5">
      <c r="A3" s="4087" t="s">
        <v>726</v>
      </c>
      <c r="B3" s="4087"/>
      <c r="C3" s="4087"/>
      <c r="D3" s="4087"/>
      <c r="E3" s="4087"/>
      <c r="F3" s="4087"/>
      <c r="G3" s="4087"/>
      <c r="H3" s="4087"/>
      <c r="I3" s="4087"/>
      <c r="J3" s="4087"/>
      <c r="K3" s="4087"/>
      <c r="L3" s="4087"/>
      <c r="M3" s="4087"/>
      <c r="N3" s="4087"/>
      <c r="O3" s="4087"/>
      <c r="P3" s="4087"/>
    </row>
    <row r="4" spans="1:22">
      <c r="A4" s="4548" t="s">
        <v>809</v>
      </c>
      <c r="B4" s="4548"/>
      <c r="C4" s="4548"/>
      <c r="D4" s="4548"/>
      <c r="E4" s="4548"/>
      <c r="F4" s="4548"/>
      <c r="G4" s="4512"/>
      <c r="H4" s="4512"/>
      <c r="I4" s="4512"/>
      <c r="J4" s="4512"/>
      <c r="K4" s="4512"/>
      <c r="L4" s="4512"/>
      <c r="M4" s="4512"/>
      <c r="N4" s="4512"/>
      <c r="O4" s="4512"/>
      <c r="P4" s="4512"/>
      <c r="Q4" s="3553"/>
    </row>
    <row r="5" spans="1:22">
      <c r="A5" s="4512" t="s">
        <v>541</v>
      </c>
      <c r="B5" s="4512"/>
      <c r="C5" s="4512"/>
      <c r="D5" s="4512"/>
      <c r="E5" s="4512"/>
      <c r="F5" s="4512"/>
      <c r="G5" s="4512"/>
      <c r="H5" s="4512"/>
      <c r="I5" s="4512"/>
      <c r="J5" s="4512"/>
      <c r="K5" s="4512"/>
      <c r="L5" s="4512"/>
      <c r="M5" s="4512"/>
      <c r="N5" s="4512"/>
      <c r="O5" s="4512"/>
      <c r="P5" s="4512"/>
      <c r="Q5" s="3553"/>
    </row>
    <row r="6" spans="1:22" ht="18.75" customHeight="1">
      <c r="A6" s="1755"/>
      <c r="B6" s="1755"/>
      <c r="C6" s="1755"/>
      <c r="D6" s="1757"/>
      <c r="E6" s="1752"/>
      <c r="F6" s="1753"/>
      <c r="G6" s="1754"/>
      <c r="H6" s="1753"/>
      <c r="I6" s="2331"/>
      <c r="J6" s="2332"/>
      <c r="K6" s="1756"/>
      <c r="L6" s="1757"/>
      <c r="M6" s="1758"/>
      <c r="N6" s="1755"/>
      <c r="O6" s="1759"/>
      <c r="P6" s="1755"/>
      <c r="Q6" s="1755"/>
    </row>
    <row r="7" spans="1:22" ht="18.75">
      <c r="A7" s="4504" t="s">
        <v>1798</v>
      </c>
      <c r="B7" s="4504"/>
      <c r="C7" s="4504"/>
      <c r="D7" s="4504"/>
      <c r="E7" s="4504"/>
      <c r="F7" s="4504"/>
      <c r="G7" s="4504"/>
      <c r="H7" s="4504"/>
      <c r="I7" s="4504"/>
      <c r="J7" s="4504"/>
      <c r="K7" s="4504"/>
      <c r="L7" s="4504"/>
      <c r="M7" s="4504"/>
      <c r="N7" s="4504"/>
      <c r="O7" s="4504"/>
      <c r="P7" s="4504"/>
      <c r="Q7" s="3554"/>
      <c r="R7" s="1760"/>
      <c r="S7" s="1760"/>
      <c r="T7" s="1760"/>
      <c r="U7" s="1760"/>
    </row>
    <row r="8" spans="1:22" ht="15">
      <c r="A8" s="4505" t="s">
        <v>1799</v>
      </c>
      <c r="B8" s="4505"/>
      <c r="C8" s="4505"/>
      <c r="D8" s="4505"/>
      <c r="E8" s="4505"/>
      <c r="F8" s="4505"/>
      <c r="G8" s="4505"/>
      <c r="H8" s="4505"/>
      <c r="I8" s="4505"/>
      <c r="J8" s="4505"/>
      <c r="K8" s="4505"/>
      <c r="L8" s="4505"/>
      <c r="M8" s="4505"/>
      <c r="N8" s="4505"/>
      <c r="O8" s="4505"/>
      <c r="P8" s="4505"/>
      <c r="Q8" s="3564"/>
      <c r="R8" s="1760"/>
      <c r="S8" s="1760"/>
      <c r="T8" s="1760"/>
      <c r="U8" s="1760"/>
    </row>
    <row r="9" spans="1:22" ht="33" customHeight="1">
      <c r="A9" s="4564" t="s">
        <v>19</v>
      </c>
      <c r="B9" s="4564" t="s">
        <v>1217</v>
      </c>
      <c r="C9" s="4564" t="s">
        <v>623</v>
      </c>
      <c r="D9" s="4601" t="s">
        <v>361</v>
      </c>
      <c r="E9" s="4564" t="s">
        <v>811</v>
      </c>
      <c r="F9" s="4564"/>
      <c r="G9" s="4564"/>
      <c r="H9" s="4564"/>
      <c r="I9" s="4564"/>
      <c r="J9" s="4564"/>
      <c r="K9" s="4564"/>
      <c r="L9" s="4564"/>
      <c r="M9" s="4564"/>
      <c r="N9" s="4564" t="s">
        <v>812</v>
      </c>
      <c r="O9" s="4603" t="s">
        <v>47</v>
      </c>
      <c r="P9" s="4574" t="s">
        <v>813</v>
      </c>
      <c r="Q9" s="2333"/>
      <c r="R9" s="1760"/>
      <c r="S9" s="1760"/>
      <c r="T9" s="1760"/>
      <c r="U9" s="1760"/>
    </row>
    <row r="10" spans="1:22" ht="36" customHeight="1">
      <c r="A10" s="4565"/>
      <c r="B10" s="4565"/>
      <c r="C10" s="4565"/>
      <c r="D10" s="4602"/>
      <c r="E10" s="1779" t="s">
        <v>814</v>
      </c>
      <c r="F10" s="1779" t="s">
        <v>815</v>
      </c>
      <c r="G10" s="1779" t="s">
        <v>814</v>
      </c>
      <c r="H10" s="1779" t="s">
        <v>815</v>
      </c>
      <c r="I10" s="1779" t="s">
        <v>814</v>
      </c>
      <c r="J10" s="1779" t="s">
        <v>815</v>
      </c>
      <c r="K10" s="1779" t="s">
        <v>814</v>
      </c>
      <c r="L10" s="3475" t="s">
        <v>815</v>
      </c>
      <c r="M10" s="3476" t="s">
        <v>21</v>
      </c>
      <c r="N10" s="4565"/>
      <c r="O10" s="4604"/>
      <c r="P10" s="4575"/>
      <c r="Q10" s="2333"/>
      <c r="R10" s="1760"/>
      <c r="S10" s="1760"/>
      <c r="T10" s="1760"/>
      <c r="U10" s="1760"/>
    </row>
    <row r="11" spans="1:22" ht="32.25" customHeight="1">
      <c r="A11" s="3570" t="s">
        <v>52</v>
      </c>
      <c r="B11" s="1790" t="s">
        <v>816</v>
      </c>
      <c r="C11" s="3477"/>
      <c r="D11" s="3478"/>
      <c r="E11" s="3479"/>
      <c r="F11" s="3479"/>
      <c r="G11" s="3479"/>
      <c r="H11" s="3479"/>
      <c r="I11" s="3479"/>
      <c r="J11" s="3479"/>
      <c r="K11" s="3479"/>
      <c r="L11" s="3480"/>
      <c r="M11" s="3481"/>
      <c r="N11" s="3479"/>
      <c r="O11" s="3482">
        <f>O15+O21</f>
        <v>4203.3866666670001</v>
      </c>
      <c r="P11" s="1817"/>
      <c r="Q11" s="2335"/>
      <c r="R11" s="1760"/>
      <c r="S11" s="1760"/>
      <c r="T11" s="2353"/>
      <c r="U11" s="3483"/>
    </row>
    <row r="12" spans="1:22" ht="30" customHeight="1">
      <c r="A12" s="3570" t="s">
        <v>147</v>
      </c>
      <c r="B12" s="1773" t="s">
        <v>817</v>
      </c>
      <c r="C12" s="1773"/>
      <c r="D12" s="3573"/>
      <c r="E12" s="3570"/>
      <c r="F12" s="3570"/>
      <c r="G12" s="3570"/>
      <c r="H12" s="3570"/>
      <c r="I12" s="3570"/>
      <c r="J12" s="3570"/>
      <c r="K12" s="3570"/>
      <c r="L12" s="3573"/>
      <c r="M12" s="3575"/>
      <c r="N12" s="3570"/>
      <c r="O12" s="3482"/>
      <c r="P12" s="1779"/>
      <c r="Q12" s="2336"/>
      <c r="R12" s="1760"/>
      <c r="S12" s="1760"/>
      <c r="T12" s="1760"/>
      <c r="U12" s="1760"/>
      <c r="V12" s="3484"/>
    </row>
    <row r="13" spans="1:22" ht="33" customHeight="1">
      <c r="A13" s="3571">
        <v>1</v>
      </c>
      <c r="B13" s="3568" t="s">
        <v>49</v>
      </c>
      <c r="C13" s="3571" t="s">
        <v>818</v>
      </c>
      <c r="D13" s="3485"/>
      <c r="E13" s="3570"/>
      <c r="F13" s="3571"/>
      <c r="G13" s="3570"/>
      <c r="H13" s="3570"/>
      <c r="I13" s="3570"/>
      <c r="J13" s="3570"/>
      <c r="K13" s="3570"/>
      <c r="L13" s="3573"/>
      <c r="M13" s="3575"/>
      <c r="N13" s="3571"/>
      <c r="O13" s="3482"/>
      <c r="P13" s="1783"/>
      <c r="Q13" s="2338"/>
      <c r="R13" s="1760"/>
      <c r="S13" s="1760"/>
      <c r="T13" s="1760"/>
      <c r="U13" s="1760"/>
      <c r="V13" s="3484"/>
    </row>
    <row r="14" spans="1:22" ht="30" customHeight="1">
      <c r="A14" s="3571">
        <v>2</v>
      </c>
      <c r="B14" s="3568" t="s">
        <v>819</v>
      </c>
      <c r="C14" s="3571" t="s">
        <v>818</v>
      </c>
      <c r="D14" s="3485"/>
      <c r="E14" s="3570"/>
      <c r="F14" s="3571"/>
      <c r="G14" s="3570"/>
      <c r="H14" s="3570"/>
      <c r="I14" s="3570"/>
      <c r="J14" s="3570"/>
      <c r="K14" s="3570"/>
      <c r="L14" s="3573"/>
      <c r="M14" s="3486">
        <v>40</v>
      </c>
      <c r="N14" s="3571"/>
      <c r="O14" s="3482"/>
      <c r="P14" s="1785"/>
      <c r="Q14" s="2340"/>
      <c r="R14" s="1760"/>
      <c r="S14" s="1760"/>
      <c r="T14" s="1760"/>
      <c r="U14" s="1760"/>
      <c r="V14" s="3484"/>
    </row>
    <row r="15" spans="1:22" ht="42.75" customHeight="1">
      <c r="A15" s="3570" t="s">
        <v>148</v>
      </c>
      <c r="B15" s="1773" t="s">
        <v>820</v>
      </c>
      <c r="C15" s="3570"/>
      <c r="D15" s="3573"/>
      <c r="E15" s="3570"/>
      <c r="F15" s="3570"/>
      <c r="G15" s="3570"/>
      <c r="H15" s="3570"/>
      <c r="I15" s="3570"/>
      <c r="J15" s="3570"/>
      <c r="K15" s="3570"/>
      <c r="L15" s="3573"/>
      <c r="M15" s="3487"/>
      <c r="N15" s="3570"/>
      <c r="O15" s="3482">
        <f>SUM(O16:O20)</f>
        <v>0</v>
      </c>
      <c r="P15" s="1779"/>
      <c r="Q15" s="2336"/>
      <c r="R15" s="1760"/>
      <c r="S15" s="1760"/>
      <c r="T15" s="1760"/>
      <c r="U15" s="1760"/>
    </row>
    <row r="16" spans="1:22" ht="32.25" customHeight="1">
      <c r="A16" s="3571">
        <v>1</v>
      </c>
      <c r="B16" s="3568" t="s">
        <v>821</v>
      </c>
      <c r="C16" s="3488" t="s">
        <v>362</v>
      </c>
      <c r="D16" s="3485"/>
      <c r="E16" s="4605"/>
      <c r="F16" s="4605"/>
      <c r="G16" s="4605"/>
      <c r="H16" s="4605"/>
      <c r="I16" s="4605"/>
      <c r="J16" s="4605"/>
      <c r="K16" s="4605"/>
      <c r="L16" s="4605"/>
      <c r="M16" s="3575"/>
      <c r="N16" s="3571"/>
      <c r="O16" s="3489"/>
      <c r="P16" s="1785"/>
      <c r="Q16" s="2340"/>
      <c r="R16" s="1760"/>
      <c r="S16" s="1760"/>
      <c r="T16" s="1760"/>
      <c r="U16" s="1760"/>
    </row>
    <row r="17" spans="1:22" ht="31.5" customHeight="1">
      <c r="A17" s="3571">
        <v>2</v>
      </c>
      <c r="B17" s="3568" t="s">
        <v>1306</v>
      </c>
      <c r="C17" s="3571" t="s">
        <v>362</v>
      </c>
      <c r="D17" s="3485"/>
      <c r="E17" s="4605"/>
      <c r="F17" s="4605"/>
      <c r="G17" s="4605"/>
      <c r="H17" s="4605"/>
      <c r="I17" s="4605"/>
      <c r="J17" s="4605"/>
      <c r="K17" s="4605"/>
      <c r="L17" s="4605"/>
      <c r="M17" s="3575"/>
      <c r="N17" s="3571"/>
      <c r="O17" s="3489"/>
      <c r="P17" s="1785"/>
      <c r="Q17" s="2340"/>
      <c r="R17" s="1760"/>
      <c r="S17" s="1760"/>
      <c r="T17" s="1760"/>
      <c r="U17" s="1760"/>
    </row>
    <row r="18" spans="1:22" ht="37.5" customHeight="1">
      <c r="A18" s="3571">
        <v>3</v>
      </c>
      <c r="B18" s="3568" t="s">
        <v>1041</v>
      </c>
      <c r="C18" s="3488" t="s">
        <v>362</v>
      </c>
      <c r="D18" s="3485"/>
      <c r="E18" s="4605"/>
      <c r="F18" s="4605"/>
      <c r="G18" s="4605"/>
      <c r="H18" s="4605"/>
      <c r="I18" s="4605"/>
      <c r="J18" s="4605"/>
      <c r="K18" s="4605"/>
      <c r="L18" s="4605"/>
      <c r="M18" s="3575"/>
      <c r="N18" s="3571"/>
      <c r="O18" s="3489"/>
      <c r="P18" s="1785"/>
      <c r="Q18" s="2340"/>
      <c r="R18" s="1760"/>
      <c r="S18" s="1760"/>
      <c r="T18" s="1760"/>
      <c r="U18" s="1760"/>
    </row>
    <row r="19" spans="1:22" ht="34.5" customHeight="1">
      <c r="A19" s="3571">
        <v>4</v>
      </c>
      <c r="B19" s="3568" t="s">
        <v>1308</v>
      </c>
      <c r="C19" s="3571" t="s">
        <v>362</v>
      </c>
      <c r="D19" s="3485"/>
      <c r="E19" s="4605"/>
      <c r="F19" s="4605"/>
      <c r="G19" s="4605"/>
      <c r="H19" s="4605"/>
      <c r="I19" s="4605"/>
      <c r="J19" s="4605"/>
      <c r="K19" s="4605"/>
      <c r="L19" s="4605"/>
      <c r="M19" s="3575"/>
      <c r="N19" s="3571"/>
      <c r="O19" s="3489"/>
      <c r="P19" s="1785"/>
      <c r="Q19" s="2340"/>
      <c r="R19" s="1760"/>
      <c r="S19" s="1760"/>
      <c r="T19" s="1760"/>
      <c r="U19" s="1760"/>
    </row>
    <row r="20" spans="1:22" s="3289" customFormat="1" ht="36.75" customHeight="1">
      <c r="A20" s="3572">
        <v>5</v>
      </c>
      <c r="B20" s="3285" t="s">
        <v>1297</v>
      </c>
      <c r="C20" s="3572" t="s">
        <v>362</v>
      </c>
      <c r="D20" s="3490"/>
      <c r="E20" s="4606"/>
      <c r="F20" s="4606"/>
      <c r="G20" s="4606"/>
      <c r="H20" s="4606"/>
      <c r="I20" s="4606"/>
      <c r="J20" s="4606"/>
      <c r="K20" s="4606"/>
      <c r="L20" s="4606"/>
      <c r="M20" s="3491"/>
      <c r="N20" s="3572"/>
      <c r="O20" s="3492"/>
      <c r="P20" s="3286"/>
      <c r="Q20" s="3600"/>
      <c r="R20" s="2614"/>
      <c r="S20" s="2614"/>
      <c r="T20" s="2614"/>
      <c r="U20" s="2614"/>
      <c r="V20" s="2602"/>
    </row>
    <row r="21" spans="1:22" s="3500" customFormat="1" ht="24" customHeight="1">
      <c r="A21" s="3569" t="s">
        <v>149</v>
      </c>
      <c r="B21" s="3495" t="s">
        <v>1741</v>
      </c>
      <c r="C21" s="3496"/>
      <c r="D21" s="3497"/>
      <c r="E21" s="3496"/>
      <c r="F21" s="3496"/>
      <c r="G21" s="3496"/>
      <c r="H21" s="3496"/>
      <c r="I21" s="3496"/>
      <c r="J21" s="3496"/>
      <c r="K21" s="3496"/>
      <c r="L21" s="3496"/>
      <c r="M21" s="3574"/>
      <c r="N21" s="3496"/>
      <c r="O21" s="3498">
        <f>O22+O34+O40</f>
        <v>4203.3866666670001</v>
      </c>
      <c r="P21" s="3499"/>
      <c r="Q21" s="3507"/>
      <c r="R21" s="3472"/>
      <c r="S21" s="3472"/>
      <c r="T21" s="3472"/>
      <c r="U21" s="3472"/>
      <c r="V21" s="3473"/>
    </row>
    <row r="22" spans="1:22" s="2602" customFormat="1" ht="24" customHeight="1">
      <c r="A22" s="3474"/>
      <c r="B22" s="3501" t="s">
        <v>321</v>
      </c>
      <c r="C22" s="3502"/>
      <c r="D22" s="3503"/>
      <c r="E22" s="3502"/>
      <c r="F22" s="3502"/>
      <c r="G22" s="3502"/>
      <c r="H22" s="3502"/>
      <c r="I22" s="3502"/>
      <c r="J22" s="3502"/>
      <c r="K22" s="3502"/>
      <c r="L22" s="3502"/>
      <c r="M22" s="3504"/>
      <c r="N22" s="3502"/>
      <c r="O22" s="3516">
        <f>O23+O26+O30</f>
        <v>1658.506666667</v>
      </c>
      <c r="P22" s="3505"/>
      <c r="Q22" s="2340"/>
      <c r="R22" s="2614"/>
      <c r="S22" s="2614" t="s">
        <v>1800</v>
      </c>
      <c r="T22" s="2614" t="s">
        <v>1801</v>
      </c>
      <c r="U22" s="2614"/>
    </row>
    <row r="23" spans="1:22" s="3289" customFormat="1" ht="24" customHeight="1">
      <c r="A23" s="3601">
        <v>1</v>
      </c>
      <c r="B23" s="3602" t="s">
        <v>927</v>
      </c>
      <c r="C23" s="3603"/>
      <c r="D23" s="3604"/>
      <c r="E23" s="3603"/>
      <c r="F23" s="3603"/>
      <c r="G23" s="3603"/>
      <c r="H23" s="3603"/>
      <c r="I23" s="3603"/>
      <c r="J23" s="3603"/>
      <c r="K23" s="3603"/>
      <c r="L23" s="3603"/>
      <c r="M23" s="3605"/>
      <c r="N23" s="3603"/>
      <c r="O23" s="3606">
        <f>O24</f>
        <v>251.84</v>
      </c>
      <c r="P23" s="3607"/>
      <c r="Q23" s="3493"/>
      <c r="R23" s="3494" t="s">
        <v>1802</v>
      </c>
      <c r="S23" s="3494">
        <f>'[21]KH THỔI LÁ PCC 2025'!$G$69</f>
        <v>2055500</v>
      </c>
      <c r="T23" s="3494">
        <f>'[21]KH ỦI CARO'!$F$24</f>
        <v>216277.77777777781</v>
      </c>
      <c r="U23" s="3494"/>
    </row>
    <row r="24" spans="1:22" s="2602" customFormat="1" ht="24" customHeight="1">
      <c r="A24" s="4607" t="s">
        <v>837</v>
      </c>
      <c r="B24" s="4479" t="s">
        <v>1803</v>
      </c>
      <c r="C24" s="4481" t="s">
        <v>1742</v>
      </c>
      <c r="D24" s="4612">
        <v>625</v>
      </c>
      <c r="E24" s="3474">
        <v>8</v>
      </c>
      <c r="F24" s="3502">
        <v>10250</v>
      </c>
      <c r="G24" s="3474">
        <v>9</v>
      </c>
      <c r="H24" s="3502">
        <v>49200</v>
      </c>
      <c r="I24" s="3474" t="s">
        <v>1061</v>
      </c>
      <c r="J24" s="3502">
        <v>6100</v>
      </c>
      <c r="K24" s="3474" t="s">
        <v>1056</v>
      </c>
      <c r="L24" s="3502">
        <v>15800</v>
      </c>
      <c r="M24" s="4477">
        <f>L25+L24+J24+J25+H24+H25+F25+F24</f>
        <v>157400</v>
      </c>
      <c r="N24" s="4607">
        <v>1</v>
      </c>
      <c r="O24" s="4498">
        <f>ROUND((M24/D24)*N24,9)</f>
        <v>251.84</v>
      </c>
      <c r="P24" s="4609"/>
      <c r="Q24" s="2340"/>
      <c r="R24" s="2614" t="s">
        <v>1295</v>
      </c>
      <c r="S24" s="3089">
        <f>'[21]KH THỔI LÁ PCC 2025'!$I$69</f>
        <v>3288.7999999999997</v>
      </c>
      <c r="T24" s="3089">
        <f>'[21]KH ỦI CARO'!$H$24</f>
        <v>2162.7777777777778</v>
      </c>
      <c r="U24" s="2614"/>
    </row>
    <row r="25" spans="1:22" s="2602" customFormat="1" ht="24" customHeight="1">
      <c r="A25" s="4608"/>
      <c r="B25" s="4480"/>
      <c r="C25" s="4482"/>
      <c r="D25" s="4614"/>
      <c r="E25" s="3474" t="s">
        <v>1059</v>
      </c>
      <c r="F25" s="3502">
        <v>16800</v>
      </c>
      <c r="G25" s="3474" t="s">
        <v>1057</v>
      </c>
      <c r="H25" s="3502">
        <v>30450</v>
      </c>
      <c r="I25" s="3474" t="s">
        <v>1060</v>
      </c>
      <c r="J25" s="3502">
        <v>19950</v>
      </c>
      <c r="K25" s="3474" t="s">
        <v>209</v>
      </c>
      <c r="L25" s="3502">
        <v>8850</v>
      </c>
      <c r="M25" s="4478"/>
      <c r="N25" s="4608"/>
      <c r="O25" s="4499" t="e">
        <f>ROUND((M25/D25)*N25,9)</f>
        <v>#DIV/0!</v>
      </c>
      <c r="P25" s="4610"/>
      <c r="Q25" s="2340"/>
      <c r="R25" s="2614"/>
      <c r="S25" s="2614"/>
      <c r="T25" s="2614"/>
      <c r="U25" s="2614"/>
    </row>
    <row r="26" spans="1:22" s="2602" customFormat="1" ht="24" customHeight="1">
      <c r="A26" s="3474">
        <v>2</v>
      </c>
      <c r="B26" s="3501" t="s">
        <v>824</v>
      </c>
      <c r="C26" s="3502"/>
      <c r="D26" s="3503"/>
      <c r="E26" s="3502"/>
      <c r="F26" s="3502"/>
      <c r="G26" s="3502"/>
      <c r="H26" s="3502"/>
      <c r="I26" s="3502"/>
      <c r="J26" s="3502"/>
      <c r="K26" s="3502"/>
      <c r="L26" s="3502"/>
      <c r="M26" s="3504"/>
      <c r="N26" s="3502"/>
      <c r="O26" s="3288">
        <f>O27</f>
        <v>411.36</v>
      </c>
      <c r="P26" s="3505"/>
      <c r="Q26" s="2340"/>
      <c r="R26" s="2614"/>
      <c r="S26" s="2614">
        <f>M24+M27+M31+M36+M42+M48</f>
        <v>2089550</v>
      </c>
      <c r="T26" s="2614">
        <f>M33+M39+M45+M50</f>
        <v>21.627777777777766</v>
      </c>
      <c r="U26" s="2614"/>
    </row>
    <row r="27" spans="1:22" s="2602" customFormat="1" ht="24" customHeight="1">
      <c r="A27" s="4607" t="s">
        <v>969</v>
      </c>
      <c r="B27" s="4479" t="s">
        <v>1803</v>
      </c>
      <c r="C27" s="4607" t="s">
        <v>1804</v>
      </c>
      <c r="D27" s="4612">
        <v>625</v>
      </c>
      <c r="E27" s="3474">
        <v>4</v>
      </c>
      <c r="F27" s="3502">
        <v>57150</v>
      </c>
      <c r="G27" s="3474">
        <v>8</v>
      </c>
      <c r="H27" s="3502">
        <v>7750</v>
      </c>
      <c r="I27" s="3474">
        <v>9</v>
      </c>
      <c r="J27" s="3502">
        <v>12300</v>
      </c>
      <c r="K27" s="3474">
        <v>10</v>
      </c>
      <c r="L27" s="3502">
        <v>28900</v>
      </c>
      <c r="M27" s="4477">
        <f>L28+L27+J27+J28+J29+H29+H28+H27+F27+F28+F29+L29</f>
        <v>257100</v>
      </c>
      <c r="N27" s="4607">
        <v>1</v>
      </c>
      <c r="O27" s="4498">
        <f>ROUND((M27/D27)*N27,9)</f>
        <v>411.36</v>
      </c>
      <c r="P27" s="4609"/>
      <c r="Q27" s="2340"/>
      <c r="R27" s="2614"/>
      <c r="S27" s="3089">
        <f>O24+O27+O31+O36+O42+O48</f>
        <v>3343.28</v>
      </c>
      <c r="T27" s="3089">
        <f>O33+O39+O45+O50</f>
        <v>1297.6666666670001</v>
      </c>
      <c r="U27" s="2614"/>
    </row>
    <row r="28" spans="1:22" s="2602" customFormat="1" ht="24" customHeight="1">
      <c r="A28" s="4611"/>
      <c r="B28" s="4493"/>
      <c r="C28" s="4611"/>
      <c r="D28" s="4613"/>
      <c r="E28" s="3474">
        <v>10</v>
      </c>
      <c r="F28" s="3502">
        <v>15450</v>
      </c>
      <c r="G28" s="3474">
        <v>11</v>
      </c>
      <c r="H28" s="3502">
        <v>5400</v>
      </c>
      <c r="I28" s="3474">
        <v>14</v>
      </c>
      <c r="J28" s="3502">
        <v>21750</v>
      </c>
      <c r="K28" s="3474" t="s">
        <v>1073</v>
      </c>
      <c r="L28" s="3502">
        <v>37000</v>
      </c>
      <c r="M28" s="4492"/>
      <c r="N28" s="4611"/>
      <c r="O28" s="4500"/>
      <c r="P28" s="4615"/>
      <c r="Q28" s="2340"/>
      <c r="R28" s="2614"/>
      <c r="S28" s="2614"/>
      <c r="T28" s="2614"/>
      <c r="U28" s="2614"/>
    </row>
    <row r="29" spans="1:22" s="2602" customFormat="1" ht="24" customHeight="1">
      <c r="A29" s="4608"/>
      <c r="B29" s="4480"/>
      <c r="C29" s="4608"/>
      <c r="D29" s="4614"/>
      <c r="E29" s="3474" t="s">
        <v>1060</v>
      </c>
      <c r="F29" s="3502">
        <v>8200</v>
      </c>
      <c r="G29" s="3474" t="s">
        <v>209</v>
      </c>
      <c r="H29" s="3502">
        <v>14350</v>
      </c>
      <c r="I29" s="3474" t="s">
        <v>1074</v>
      </c>
      <c r="J29" s="3502">
        <v>14800</v>
      </c>
      <c r="K29" s="3608" t="s">
        <v>1073</v>
      </c>
      <c r="L29" s="3502">
        <v>34050</v>
      </c>
      <c r="M29" s="4478"/>
      <c r="N29" s="4608"/>
      <c r="O29" s="4499"/>
      <c r="P29" s="4610"/>
      <c r="Q29" s="2340"/>
      <c r="R29" s="2614"/>
      <c r="S29" s="2614"/>
      <c r="T29" s="2614"/>
      <c r="U29" s="2614"/>
    </row>
    <row r="30" spans="1:22" s="2602" customFormat="1" ht="24" customHeight="1">
      <c r="A30" s="3474">
        <v>3</v>
      </c>
      <c r="B30" s="3501" t="s">
        <v>928</v>
      </c>
      <c r="C30" s="3502"/>
      <c r="D30" s="3506"/>
      <c r="E30" s="3474"/>
      <c r="F30" s="3502"/>
      <c r="G30" s="3474"/>
      <c r="H30" s="3502"/>
      <c r="I30" s="3474"/>
      <c r="J30" s="3502"/>
      <c r="K30" s="3502"/>
      <c r="L30" s="3502"/>
      <c r="M30" s="3556"/>
      <c r="N30" s="3502"/>
      <c r="O30" s="3288">
        <f>O31+O33</f>
        <v>995.30666666699994</v>
      </c>
      <c r="P30" s="3505"/>
      <c r="Q30" s="2340"/>
      <c r="R30" s="2614">
        <f>O11+O47+O51</f>
        <v>6096.9466666670005</v>
      </c>
      <c r="S30" s="2614"/>
      <c r="T30" s="2614"/>
      <c r="U30" s="2614"/>
    </row>
    <row r="31" spans="1:22" s="2602" customFormat="1" ht="24" customHeight="1">
      <c r="A31" s="4607" t="s">
        <v>889</v>
      </c>
      <c r="B31" s="4479" t="s">
        <v>1803</v>
      </c>
      <c r="C31" s="4481" t="s">
        <v>1742</v>
      </c>
      <c r="D31" s="4612">
        <v>625</v>
      </c>
      <c r="E31" s="3474">
        <v>9</v>
      </c>
      <c r="F31" s="3502">
        <v>6200</v>
      </c>
      <c r="G31" s="3474">
        <v>11</v>
      </c>
      <c r="H31" s="3502">
        <v>53000</v>
      </c>
      <c r="I31" s="3474">
        <v>14</v>
      </c>
      <c r="J31" s="3502">
        <v>136250</v>
      </c>
      <c r="K31" s="3474" t="s">
        <v>1099</v>
      </c>
      <c r="L31" s="3502">
        <v>89400</v>
      </c>
      <c r="M31" s="4477">
        <f>L31+J31+J32+H32+H31+F31+F32</f>
        <v>576650</v>
      </c>
      <c r="N31" s="4607">
        <v>1</v>
      </c>
      <c r="O31" s="4498">
        <f>ROUND((M31/D31)*N31,9)</f>
        <v>922.64</v>
      </c>
      <c r="P31" s="4609"/>
      <c r="Q31" s="2340"/>
      <c r="R31" s="2614"/>
      <c r="S31" s="2614"/>
      <c r="T31" s="2614"/>
      <c r="U31" s="2614"/>
    </row>
    <row r="32" spans="1:22" s="2602" customFormat="1" ht="24" customHeight="1">
      <c r="A32" s="4608"/>
      <c r="B32" s="4480"/>
      <c r="C32" s="4482"/>
      <c r="D32" s="4614"/>
      <c r="E32" s="3474" t="s">
        <v>208</v>
      </c>
      <c r="F32" s="3502">
        <v>205850</v>
      </c>
      <c r="G32" s="3474" t="s">
        <v>1102</v>
      </c>
      <c r="H32" s="3502">
        <v>67400</v>
      </c>
      <c r="I32" s="3474" t="s">
        <v>1100</v>
      </c>
      <c r="J32" s="3502">
        <v>18550</v>
      </c>
      <c r="K32" s="3474"/>
      <c r="L32" s="3502"/>
      <c r="M32" s="4478"/>
      <c r="N32" s="4608"/>
      <c r="O32" s="4499" t="e">
        <f>ROUND((M32/D32)*N32,9)</f>
        <v>#DIV/0!</v>
      </c>
      <c r="P32" s="4610"/>
      <c r="Q32" s="2340"/>
      <c r="R32" s="2614"/>
      <c r="S32" s="2614"/>
      <c r="T32" s="2614"/>
      <c r="U32" s="2614"/>
    </row>
    <row r="33" spans="1:22" s="2602" customFormat="1" ht="24" customHeight="1">
      <c r="A33" s="3502" t="s">
        <v>970</v>
      </c>
      <c r="B33" s="3557" t="s">
        <v>1805</v>
      </c>
      <c r="C33" s="3558" t="s">
        <v>1806</v>
      </c>
      <c r="D33" s="3609">
        <f>1/60</f>
        <v>1.6666666666666666E-2</v>
      </c>
      <c r="E33" s="3474" t="s">
        <v>1101</v>
      </c>
      <c r="F33" s="3610">
        <f>12111.1111111111/10000</f>
        <v>1.2111111111111101</v>
      </c>
      <c r="G33" s="3474"/>
      <c r="H33" s="3502"/>
      <c r="I33" s="3474"/>
      <c r="J33" s="3502"/>
      <c r="K33" s="3474"/>
      <c r="L33" s="3502"/>
      <c r="M33" s="3610">
        <f>F33</f>
        <v>1.2111111111111101</v>
      </c>
      <c r="N33" s="3502">
        <v>1</v>
      </c>
      <c r="O33" s="3559">
        <f>ROUND((M33/D33)*N33,9)</f>
        <v>72.666666667000001</v>
      </c>
      <c r="P33" s="3505"/>
      <c r="Q33" s="2340"/>
      <c r="R33" s="2614"/>
      <c r="S33" s="2614"/>
      <c r="T33" s="2614"/>
      <c r="U33" s="2614"/>
    </row>
    <row r="34" spans="1:22" s="2602" customFormat="1" ht="21.75" customHeight="1">
      <c r="A34" s="3474"/>
      <c r="B34" s="3501" t="s">
        <v>322</v>
      </c>
      <c r="C34" s="3502"/>
      <c r="D34" s="3503"/>
      <c r="E34" s="3474"/>
      <c r="F34" s="3502"/>
      <c r="G34" s="3474"/>
      <c r="H34" s="3502"/>
      <c r="I34" s="3474"/>
      <c r="J34" s="3502"/>
      <c r="K34" s="3502"/>
      <c r="L34" s="3502"/>
      <c r="M34" s="3504"/>
      <c r="N34" s="3502"/>
      <c r="O34" s="3288">
        <f>O35</f>
        <v>705.253333333</v>
      </c>
      <c r="P34" s="3505"/>
      <c r="Q34" s="2340"/>
      <c r="R34" s="2614"/>
      <c r="S34" s="2614"/>
      <c r="T34" s="2614"/>
      <c r="U34" s="2614"/>
    </row>
    <row r="35" spans="1:22" s="2602" customFormat="1" ht="22.5" customHeight="1">
      <c r="A35" s="3474">
        <v>1</v>
      </c>
      <c r="B35" s="3501" t="s">
        <v>824</v>
      </c>
      <c r="C35" s="3502"/>
      <c r="D35" s="3503"/>
      <c r="E35" s="3502"/>
      <c r="F35" s="3502"/>
      <c r="G35" s="3502"/>
      <c r="H35" s="3502"/>
      <c r="I35" s="3502"/>
      <c r="J35" s="3502"/>
      <c r="K35" s="3502"/>
      <c r="L35" s="3502"/>
      <c r="M35" s="3504"/>
      <c r="N35" s="3502"/>
      <c r="O35" s="3288">
        <f>O36+O39</f>
        <v>705.253333333</v>
      </c>
      <c r="P35" s="3505"/>
      <c r="Q35" s="2340"/>
      <c r="R35" s="2614"/>
      <c r="S35" s="2614"/>
      <c r="T35" s="2614"/>
      <c r="U35" s="2614"/>
    </row>
    <row r="36" spans="1:22" s="3473" customFormat="1" ht="27" customHeight="1">
      <c r="A36" s="4607" t="s">
        <v>837</v>
      </c>
      <c r="B36" s="4479" t="s">
        <v>1803</v>
      </c>
      <c r="C36" s="4481" t="s">
        <v>1742</v>
      </c>
      <c r="D36" s="4612">
        <v>625</v>
      </c>
      <c r="E36" s="3474">
        <v>7</v>
      </c>
      <c r="F36" s="3556">
        <v>4750</v>
      </c>
      <c r="G36" s="3474" t="s">
        <v>159</v>
      </c>
      <c r="H36" s="3556">
        <v>100150</v>
      </c>
      <c r="I36" s="3474" t="s">
        <v>159</v>
      </c>
      <c r="J36" s="3502">
        <v>2500</v>
      </c>
      <c r="K36" s="3474" t="s">
        <v>159</v>
      </c>
      <c r="L36" s="3502">
        <v>33150</v>
      </c>
      <c r="M36" s="4477">
        <f>L37+L36+J36+J37+H36+H37+H38+F36+F37+F38</f>
        <v>407200</v>
      </c>
      <c r="N36" s="4607">
        <v>1</v>
      </c>
      <c r="O36" s="4498">
        <f>ROUND((M36/D36)*N36,9)</f>
        <v>651.52</v>
      </c>
      <c r="P36" s="4609"/>
      <c r="Q36" s="3507"/>
      <c r="R36" s="3472"/>
      <c r="S36" s="3472"/>
      <c r="T36" s="3472"/>
      <c r="U36" s="3472"/>
    </row>
    <row r="37" spans="1:22" s="2602" customFormat="1" ht="27" customHeight="1">
      <c r="A37" s="4611"/>
      <c r="B37" s="4493"/>
      <c r="C37" s="4494"/>
      <c r="D37" s="4613"/>
      <c r="E37" s="3474" t="s">
        <v>1085</v>
      </c>
      <c r="F37" s="3556">
        <v>55550</v>
      </c>
      <c r="G37" s="3474" t="s">
        <v>158</v>
      </c>
      <c r="H37" s="3556">
        <v>62850</v>
      </c>
      <c r="I37" s="3474" t="s">
        <v>1086</v>
      </c>
      <c r="J37" s="3502">
        <v>19750</v>
      </c>
      <c r="K37" s="3474" t="s">
        <v>206</v>
      </c>
      <c r="L37" s="3502">
        <v>44300</v>
      </c>
      <c r="M37" s="4492"/>
      <c r="N37" s="4611"/>
      <c r="O37" s="4500"/>
      <c r="P37" s="4615"/>
      <c r="Q37" s="2340"/>
      <c r="R37" s="2614"/>
      <c r="S37" s="2614"/>
      <c r="T37" s="2614"/>
      <c r="U37" s="2614"/>
    </row>
    <row r="38" spans="1:22" s="2602" customFormat="1" ht="27" customHeight="1">
      <c r="A38" s="4608"/>
      <c r="B38" s="4480"/>
      <c r="C38" s="4482"/>
      <c r="D38" s="4614"/>
      <c r="E38" s="3474" t="s">
        <v>1087</v>
      </c>
      <c r="F38" s="3556">
        <v>6600</v>
      </c>
      <c r="G38" s="3474" t="s">
        <v>1076</v>
      </c>
      <c r="H38" s="3556">
        <v>77600</v>
      </c>
      <c r="I38" s="3502"/>
      <c r="J38" s="3502"/>
      <c r="K38" s="3502"/>
      <c r="L38" s="3502"/>
      <c r="M38" s="4478"/>
      <c r="N38" s="4608"/>
      <c r="O38" s="4499"/>
      <c r="P38" s="4610"/>
      <c r="Q38" s="2340"/>
      <c r="R38" s="2614"/>
      <c r="S38" s="2614"/>
      <c r="T38" s="2614"/>
      <c r="U38" s="2614"/>
    </row>
    <row r="39" spans="1:22" s="2602" customFormat="1" ht="27" customHeight="1">
      <c r="A39" s="3502" t="s">
        <v>838</v>
      </c>
      <c r="B39" s="3557" t="s">
        <v>1805</v>
      </c>
      <c r="C39" s="3558" t="s">
        <v>1806</v>
      </c>
      <c r="D39" s="3609">
        <f>1/60</f>
        <v>1.6666666666666666E-2</v>
      </c>
      <c r="E39" s="3474">
        <v>6</v>
      </c>
      <c r="F39" s="3610">
        <f>8955.55555555556/10000</f>
        <v>0.89555555555555599</v>
      </c>
      <c r="G39" s="3474"/>
      <c r="H39" s="3556"/>
      <c r="I39" s="3502"/>
      <c r="J39" s="3502"/>
      <c r="K39" s="3502"/>
      <c r="L39" s="3502"/>
      <c r="M39" s="3610">
        <f>F39</f>
        <v>0.89555555555555599</v>
      </c>
      <c r="N39" s="3502">
        <v>1</v>
      </c>
      <c r="O39" s="3559">
        <f>ROUND((M39/D39)*N39,9)</f>
        <v>53.733333332999997</v>
      </c>
      <c r="P39" s="3505"/>
      <c r="Q39" s="2340"/>
      <c r="R39" s="2614"/>
      <c r="S39" s="2614"/>
      <c r="T39" s="2614"/>
      <c r="U39" s="2614"/>
    </row>
    <row r="40" spans="1:22" s="2602" customFormat="1" ht="27" customHeight="1">
      <c r="A40" s="3502"/>
      <c r="B40" s="3501" t="s">
        <v>371</v>
      </c>
      <c r="C40" s="3558"/>
      <c r="D40" s="3506"/>
      <c r="E40" s="3474"/>
      <c r="F40" s="3556"/>
      <c r="G40" s="3474"/>
      <c r="H40" s="3556"/>
      <c r="I40" s="3502"/>
      <c r="J40" s="3502"/>
      <c r="K40" s="3502"/>
      <c r="L40" s="3502"/>
      <c r="M40" s="3556"/>
      <c r="N40" s="3502"/>
      <c r="O40" s="3288">
        <f>O41</f>
        <v>1839.6266666669999</v>
      </c>
      <c r="P40" s="3505"/>
      <c r="Q40" s="2340"/>
      <c r="R40" s="2614"/>
      <c r="S40" s="2614"/>
      <c r="T40" s="2614"/>
      <c r="U40" s="2614"/>
    </row>
    <row r="41" spans="1:22" s="2602" customFormat="1" ht="27" customHeight="1">
      <c r="A41" s="3502">
        <v>1</v>
      </c>
      <c r="B41" s="3501" t="s">
        <v>824</v>
      </c>
      <c r="C41" s="3558"/>
      <c r="D41" s="3506"/>
      <c r="E41" s="3474"/>
      <c r="F41" s="3556"/>
      <c r="G41" s="3474"/>
      <c r="H41" s="3556"/>
      <c r="I41" s="3502"/>
      <c r="J41" s="3502"/>
      <c r="K41" s="3502"/>
      <c r="L41" s="3502"/>
      <c r="M41" s="3556"/>
      <c r="N41" s="3502"/>
      <c r="O41" s="3288">
        <f>O42+O45</f>
        <v>1839.6266666669999</v>
      </c>
      <c r="P41" s="3505"/>
      <c r="Q41" s="2340"/>
      <c r="R41" s="2614"/>
      <c r="S41" s="2614"/>
      <c r="T41" s="2614"/>
      <c r="U41" s="2614"/>
    </row>
    <row r="42" spans="1:22" s="2602" customFormat="1" ht="27" customHeight="1">
      <c r="A42" s="4607" t="s">
        <v>837</v>
      </c>
      <c r="B42" s="4479" t="s">
        <v>1803</v>
      </c>
      <c r="C42" s="4481" t="s">
        <v>1742</v>
      </c>
      <c r="D42" s="4612">
        <v>625</v>
      </c>
      <c r="E42" s="3474" t="s">
        <v>1088</v>
      </c>
      <c r="F42" s="3556">
        <v>5950</v>
      </c>
      <c r="G42" s="3474" t="s">
        <v>1090</v>
      </c>
      <c r="H42" s="3556">
        <v>40050</v>
      </c>
      <c r="I42" s="3474" t="s">
        <v>1092</v>
      </c>
      <c r="J42" s="3502">
        <v>32400.000000000004</v>
      </c>
      <c r="K42" s="3474" t="s">
        <v>1089</v>
      </c>
      <c r="L42" s="3502">
        <v>66700</v>
      </c>
      <c r="M42" s="4477">
        <f>L43+L42+J42+J43+H42+H43+F42+F43+F44</f>
        <v>480350</v>
      </c>
      <c r="N42" s="4607">
        <v>1</v>
      </c>
      <c r="O42" s="4498">
        <f>ROUND((M42/D42)*N42,9)</f>
        <v>768.56</v>
      </c>
      <c r="P42" s="3505"/>
      <c r="Q42" s="2340"/>
      <c r="R42" s="2614"/>
      <c r="S42" s="2614"/>
      <c r="T42" s="2614"/>
      <c r="U42" s="2614"/>
    </row>
    <row r="43" spans="1:22" s="2602" customFormat="1" ht="27" customHeight="1">
      <c r="A43" s="4611"/>
      <c r="B43" s="4493"/>
      <c r="C43" s="4494"/>
      <c r="D43" s="4613"/>
      <c r="E43" s="3474" t="s">
        <v>1089</v>
      </c>
      <c r="F43" s="3556">
        <v>6050</v>
      </c>
      <c r="G43" s="3474" t="s">
        <v>1091</v>
      </c>
      <c r="H43" s="3556">
        <v>55450</v>
      </c>
      <c r="I43" s="3474" t="s">
        <v>1093</v>
      </c>
      <c r="J43" s="3502">
        <v>55599.999999999993</v>
      </c>
      <c r="K43" s="3474" t="s">
        <v>1095</v>
      </c>
      <c r="L43" s="3502">
        <v>113050</v>
      </c>
      <c r="M43" s="4492"/>
      <c r="N43" s="4611"/>
      <c r="O43" s="4500"/>
      <c r="P43" s="3505"/>
      <c r="Q43" s="2340"/>
      <c r="R43" s="2614"/>
      <c r="S43" s="2614"/>
      <c r="T43" s="2614"/>
      <c r="U43" s="2614"/>
    </row>
    <row r="44" spans="1:22" s="2602" customFormat="1" ht="27" customHeight="1">
      <c r="A44" s="4608"/>
      <c r="B44" s="4480"/>
      <c r="C44" s="4482"/>
      <c r="D44" s="4614"/>
      <c r="E44" s="3474" t="s">
        <v>1094</v>
      </c>
      <c r="F44" s="3556">
        <v>105100</v>
      </c>
      <c r="G44" s="3474"/>
      <c r="H44" s="3556"/>
      <c r="I44" s="3502"/>
      <c r="J44" s="3502"/>
      <c r="K44" s="3502"/>
      <c r="L44" s="3502"/>
      <c r="M44" s="4478"/>
      <c r="N44" s="4608"/>
      <c r="O44" s="4499"/>
      <c r="P44" s="3505"/>
      <c r="Q44" s="2340"/>
      <c r="R44" s="2614"/>
      <c r="S44" s="2614"/>
      <c r="T44" s="2614"/>
      <c r="U44" s="2614"/>
    </row>
    <row r="45" spans="1:22" s="2602" customFormat="1" ht="27" customHeight="1">
      <c r="A45" s="4607" t="s">
        <v>838</v>
      </c>
      <c r="B45" s="4479" t="s">
        <v>1805</v>
      </c>
      <c r="C45" s="4481" t="s">
        <v>1806</v>
      </c>
      <c r="D45" s="4616">
        <f t="shared" ref="D45:D46" si="0">1/60</f>
        <v>1.6666666666666666E-2</v>
      </c>
      <c r="E45" s="3474" t="s">
        <v>1090</v>
      </c>
      <c r="F45" s="3610">
        <f>17800/10000</f>
        <v>1.78</v>
      </c>
      <c r="G45" s="3474" t="s">
        <v>1092</v>
      </c>
      <c r="H45" s="3610">
        <f>14400/10000</f>
        <v>1.44</v>
      </c>
      <c r="I45" s="3474" t="s">
        <v>1091</v>
      </c>
      <c r="J45" s="3610">
        <f>24644.4444444444/10000</f>
        <v>2.4644444444444402</v>
      </c>
      <c r="K45" s="3474" t="s">
        <v>1093</v>
      </c>
      <c r="L45" s="3610">
        <f>24711.1111111111/10000</f>
        <v>2.4711111111111097</v>
      </c>
      <c r="M45" s="4618">
        <f>L45+J45+H45+H46+F46+F45</f>
        <v>17.851111111111102</v>
      </c>
      <c r="N45" s="4607">
        <v>1</v>
      </c>
      <c r="O45" s="4498">
        <f>ROUND((M45/D45)*N45,9)</f>
        <v>1071.0666666669999</v>
      </c>
      <c r="P45" s="3505"/>
      <c r="Q45" s="2340"/>
      <c r="R45" s="2614"/>
      <c r="S45" s="2614"/>
      <c r="T45" s="2614"/>
      <c r="U45" s="2614"/>
    </row>
    <row r="46" spans="1:22" s="2602" customFormat="1" ht="27" customHeight="1">
      <c r="A46" s="4608"/>
      <c r="B46" s="4480"/>
      <c r="C46" s="4482"/>
      <c r="D46" s="4617">
        <f t="shared" si="0"/>
        <v>1.6666666666666666E-2</v>
      </c>
      <c r="E46" s="3474" t="s">
        <v>1095</v>
      </c>
      <c r="F46" s="3610">
        <f>50244.4444444444/10000</f>
        <v>5.0244444444444403</v>
      </c>
      <c r="G46" s="3474" t="s">
        <v>1094</v>
      </c>
      <c r="H46" s="3610">
        <f>46711.1111111111/10000</f>
        <v>4.6711111111111103</v>
      </c>
      <c r="I46" s="3502"/>
      <c r="J46" s="3502"/>
      <c r="K46" s="3502"/>
      <c r="L46" s="3502"/>
      <c r="M46" s="4619"/>
      <c r="N46" s="4608"/>
      <c r="O46" s="4499">
        <f>ROUND((M46/D46)*N46,9)</f>
        <v>0</v>
      </c>
      <c r="P46" s="3505"/>
      <c r="Q46" s="2340"/>
      <c r="R46" s="2614"/>
      <c r="S46" s="2614"/>
      <c r="T46" s="2614"/>
      <c r="U46" s="2614"/>
    </row>
    <row r="47" spans="1:22" ht="21.75" customHeight="1">
      <c r="A47" s="3287" t="s">
        <v>92</v>
      </c>
      <c r="B47" s="3290" t="s">
        <v>930</v>
      </c>
      <c r="C47" s="3508"/>
      <c r="D47" s="3509"/>
      <c r="E47" s="3510"/>
      <c r="F47" s="3511"/>
      <c r="G47" s="3510"/>
      <c r="H47" s="3511"/>
      <c r="I47" s="3512"/>
      <c r="J47" s="3513"/>
      <c r="K47" s="3512"/>
      <c r="L47" s="3514"/>
      <c r="M47" s="3515"/>
      <c r="N47" s="3513"/>
      <c r="O47" s="3516">
        <f>O48+O50</f>
        <v>437.56</v>
      </c>
      <c r="P47" s="3288"/>
      <c r="Q47" s="2343"/>
      <c r="R47" s="2589"/>
      <c r="S47" s="2353"/>
      <c r="T47" s="2353"/>
      <c r="U47" s="3282"/>
      <c r="V47" s="3282"/>
    </row>
    <row r="48" spans="1:22" ht="21.75" customHeight="1">
      <c r="A48" s="4477">
        <v>1</v>
      </c>
      <c r="B48" s="4622" t="s">
        <v>1803</v>
      </c>
      <c r="C48" s="4624" t="s">
        <v>1804</v>
      </c>
      <c r="D48" s="4626">
        <v>625</v>
      </c>
      <c r="E48" s="3512">
        <v>8</v>
      </c>
      <c r="F48" s="3513">
        <v>23250</v>
      </c>
      <c r="G48" s="3512" t="s">
        <v>1057</v>
      </c>
      <c r="H48" s="3513">
        <v>32550</v>
      </c>
      <c r="I48" s="3512" t="s">
        <v>1074</v>
      </c>
      <c r="J48" s="3513">
        <v>38300</v>
      </c>
      <c r="K48" s="3512" t="s">
        <v>159</v>
      </c>
      <c r="L48" s="3611">
        <v>5300</v>
      </c>
      <c r="M48" s="4620">
        <f>L48+J48+J49+H49+H48+F48+F49</f>
        <v>210850</v>
      </c>
      <c r="N48" s="4620">
        <v>1</v>
      </c>
      <c r="O48" s="4498">
        <f>ROUND((M48/D48)*N48,9)</f>
        <v>337.36</v>
      </c>
      <c r="P48" s="3288"/>
      <c r="Q48" s="2343"/>
      <c r="R48" s="2589"/>
      <c r="S48" s="2353"/>
      <c r="T48" s="2353"/>
      <c r="U48" s="3282"/>
      <c r="V48" s="3282"/>
    </row>
    <row r="49" spans="1:22" ht="21.75" customHeight="1">
      <c r="A49" s="4478"/>
      <c r="B49" s="4623"/>
      <c r="C49" s="4625"/>
      <c r="D49" s="4627"/>
      <c r="E49" s="3512" t="s">
        <v>159</v>
      </c>
      <c r="F49" s="3513">
        <v>8350</v>
      </c>
      <c r="G49" s="3512" t="s">
        <v>160</v>
      </c>
      <c r="H49" s="3513">
        <v>60900</v>
      </c>
      <c r="I49" s="3512" t="s">
        <v>1228</v>
      </c>
      <c r="J49" s="3513">
        <v>42200</v>
      </c>
      <c r="K49" s="3512"/>
      <c r="L49" s="3514"/>
      <c r="M49" s="4621"/>
      <c r="N49" s="4621"/>
      <c r="O49" s="4499" t="e">
        <f>ROUND((M49/D49)*N49,9)</f>
        <v>#DIV/0!</v>
      </c>
      <c r="P49" s="3288"/>
      <c r="Q49" s="2343"/>
      <c r="R49" s="2589"/>
      <c r="S49" s="2353"/>
      <c r="T49" s="2353"/>
      <c r="U49" s="3282"/>
      <c r="V49" s="3282"/>
    </row>
    <row r="50" spans="1:22" ht="21.75" customHeight="1">
      <c r="A50" s="3556">
        <v>2</v>
      </c>
      <c r="B50" s="3557" t="s">
        <v>1805</v>
      </c>
      <c r="C50" s="3558" t="s">
        <v>1806</v>
      </c>
      <c r="D50" s="3609">
        <f>1/60</f>
        <v>1.6666666666666666E-2</v>
      </c>
      <c r="E50" s="3512" t="s">
        <v>159</v>
      </c>
      <c r="F50" s="3612">
        <f>16700/10000</f>
        <v>1.67</v>
      </c>
      <c r="G50" s="3510"/>
      <c r="H50" s="3511"/>
      <c r="I50" s="3512"/>
      <c r="J50" s="3513"/>
      <c r="K50" s="3512"/>
      <c r="L50" s="3514"/>
      <c r="M50" s="3612">
        <f>F50</f>
        <v>1.67</v>
      </c>
      <c r="N50" s="3513">
        <v>1</v>
      </c>
      <c r="O50" s="3559">
        <f>ROUND((M50/D50)*N50,9)</f>
        <v>100.2</v>
      </c>
      <c r="P50" s="3288"/>
      <c r="Q50" s="2343"/>
      <c r="R50" s="2589"/>
      <c r="S50" s="2353"/>
      <c r="T50" s="2353"/>
      <c r="U50" s="3282"/>
      <c r="V50" s="3282"/>
    </row>
    <row r="51" spans="1:22" ht="27" customHeight="1">
      <c r="A51" s="3570" t="s">
        <v>53</v>
      </c>
      <c r="B51" s="1790" t="s">
        <v>825</v>
      </c>
      <c r="C51" s="3477"/>
      <c r="D51" s="3478"/>
      <c r="E51" s="3570"/>
      <c r="F51" s="3570"/>
      <c r="G51" s="3570"/>
      <c r="H51" s="3570"/>
      <c r="I51" s="3570"/>
      <c r="J51" s="3570"/>
      <c r="K51" s="3517"/>
      <c r="L51" s="3573"/>
      <c r="M51" s="3481"/>
      <c r="N51" s="3479"/>
      <c r="O51" s="3482">
        <f>SUM(O52:O53)</f>
        <v>1456</v>
      </c>
      <c r="P51" s="1817"/>
      <c r="Q51" s="2335"/>
      <c r="R51" s="2353"/>
      <c r="S51" s="2353"/>
      <c r="T51" s="1760"/>
    </row>
    <row r="52" spans="1:22" ht="23.25" customHeight="1">
      <c r="A52" s="3567">
        <v>1</v>
      </c>
      <c r="B52" s="1818" t="s">
        <v>826</v>
      </c>
      <c r="C52" s="3488" t="s">
        <v>362</v>
      </c>
      <c r="D52" s="3518"/>
      <c r="E52" s="4595" t="s">
        <v>1229</v>
      </c>
      <c r="F52" s="4596"/>
      <c r="G52" s="4596"/>
      <c r="H52" s="4596"/>
      <c r="I52" s="4596"/>
      <c r="J52" s="4596"/>
      <c r="K52" s="4596"/>
      <c r="L52" s="4597"/>
      <c r="M52" s="3519"/>
      <c r="N52" s="2917"/>
      <c r="O52" s="3520">
        <f>4*2600000/25000</f>
        <v>416</v>
      </c>
      <c r="P52" s="1824"/>
      <c r="Q52" s="2357"/>
      <c r="R52" s="2353"/>
      <c r="S52" s="2353"/>
      <c r="T52" s="1760"/>
      <c r="U52" s="1760"/>
    </row>
    <row r="53" spans="1:22" ht="23.25" customHeight="1">
      <c r="A53" s="3555">
        <v>2</v>
      </c>
      <c r="B53" s="3565" t="s">
        <v>1743</v>
      </c>
      <c r="C53" s="3488" t="s">
        <v>362</v>
      </c>
      <c r="D53" s="3521"/>
      <c r="E53" s="4595" t="s">
        <v>1744</v>
      </c>
      <c r="F53" s="4596"/>
      <c r="G53" s="4596"/>
      <c r="H53" s="4596"/>
      <c r="I53" s="4596"/>
      <c r="J53" s="4596"/>
      <c r="K53" s="4596"/>
      <c r="L53" s="4597"/>
      <c r="M53" s="3522"/>
      <c r="N53" s="3523"/>
      <c r="O53" s="3520">
        <f>10*2600000/25000</f>
        <v>1040</v>
      </c>
      <c r="P53" s="2391"/>
      <c r="Q53" s="2357"/>
      <c r="R53" s="2353"/>
      <c r="S53" s="2353"/>
      <c r="T53" s="1760"/>
      <c r="U53" s="1760"/>
    </row>
    <row r="54" spans="1:22" ht="21.75" customHeight="1">
      <c r="A54" s="4473" t="s">
        <v>1230</v>
      </c>
      <c r="B54" s="4473"/>
      <c r="C54" s="4473"/>
      <c r="D54" s="3524"/>
      <c r="E54" s="1829"/>
      <c r="F54" s="1829"/>
      <c r="G54" s="1829"/>
      <c r="H54" s="1829"/>
      <c r="I54" s="1829"/>
      <c r="J54" s="1829"/>
      <c r="K54" s="1829"/>
      <c r="L54" s="3525"/>
      <c r="M54" s="3526"/>
      <c r="N54" s="1829"/>
      <c r="O54" s="3527">
        <f>O11+O51+O47</f>
        <v>6096.9466666670005</v>
      </c>
      <c r="P54" s="1829"/>
      <c r="Q54" s="2336"/>
      <c r="R54" s="2353"/>
      <c r="S54" s="2353"/>
      <c r="T54" s="1760"/>
      <c r="U54" s="1760"/>
    </row>
    <row r="55" spans="1:22" ht="20.45" customHeight="1">
      <c r="A55" s="1830"/>
      <c r="B55" s="1831"/>
      <c r="C55" s="1832"/>
      <c r="D55" s="2359"/>
      <c r="E55" s="1834"/>
      <c r="F55" s="1835"/>
      <c r="G55" s="1834"/>
      <c r="H55" s="1835"/>
      <c r="I55" s="3564"/>
      <c r="J55" s="1833"/>
      <c r="K55" s="3564"/>
      <c r="L55" s="4562" t="s">
        <v>1797</v>
      </c>
      <c r="M55" s="4562"/>
      <c r="N55" s="4562"/>
      <c r="O55" s="4562"/>
      <c r="P55" s="4562"/>
      <c r="Q55" s="3566"/>
      <c r="R55" s="2353"/>
      <c r="S55" s="2353"/>
      <c r="T55" s="1760"/>
      <c r="U55" s="1760"/>
    </row>
    <row r="56" spans="1:22" ht="20.45" customHeight="1">
      <c r="A56" s="4475"/>
      <c r="B56" s="4475"/>
      <c r="C56" s="4475"/>
      <c r="D56" s="4475"/>
      <c r="E56" s="4475"/>
      <c r="F56" s="1836"/>
      <c r="G56" s="1836"/>
      <c r="H56" s="4476"/>
      <c r="I56" s="4476"/>
      <c r="J56" s="4476"/>
      <c r="K56" s="3563"/>
      <c r="L56" s="4475" t="s">
        <v>827</v>
      </c>
      <c r="M56" s="4475"/>
      <c r="N56" s="4475"/>
      <c r="O56" s="4475"/>
      <c r="P56" s="4475"/>
      <c r="Q56" s="3562"/>
      <c r="R56" s="1760"/>
      <c r="S56" s="1760"/>
      <c r="T56" s="1760"/>
      <c r="U56" s="1760"/>
    </row>
    <row r="57" spans="1:22" ht="20.45" customHeight="1">
      <c r="A57" s="1837"/>
      <c r="B57" s="1838"/>
      <c r="C57" s="1839"/>
      <c r="D57" s="2361"/>
      <c r="E57" s="1840"/>
      <c r="F57" s="1839"/>
      <c r="G57" s="1841"/>
      <c r="H57" s="1839"/>
      <c r="I57" s="2362"/>
      <c r="J57" s="3560"/>
      <c r="K57" s="2362"/>
      <c r="L57" s="2361"/>
      <c r="M57" s="1842"/>
      <c r="N57" s="1843"/>
      <c r="O57" s="4489"/>
      <c r="P57" s="4489"/>
      <c r="Q57" s="3560"/>
      <c r="R57" s="3291"/>
    </row>
    <row r="58" spans="1:22" ht="20.45" customHeight="1">
      <c r="A58" s="1837"/>
      <c r="B58" s="1838"/>
      <c r="C58" s="1838"/>
      <c r="D58" s="2363"/>
      <c r="E58" s="1844"/>
      <c r="F58" s="1845"/>
      <c r="G58" s="1754"/>
      <c r="H58" s="1845"/>
      <c r="I58" s="2331"/>
      <c r="J58" s="2364"/>
      <c r="K58" s="2365"/>
      <c r="L58" s="2366"/>
      <c r="M58" s="1846"/>
      <c r="N58" s="1845"/>
      <c r="P58" s="1837"/>
      <c r="Q58" s="1837"/>
    </row>
    <row r="59" spans="1:22" ht="20.45" customHeight="1">
      <c r="A59" s="1837"/>
      <c r="B59" s="1838"/>
      <c r="C59" s="1838"/>
      <c r="D59" s="2363"/>
      <c r="E59" s="1844"/>
      <c r="F59" s="1845"/>
      <c r="G59" s="1754"/>
      <c r="H59" s="1845"/>
      <c r="I59" s="2331"/>
      <c r="J59" s="2364"/>
      <c r="K59" s="2365"/>
      <c r="L59" s="2366"/>
      <c r="M59" s="1846"/>
      <c r="N59" s="1845"/>
      <c r="P59" s="1837"/>
      <c r="Q59" s="1837"/>
    </row>
    <row r="60" spans="1:22" ht="17.45" customHeight="1">
      <c r="Q60" s="3561"/>
    </row>
    <row r="61" spans="1:22" ht="27.75" customHeight="1">
      <c r="A61" s="4469" t="s">
        <v>828</v>
      </c>
      <c r="B61" s="4469"/>
      <c r="C61" s="4469"/>
      <c r="D61" s="4469"/>
      <c r="E61" s="4469"/>
      <c r="F61" s="4469"/>
      <c r="G61" s="4469"/>
      <c r="H61" s="4469"/>
      <c r="I61" s="4469"/>
      <c r="J61" s="4469"/>
      <c r="K61" s="4469"/>
      <c r="L61" s="4469"/>
      <c r="M61" s="4469"/>
      <c r="N61" s="4469"/>
      <c r="O61" s="4469"/>
      <c r="P61" s="4469"/>
      <c r="Q61" s="3552"/>
    </row>
    <row r="62" spans="1:22" ht="27.75" customHeight="1">
      <c r="A62" s="4464" t="s">
        <v>1232</v>
      </c>
      <c r="B62" s="4464"/>
      <c r="C62" s="4464"/>
      <c r="D62" s="4464"/>
      <c r="E62" s="4464"/>
      <c r="F62" s="4464"/>
      <c r="G62" s="4464"/>
      <c r="H62" s="4464"/>
      <c r="I62" s="4464"/>
      <c r="J62" s="4464"/>
      <c r="K62" s="4464"/>
      <c r="L62" s="4464"/>
      <c r="M62" s="4464"/>
      <c r="N62" s="4464"/>
      <c r="O62" s="4464"/>
      <c r="P62" s="4464"/>
    </row>
    <row r="63" spans="1:22" ht="27.75" customHeight="1"/>
    <row r="64" spans="1:22" ht="27.75" customHeight="1">
      <c r="N64" s="1851"/>
    </row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27.75" customHeight="1"/>
    <row r="92" ht="27.75" customHeight="1"/>
    <row r="93" ht="27.75" customHeight="1"/>
    <row r="94" ht="27.75" customHeight="1"/>
    <row r="99" ht="10.5" customHeight="1"/>
    <row r="100" ht="10.5" customHeight="1"/>
    <row r="101" ht="10.5" customHeight="1"/>
    <row r="102" ht="10.5" customHeight="1"/>
    <row r="103" ht="10.5" customHeight="1"/>
    <row r="104" ht="6" customHeight="1"/>
  </sheetData>
  <mergeCells count="85">
    <mergeCell ref="A61:P61"/>
    <mergeCell ref="A62:P62"/>
    <mergeCell ref="L55:P55"/>
    <mergeCell ref="A56:E56"/>
    <mergeCell ref="H56:J56"/>
    <mergeCell ref="L56:P56"/>
    <mergeCell ref="O57:P57"/>
    <mergeCell ref="N48:N49"/>
    <mergeCell ref="O48:O49"/>
    <mergeCell ref="E52:L52"/>
    <mergeCell ref="E53:L53"/>
    <mergeCell ref="A54:C54"/>
    <mergeCell ref="A48:A49"/>
    <mergeCell ref="B48:B49"/>
    <mergeCell ref="C48:C49"/>
    <mergeCell ref="D48:D49"/>
    <mergeCell ref="M48:M49"/>
    <mergeCell ref="N42:N44"/>
    <mergeCell ref="O42:O44"/>
    <mergeCell ref="A45:A46"/>
    <mergeCell ref="B45:B46"/>
    <mergeCell ref="C45:C46"/>
    <mergeCell ref="D45:D46"/>
    <mergeCell ref="M45:M46"/>
    <mergeCell ref="N45:N46"/>
    <mergeCell ref="O45:O46"/>
    <mergeCell ref="A42:A44"/>
    <mergeCell ref="B42:B44"/>
    <mergeCell ref="C42:C44"/>
    <mergeCell ref="D42:D44"/>
    <mergeCell ref="M42:M44"/>
    <mergeCell ref="O31:O32"/>
    <mergeCell ref="P31:P32"/>
    <mergeCell ref="A36:A38"/>
    <mergeCell ref="B36:B38"/>
    <mergeCell ref="C36:C38"/>
    <mergeCell ref="D36:D38"/>
    <mergeCell ref="M36:M38"/>
    <mergeCell ref="N36:N38"/>
    <mergeCell ref="O36:O38"/>
    <mergeCell ref="P36:P38"/>
    <mergeCell ref="A31:A32"/>
    <mergeCell ref="B31:B32"/>
    <mergeCell ref="C31:C32"/>
    <mergeCell ref="D31:D32"/>
    <mergeCell ref="M31:M32"/>
    <mergeCell ref="N31:N32"/>
    <mergeCell ref="N24:N25"/>
    <mergeCell ref="O24:O25"/>
    <mergeCell ref="P24:P25"/>
    <mergeCell ref="A27:A29"/>
    <mergeCell ref="B27:B29"/>
    <mergeCell ref="C27:C29"/>
    <mergeCell ref="D27:D29"/>
    <mergeCell ref="M27:M29"/>
    <mergeCell ref="N27:N29"/>
    <mergeCell ref="O27:O29"/>
    <mergeCell ref="P27:P29"/>
    <mergeCell ref="A24:A25"/>
    <mergeCell ref="B24:B25"/>
    <mergeCell ref="C24:C25"/>
    <mergeCell ref="D24:D25"/>
    <mergeCell ref="M24:M25"/>
    <mergeCell ref="E16:L16"/>
    <mergeCell ref="E17:L17"/>
    <mergeCell ref="E18:L18"/>
    <mergeCell ref="E19:L19"/>
    <mergeCell ref="E20:L20"/>
    <mergeCell ref="A7:P7"/>
    <mergeCell ref="A8:P8"/>
    <mergeCell ref="A9:A10"/>
    <mergeCell ref="B9:B10"/>
    <mergeCell ref="C9:C10"/>
    <mergeCell ref="D9:D10"/>
    <mergeCell ref="E9:M9"/>
    <mergeCell ref="N9:N10"/>
    <mergeCell ref="O9:O10"/>
    <mergeCell ref="P9:P10"/>
    <mergeCell ref="A5:F5"/>
    <mergeCell ref="G5:P5"/>
    <mergeCell ref="A1:P1"/>
    <mergeCell ref="A2:P2"/>
    <mergeCell ref="A3:P3"/>
    <mergeCell ref="A4:F4"/>
    <mergeCell ref="G4:P4"/>
  </mergeCells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58"/>
  <sheetViews>
    <sheetView topLeftCell="A22" workbookViewId="0">
      <selection activeCell="M55" sqref="M55"/>
    </sheetView>
  </sheetViews>
  <sheetFormatPr defaultRowHeight="14.25"/>
  <cols>
    <col min="1" max="1" width="5.125" customWidth="1"/>
    <col min="2" max="2" width="10.625" style="1716" customWidth="1"/>
    <col min="3" max="3" width="13.875" style="1716" customWidth="1"/>
    <col min="4" max="4" width="5.75" customWidth="1"/>
    <col min="5" max="5" width="4.25" customWidth="1"/>
    <col min="6" max="6" width="5" style="1712" customWidth="1"/>
    <col min="7" max="7" width="4.375" customWidth="1"/>
    <col min="8" max="8" width="5" style="2299" customWidth="1"/>
    <col min="9" max="9" width="7.75" customWidth="1"/>
    <col min="10" max="10" width="5" hidden="1" customWidth="1"/>
    <col min="11" max="11" width="10.375" style="2527" customWidth="1"/>
    <col min="12" max="12" width="7" customWidth="1"/>
  </cols>
  <sheetData>
    <row r="1" spans="1:12" ht="15.75">
      <c r="A1" s="3751" t="s">
        <v>165</v>
      </c>
      <c r="B1" s="3751"/>
      <c r="C1" s="3751"/>
      <c r="D1" s="3751"/>
      <c r="E1" s="3751"/>
      <c r="F1" s="3751"/>
      <c r="G1" s="3751"/>
      <c r="H1" s="3751"/>
      <c r="I1" s="3751"/>
      <c r="J1" s="3751"/>
      <c r="K1" s="3751"/>
      <c r="L1" s="3751"/>
    </row>
    <row r="2" spans="1:12" ht="15.75">
      <c r="A2" s="4130" t="s">
        <v>1015</v>
      </c>
      <c r="B2" s="4130"/>
      <c r="C2" s="4130"/>
      <c r="D2" s="4130"/>
      <c r="E2" s="4130"/>
      <c r="F2" s="4130"/>
      <c r="G2" s="4130"/>
      <c r="H2" s="4130"/>
      <c r="I2" s="4130"/>
      <c r="J2" s="4130"/>
      <c r="K2" s="4130"/>
      <c r="L2" s="4130"/>
    </row>
    <row r="3" spans="1:12" ht="15.75">
      <c r="A3" s="3751" t="s">
        <v>1016</v>
      </c>
      <c r="B3" s="3751"/>
      <c r="C3" s="3751"/>
      <c r="D3" s="3751"/>
      <c r="E3" s="3751"/>
      <c r="F3" s="3751"/>
      <c r="G3" s="3751"/>
      <c r="H3" s="2298"/>
      <c r="I3" s="1712"/>
      <c r="J3" s="1712"/>
      <c r="K3" s="2526"/>
      <c r="L3" s="1712"/>
    </row>
    <row r="4" spans="1:12" ht="15.75">
      <c r="A4" s="4130" t="s">
        <v>541</v>
      </c>
      <c r="B4" s="4130"/>
      <c r="C4" s="4130"/>
      <c r="D4" s="4130"/>
      <c r="E4" s="4130"/>
      <c r="F4" s="4130"/>
      <c r="G4" s="4130"/>
    </row>
    <row r="5" spans="1:12" ht="21.75">
      <c r="G5" s="1717" t="s">
        <v>1017</v>
      </c>
    </row>
    <row r="6" spans="1:12">
      <c r="A6" s="1718"/>
      <c r="B6" s="4630" t="s">
        <v>1323</v>
      </c>
      <c r="C6" s="4630"/>
      <c r="D6" s="4630"/>
      <c r="E6" s="4630"/>
      <c r="F6" s="4630"/>
      <c r="G6" s="4630"/>
      <c r="H6" s="4630"/>
      <c r="I6" s="4630"/>
      <c r="J6" s="4630"/>
      <c r="K6" s="4630"/>
      <c r="L6" s="4630"/>
    </row>
    <row r="7" spans="1:12">
      <c r="A7" s="1718"/>
      <c r="B7" s="1719" t="s">
        <v>1018</v>
      </c>
      <c r="C7" s="1719"/>
      <c r="D7" s="2297"/>
      <c r="E7" s="2297"/>
      <c r="G7" s="1718"/>
      <c r="H7" s="2300"/>
      <c r="I7" s="1718"/>
      <c r="J7" s="1718"/>
      <c r="K7" s="2528"/>
      <c r="L7" s="1718"/>
    </row>
    <row r="8" spans="1:12">
      <c r="A8" s="1718"/>
      <c r="B8" s="1719" t="s">
        <v>1280</v>
      </c>
      <c r="C8" s="1719"/>
      <c r="D8" s="2297"/>
      <c r="E8" s="1718"/>
      <c r="G8" s="1718"/>
      <c r="H8" s="2301" t="s">
        <v>1019</v>
      </c>
      <c r="I8" s="2297"/>
      <c r="J8" s="2297"/>
      <c r="K8" s="2528"/>
      <c r="L8" s="1718"/>
    </row>
    <row r="9" spans="1:12">
      <c r="A9" s="1718"/>
      <c r="B9" s="1719" t="s">
        <v>1035</v>
      </c>
      <c r="C9" s="1719"/>
      <c r="D9" s="2297"/>
      <c r="E9" s="1718"/>
      <c r="G9" s="1718"/>
      <c r="H9" s="2301" t="s">
        <v>1020</v>
      </c>
      <c r="I9" s="2297"/>
      <c r="J9" s="2297"/>
      <c r="K9" s="2528"/>
      <c r="L9" s="1718"/>
    </row>
    <row r="10" spans="1:12">
      <c r="A10" s="1718"/>
      <c r="B10" s="1296" t="s">
        <v>1209</v>
      </c>
      <c r="D10" s="1718"/>
      <c r="E10" s="1718"/>
      <c r="G10" s="1718"/>
      <c r="H10" s="2300"/>
      <c r="I10" s="1718"/>
      <c r="J10" s="1718"/>
      <c r="K10" s="2528"/>
      <c r="L10" s="1718"/>
    </row>
    <row r="11" spans="1:12">
      <c r="A11" s="1718" t="s">
        <v>1022</v>
      </c>
      <c r="D11" s="1718"/>
      <c r="E11" s="1718"/>
      <c r="G11" s="1718"/>
      <c r="H11" s="2300"/>
      <c r="I11" s="1718"/>
      <c r="J11" s="1718"/>
      <c r="K11" s="2528"/>
      <c r="L11" s="1718"/>
    </row>
    <row r="12" spans="1:12" ht="61.5" customHeight="1">
      <c r="A12" s="1724" t="s">
        <v>1</v>
      </c>
      <c r="B12" s="1724" t="s">
        <v>20</v>
      </c>
      <c r="C12" s="1724" t="s">
        <v>1023</v>
      </c>
      <c r="D12" s="1724" t="s">
        <v>810</v>
      </c>
      <c r="E12" s="1724" t="s">
        <v>7</v>
      </c>
      <c r="F12" s="1724" t="s">
        <v>1024</v>
      </c>
      <c r="G12" s="1724" t="s">
        <v>361</v>
      </c>
      <c r="H12" s="2302" t="s">
        <v>47</v>
      </c>
      <c r="I12" s="1724" t="s">
        <v>1025</v>
      </c>
      <c r="J12" s="1724" t="s">
        <v>1026</v>
      </c>
      <c r="K12" s="2529" t="s">
        <v>1027</v>
      </c>
      <c r="L12" s="1727" t="s">
        <v>9</v>
      </c>
    </row>
    <row r="13" spans="1:12" ht="15.75" customHeight="1">
      <c r="A13" s="1728">
        <v>1</v>
      </c>
      <c r="B13" s="1726">
        <v>2</v>
      </c>
      <c r="C13" s="1726">
        <v>3</v>
      </c>
      <c r="D13" s="1728">
        <v>4</v>
      </c>
      <c r="E13" s="1728">
        <v>5</v>
      </c>
      <c r="F13" s="1728">
        <v>6</v>
      </c>
      <c r="G13" s="1728">
        <v>7</v>
      </c>
      <c r="H13" s="1729" t="s">
        <v>1211</v>
      </c>
      <c r="I13" s="1728">
        <v>9</v>
      </c>
      <c r="J13" s="1728">
        <v>9</v>
      </c>
      <c r="K13" s="2530" t="s">
        <v>1029</v>
      </c>
      <c r="L13" s="1730"/>
    </row>
    <row r="14" spans="1:12" ht="12" customHeight="1">
      <c r="A14" s="1731">
        <v>1</v>
      </c>
      <c r="B14" s="2488" t="str">
        <f>'Chấm công công nhân'!L13</f>
        <v>Vắt Đi</v>
      </c>
      <c r="C14" s="2489" t="s">
        <v>1322</v>
      </c>
      <c r="D14" s="4631" t="s">
        <v>1210</v>
      </c>
      <c r="E14" s="2490" t="s">
        <v>1030</v>
      </c>
      <c r="F14" s="2491"/>
      <c r="G14" s="2492">
        <f>25000/187500</f>
        <v>0.13333333333333333</v>
      </c>
      <c r="H14" s="2493">
        <f>F14/G14</f>
        <v>0</v>
      </c>
      <c r="I14" s="2494">
        <v>25000</v>
      </c>
      <c r="J14" s="2490"/>
      <c r="K14" s="2531">
        <f>I14*H14</f>
        <v>0</v>
      </c>
      <c r="L14" s="1730"/>
    </row>
    <row r="15" spans="1:12" ht="12" customHeight="1">
      <c r="A15" s="1731">
        <v>2</v>
      </c>
      <c r="B15" s="2488" t="str">
        <f>'Chấm công công nhân'!L14</f>
        <v>T Ô Vên</v>
      </c>
      <c r="C15" s="2489" t="s">
        <v>1322</v>
      </c>
      <c r="D15" s="4632"/>
      <c r="E15" s="2490" t="s">
        <v>1030</v>
      </c>
      <c r="F15" s="2490"/>
      <c r="G15" s="2492">
        <f t="shared" ref="G15:G49" si="0">25000/187500</f>
        <v>0.13333333333333333</v>
      </c>
      <c r="H15" s="2493">
        <f t="shared" ref="H15:H49" si="1">F15/G15</f>
        <v>0</v>
      </c>
      <c r="I15" s="2494">
        <v>25000</v>
      </c>
      <c r="J15" s="2487"/>
      <c r="K15" s="2531">
        <f t="shared" ref="K15:K49" si="2">I15*H15</f>
        <v>0</v>
      </c>
      <c r="L15" s="1730"/>
    </row>
    <row r="16" spans="1:12" ht="12" customHeight="1">
      <c r="A16" s="1731">
        <v>3</v>
      </c>
      <c r="B16" s="2488" t="str">
        <f>'Chấm công công nhân'!L15</f>
        <v>Nàng Túc</v>
      </c>
      <c r="C16" s="2489" t="s">
        <v>1322</v>
      </c>
      <c r="D16" s="4632"/>
      <c r="E16" s="2490" t="s">
        <v>1030</v>
      </c>
      <c r="F16" s="2490"/>
      <c r="G16" s="2492">
        <f t="shared" si="0"/>
        <v>0.13333333333333333</v>
      </c>
      <c r="H16" s="2493">
        <f t="shared" si="1"/>
        <v>0</v>
      </c>
      <c r="I16" s="2494">
        <v>25000</v>
      </c>
      <c r="J16" s="2487"/>
      <c r="K16" s="2531">
        <f t="shared" si="2"/>
        <v>0</v>
      </c>
      <c r="L16" s="1730"/>
    </row>
    <row r="17" spans="1:12" ht="12" customHeight="1">
      <c r="A17" s="1731">
        <v>4</v>
      </c>
      <c r="B17" s="2488" t="str">
        <f>'Chấm công công nhân'!L16</f>
        <v>Thảo Say</v>
      </c>
      <c r="C17" s="2489" t="s">
        <v>1322</v>
      </c>
      <c r="D17" s="4632"/>
      <c r="E17" s="2490" t="s">
        <v>1030</v>
      </c>
      <c r="F17" s="2490"/>
      <c r="G17" s="2492">
        <f t="shared" si="0"/>
        <v>0.13333333333333333</v>
      </c>
      <c r="H17" s="2493">
        <f t="shared" si="1"/>
        <v>0</v>
      </c>
      <c r="I17" s="2494">
        <v>25000</v>
      </c>
      <c r="J17" s="2487"/>
      <c r="K17" s="2531">
        <f t="shared" si="2"/>
        <v>0</v>
      </c>
      <c r="L17" s="1730"/>
    </row>
    <row r="18" spans="1:12" ht="12" customHeight="1">
      <c r="A18" s="1731">
        <v>5</v>
      </c>
      <c r="B18" s="2488" t="str">
        <f>'Chấm công công nhân'!L17</f>
        <v>Thảo Pheng</v>
      </c>
      <c r="C18" s="2489" t="s">
        <v>1322</v>
      </c>
      <c r="D18" s="4632"/>
      <c r="E18" s="2490" t="s">
        <v>1030</v>
      </c>
      <c r="F18" s="2490"/>
      <c r="G18" s="2492">
        <f t="shared" si="0"/>
        <v>0.13333333333333333</v>
      </c>
      <c r="H18" s="2493">
        <f t="shared" si="1"/>
        <v>0</v>
      </c>
      <c r="I18" s="2494">
        <v>25000</v>
      </c>
      <c r="J18" s="2490"/>
      <c r="K18" s="2531">
        <f t="shared" si="2"/>
        <v>0</v>
      </c>
      <c r="L18" s="1730"/>
    </row>
    <row r="19" spans="1:12" ht="12" customHeight="1">
      <c r="A19" s="1731">
        <v>6</v>
      </c>
      <c r="B19" s="2488" t="str">
        <f>'Chấm công công nhân'!L18</f>
        <v>Nàng Chay</v>
      </c>
      <c r="C19" s="2489" t="s">
        <v>1322</v>
      </c>
      <c r="D19" s="4632"/>
      <c r="E19" s="2490" t="s">
        <v>1030</v>
      </c>
      <c r="F19" s="2490"/>
      <c r="G19" s="2492">
        <f t="shared" si="0"/>
        <v>0.13333333333333333</v>
      </c>
      <c r="H19" s="2493">
        <f t="shared" si="1"/>
        <v>0</v>
      </c>
      <c r="I19" s="2494">
        <v>25000</v>
      </c>
      <c r="J19" s="2490"/>
      <c r="K19" s="2531">
        <f t="shared" si="2"/>
        <v>0</v>
      </c>
      <c r="L19" s="1730"/>
    </row>
    <row r="20" spans="1:12" ht="12" customHeight="1">
      <c r="A20" s="1731">
        <v>7</v>
      </c>
      <c r="B20" s="2488" t="str">
        <f>'Chấm công công nhân'!L19</f>
        <v>Nàng Hđao</v>
      </c>
      <c r="C20" s="2489" t="s">
        <v>1322</v>
      </c>
      <c r="D20" s="4632"/>
      <c r="E20" s="2490" t="s">
        <v>1030</v>
      </c>
      <c r="F20" s="2490"/>
      <c r="G20" s="2492">
        <f t="shared" si="0"/>
        <v>0.13333333333333333</v>
      </c>
      <c r="H20" s="2493">
        <f t="shared" si="1"/>
        <v>0</v>
      </c>
      <c r="I20" s="2494">
        <v>25000</v>
      </c>
      <c r="J20" s="2487"/>
      <c r="K20" s="2531">
        <f t="shared" si="2"/>
        <v>0</v>
      </c>
      <c r="L20" s="1730"/>
    </row>
    <row r="21" spans="1:12" ht="12" customHeight="1">
      <c r="A21" s="1731">
        <v>8</v>
      </c>
      <c r="B21" s="2488" t="str">
        <f>'Chấm công công nhân'!L20</f>
        <v xml:space="preserve">Thảo Ken </v>
      </c>
      <c r="C21" s="2489" t="s">
        <v>1322</v>
      </c>
      <c r="D21" s="4632"/>
      <c r="E21" s="2490" t="s">
        <v>1030</v>
      </c>
      <c r="F21" s="2490"/>
      <c r="G21" s="2492">
        <f t="shared" si="0"/>
        <v>0.13333333333333333</v>
      </c>
      <c r="H21" s="2493">
        <f t="shared" si="1"/>
        <v>0</v>
      </c>
      <c r="I21" s="2494">
        <v>25000</v>
      </c>
      <c r="J21" s="2487"/>
      <c r="K21" s="2531">
        <f t="shared" si="2"/>
        <v>0</v>
      </c>
      <c r="L21" s="1730"/>
    </row>
    <row r="22" spans="1:12" ht="12" customHeight="1">
      <c r="A22" s="1731">
        <v>9</v>
      </c>
      <c r="B22" s="2488" t="str">
        <f>'Chấm công công nhân'!L21</f>
        <v>Thảo Cợt</v>
      </c>
      <c r="C22" s="2489" t="s">
        <v>1322</v>
      </c>
      <c r="D22" s="4632"/>
      <c r="E22" s="2490" t="s">
        <v>1030</v>
      </c>
      <c r="F22" s="2490"/>
      <c r="G22" s="2492">
        <f t="shared" si="0"/>
        <v>0.13333333333333333</v>
      </c>
      <c r="H22" s="2493">
        <f t="shared" si="1"/>
        <v>0</v>
      </c>
      <c r="I22" s="2494">
        <v>25000</v>
      </c>
      <c r="J22" s="2487"/>
      <c r="K22" s="2531">
        <f t="shared" si="2"/>
        <v>0</v>
      </c>
      <c r="L22" s="1730"/>
    </row>
    <row r="23" spans="1:12" ht="12" customHeight="1">
      <c r="A23" s="1731">
        <v>10</v>
      </c>
      <c r="B23" s="2488" t="str">
        <f>'Chấm công công nhân'!L22</f>
        <v>Thảo Mi</v>
      </c>
      <c r="C23" s="2489" t="s">
        <v>1322</v>
      </c>
      <c r="D23" s="4632"/>
      <c r="E23" s="2490" t="s">
        <v>1030</v>
      </c>
      <c r="F23" s="2490"/>
      <c r="G23" s="2492">
        <f t="shared" si="0"/>
        <v>0.13333333333333333</v>
      </c>
      <c r="H23" s="2493">
        <f t="shared" si="1"/>
        <v>0</v>
      </c>
      <c r="I23" s="2494">
        <v>25000</v>
      </c>
      <c r="J23" s="2490"/>
      <c r="K23" s="2531">
        <f t="shared" si="2"/>
        <v>0</v>
      </c>
      <c r="L23" s="1730"/>
    </row>
    <row r="24" spans="1:12" ht="12" customHeight="1">
      <c r="A24" s="1731">
        <v>11</v>
      </c>
      <c r="B24" s="2488" t="str">
        <f>'Chấm công công nhân'!L23</f>
        <v>Thảo Phét</v>
      </c>
      <c r="C24" s="2489" t="s">
        <v>1322</v>
      </c>
      <c r="D24" s="4632"/>
      <c r="E24" s="2490" t="s">
        <v>1030</v>
      </c>
      <c r="F24" s="2490"/>
      <c r="G24" s="2492">
        <f t="shared" si="0"/>
        <v>0.13333333333333333</v>
      </c>
      <c r="H24" s="2493">
        <f t="shared" si="1"/>
        <v>0</v>
      </c>
      <c r="I24" s="2494">
        <v>25000</v>
      </c>
      <c r="J24" s="2490"/>
      <c r="K24" s="2531">
        <f t="shared" si="2"/>
        <v>0</v>
      </c>
      <c r="L24" s="1730"/>
    </row>
    <row r="25" spans="1:12" ht="12" customHeight="1">
      <c r="A25" s="1731">
        <v>12</v>
      </c>
      <c r="B25" s="2488" t="str">
        <f>'Chấm công công nhân'!L24</f>
        <v>Thảo Hăm</v>
      </c>
      <c r="C25" s="2489" t="s">
        <v>1322</v>
      </c>
      <c r="D25" s="4632"/>
      <c r="E25" s="2490" t="s">
        <v>1030</v>
      </c>
      <c r="F25" s="2490"/>
      <c r="G25" s="2492">
        <f t="shared" si="0"/>
        <v>0.13333333333333333</v>
      </c>
      <c r="H25" s="2493">
        <f t="shared" si="1"/>
        <v>0</v>
      </c>
      <c r="I25" s="2494">
        <v>25000</v>
      </c>
      <c r="J25" s="2487"/>
      <c r="K25" s="2531">
        <f t="shared" si="2"/>
        <v>0</v>
      </c>
      <c r="L25" s="1730"/>
    </row>
    <row r="26" spans="1:12" ht="12" customHeight="1">
      <c r="A26" s="1731">
        <v>13</v>
      </c>
      <c r="B26" s="2488" t="str">
        <f>'Chấm công công nhân'!L25</f>
        <v>Nang Lon</v>
      </c>
      <c r="C26" s="2489" t="s">
        <v>1322</v>
      </c>
      <c r="D26" s="4632"/>
      <c r="E26" s="2490" t="s">
        <v>1030</v>
      </c>
      <c r="F26" s="2490"/>
      <c r="G26" s="2492">
        <f t="shared" si="0"/>
        <v>0.13333333333333333</v>
      </c>
      <c r="H26" s="2493">
        <f t="shared" si="1"/>
        <v>0</v>
      </c>
      <c r="I26" s="2494">
        <v>25000</v>
      </c>
      <c r="J26" s="2487"/>
      <c r="K26" s="2531">
        <f t="shared" si="2"/>
        <v>0</v>
      </c>
      <c r="L26" s="1730"/>
    </row>
    <row r="27" spans="1:12" ht="12" customHeight="1">
      <c r="A27" s="1731">
        <v>14</v>
      </c>
      <c r="B27" s="2488" t="str">
        <f>'Chấm công công nhân'!L26</f>
        <v>Thảo Phết</v>
      </c>
      <c r="C27" s="2489" t="s">
        <v>1322</v>
      </c>
      <c r="D27" s="4632"/>
      <c r="E27" s="2490" t="s">
        <v>1030</v>
      </c>
      <c r="F27" s="2490"/>
      <c r="G27" s="2492">
        <f t="shared" si="0"/>
        <v>0.13333333333333333</v>
      </c>
      <c r="H27" s="2493">
        <f t="shared" si="1"/>
        <v>0</v>
      </c>
      <c r="I27" s="2494">
        <v>25000</v>
      </c>
      <c r="J27" s="2487"/>
      <c r="K27" s="2531">
        <f t="shared" si="2"/>
        <v>0</v>
      </c>
      <c r="L27" s="1730"/>
    </row>
    <row r="28" spans="1:12" ht="12" customHeight="1">
      <c r="A28" s="1731">
        <v>15</v>
      </c>
      <c r="B28" s="2488" t="str">
        <f>'Chấm công công nhân'!L27</f>
        <v>Vĩ Lay</v>
      </c>
      <c r="C28" s="2489" t="s">
        <v>1322</v>
      </c>
      <c r="D28" s="4632"/>
      <c r="E28" s="2490" t="s">
        <v>1030</v>
      </c>
      <c r="F28" s="2490"/>
      <c r="G28" s="2492">
        <f t="shared" si="0"/>
        <v>0.13333333333333333</v>
      </c>
      <c r="H28" s="2493">
        <f t="shared" si="1"/>
        <v>0</v>
      </c>
      <c r="I28" s="2494">
        <v>25000</v>
      </c>
      <c r="J28" s="2490"/>
      <c r="K28" s="2531">
        <f t="shared" si="2"/>
        <v>0</v>
      </c>
      <c r="L28" s="1730"/>
    </row>
    <row r="29" spans="1:12" ht="12" customHeight="1">
      <c r="A29" s="1731">
        <v>16</v>
      </c>
      <c r="B29" s="2488" t="str">
        <f>'Chấm công công nhân'!L28</f>
        <v>Pha Xúc</v>
      </c>
      <c r="C29" s="2489" t="s">
        <v>1322</v>
      </c>
      <c r="D29" s="4632"/>
      <c r="E29" s="2490" t="s">
        <v>1030</v>
      </c>
      <c r="F29" s="2491"/>
      <c r="G29" s="2492">
        <f t="shared" si="0"/>
        <v>0.13333333333333333</v>
      </c>
      <c r="H29" s="2493">
        <f t="shared" si="1"/>
        <v>0</v>
      </c>
      <c r="I29" s="2494">
        <v>25000</v>
      </c>
      <c r="J29" s="2490"/>
      <c r="K29" s="2531">
        <f t="shared" si="2"/>
        <v>0</v>
      </c>
      <c r="L29" s="1730"/>
    </row>
    <row r="30" spans="1:12" ht="12" customHeight="1">
      <c r="A30" s="1731">
        <v>17</v>
      </c>
      <c r="B30" s="2488" t="str">
        <f>'Chấm công công nhân'!L29</f>
        <v>Nàng Đao</v>
      </c>
      <c r="C30" s="2489" t="s">
        <v>1322</v>
      </c>
      <c r="D30" s="4632"/>
      <c r="E30" s="2490" t="s">
        <v>1030</v>
      </c>
      <c r="F30" s="2490"/>
      <c r="G30" s="2492">
        <f t="shared" si="0"/>
        <v>0.13333333333333333</v>
      </c>
      <c r="H30" s="2493">
        <f t="shared" si="1"/>
        <v>0</v>
      </c>
      <c r="I30" s="2494">
        <v>25000</v>
      </c>
      <c r="J30" s="2487"/>
      <c r="K30" s="2531">
        <f t="shared" si="2"/>
        <v>0</v>
      </c>
      <c r="L30" s="1730"/>
    </row>
    <row r="31" spans="1:12" ht="12" customHeight="1">
      <c r="A31" s="1731">
        <v>18</v>
      </c>
      <c r="B31" s="2488" t="str">
        <f>'Chấm công công nhân'!L30</f>
        <v>Nàng Kiên</v>
      </c>
      <c r="C31" s="2489" t="s">
        <v>1322</v>
      </c>
      <c r="D31" s="4632"/>
      <c r="E31" s="2490" t="s">
        <v>1030</v>
      </c>
      <c r="F31" s="2490"/>
      <c r="G31" s="2492">
        <f t="shared" si="0"/>
        <v>0.13333333333333333</v>
      </c>
      <c r="H31" s="2493">
        <f t="shared" si="1"/>
        <v>0</v>
      </c>
      <c r="I31" s="2494">
        <v>25000</v>
      </c>
      <c r="J31" s="2487"/>
      <c r="K31" s="2531">
        <f t="shared" si="2"/>
        <v>0</v>
      </c>
      <c r="L31" s="1730"/>
    </row>
    <row r="32" spans="1:12" ht="12" customHeight="1">
      <c r="A32" s="1731">
        <v>19</v>
      </c>
      <c r="B32" s="2488" t="str">
        <f>'Chấm công công nhân'!L31</f>
        <v>Nàng Túc 2</v>
      </c>
      <c r="C32" s="2489" t="s">
        <v>1322</v>
      </c>
      <c r="D32" s="4632"/>
      <c r="E32" s="2490" t="s">
        <v>1030</v>
      </c>
      <c r="F32" s="2490"/>
      <c r="G32" s="2492">
        <f t="shared" si="0"/>
        <v>0.13333333333333333</v>
      </c>
      <c r="H32" s="2493">
        <f t="shared" si="1"/>
        <v>0</v>
      </c>
      <c r="I32" s="2494">
        <v>25000</v>
      </c>
      <c r="J32" s="2487"/>
      <c r="K32" s="2531">
        <f t="shared" si="2"/>
        <v>0</v>
      </c>
      <c r="L32" s="1730"/>
    </row>
    <row r="33" spans="1:12" ht="12" customHeight="1">
      <c r="A33" s="1731">
        <v>20</v>
      </c>
      <c r="B33" s="2488" t="str">
        <f>'Chấm công công nhân'!L32</f>
        <v>Nàng Phon</v>
      </c>
      <c r="C33" s="2489" t="s">
        <v>1322</v>
      </c>
      <c r="D33" s="4632"/>
      <c r="E33" s="2490" t="s">
        <v>1030</v>
      </c>
      <c r="F33" s="2490"/>
      <c r="G33" s="2492">
        <f t="shared" si="0"/>
        <v>0.13333333333333333</v>
      </c>
      <c r="H33" s="2493">
        <f t="shared" si="1"/>
        <v>0</v>
      </c>
      <c r="I33" s="2494">
        <v>25000</v>
      </c>
      <c r="J33" s="2490"/>
      <c r="K33" s="2531">
        <f t="shared" si="2"/>
        <v>0</v>
      </c>
      <c r="L33" s="1730"/>
    </row>
    <row r="34" spans="1:12" ht="12" customHeight="1">
      <c r="A34" s="1731">
        <v>21</v>
      </c>
      <c r="B34" s="2488" t="str">
        <f>'Chấm công công nhân'!L33</f>
        <v>Thảo Chòi</v>
      </c>
      <c r="C34" s="2489" t="s">
        <v>1322</v>
      </c>
      <c r="D34" s="4632"/>
      <c r="E34" s="2490" t="s">
        <v>1030</v>
      </c>
      <c r="F34" s="2490"/>
      <c r="G34" s="2492">
        <f t="shared" si="0"/>
        <v>0.13333333333333333</v>
      </c>
      <c r="H34" s="2493">
        <f t="shared" si="1"/>
        <v>0</v>
      </c>
      <c r="I34" s="2494">
        <v>25000</v>
      </c>
      <c r="J34" s="2490"/>
      <c r="K34" s="2531">
        <f t="shared" si="2"/>
        <v>0</v>
      </c>
      <c r="L34" s="1730"/>
    </row>
    <row r="35" spans="1:12" ht="12" customHeight="1">
      <c r="A35" s="1731">
        <v>22</v>
      </c>
      <c r="B35" s="2488" t="str">
        <f>'Chấm công công nhân'!L34</f>
        <v>Thong La</v>
      </c>
      <c r="C35" s="2489" t="s">
        <v>1322</v>
      </c>
      <c r="D35" s="4632"/>
      <c r="E35" s="2490" t="s">
        <v>1030</v>
      </c>
      <c r="F35" s="2490"/>
      <c r="G35" s="2492">
        <f t="shared" si="0"/>
        <v>0.13333333333333333</v>
      </c>
      <c r="H35" s="2493">
        <f t="shared" si="1"/>
        <v>0</v>
      </c>
      <c r="I35" s="2494">
        <v>25000</v>
      </c>
      <c r="J35" s="2487"/>
      <c r="K35" s="2531">
        <f t="shared" si="2"/>
        <v>0</v>
      </c>
      <c r="L35" s="1730"/>
    </row>
    <row r="36" spans="1:12" ht="12" customHeight="1">
      <c r="A36" s="1731">
        <v>23</v>
      </c>
      <c r="B36" s="2488" t="str">
        <f>'Chấm công công nhân'!L35</f>
        <v>Thảo kok</v>
      </c>
      <c r="C36" s="2489" t="s">
        <v>1322</v>
      </c>
      <c r="D36" s="4632"/>
      <c r="E36" s="2490" t="s">
        <v>1030</v>
      </c>
      <c r="F36" s="2490"/>
      <c r="G36" s="2492">
        <f t="shared" si="0"/>
        <v>0.13333333333333333</v>
      </c>
      <c r="H36" s="2493">
        <f t="shared" si="1"/>
        <v>0</v>
      </c>
      <c r="I36" s="2494">
        <v>25000</v>
      </c>
      <c r="J36" s="2487"/>
      <c r="K36" s="2531">
        <f t="shared" si="2"/>
        <v>0</v>
      </c>
      <c r="L36" s="1730"/>
    </row>
    <row r="37" spans="1:12" ht="12" customHeight="1">
      <c r="A37" s="1731">
        <v>24</v>
      </c>
      <c r="B37" s="2488" t="str">
        <f>'Chấm công công nhân'!L36</f>
        <v>Thảo Hôm</v>
      </c>
      <c r="C37" s="2489" t="s">
        <v>1322</v>
      </c>
      <c r="D37" s="4632"/>
      <c r="E37" s="2490" t="s">
        <v>1030</v>
      </c>
      <c r="F37" s="2490"/>
      <c r="G37" s="2492">
        <f t="shared" si="0"/>
        <v>0.13333333333333333</v>
      </c>
      <c r="H37" s="2493">
        <f t="shared" si="1"/>
        <v>0</v>
      </c>
      <c r="I37" s="2494">
        <v>25000</v>
      </c>
      <c r="J37" s="2487"/>
      <c r="K37" s="2531">
        <f t="shared" si="2"/>
        <v>0</v>
      </c>
      <c r="L37" s="1730"/>
    </row>
    <row r="38" spans="1:12" ht="12" customHeight="1">
      <c r="A38" s="1731">
        <v>25</v>
      </c>
      <c r="B38" s="2488" t="str">
        <f>'Chấm công công nhân'!L37</f>
        <v>Nàng Lam</v>
      </c>
      <c r="C38" s="2489" t="s">
        <v>1322</v>
      </c>
      <c r="D38" s="4632"/>
      <c r="E38" s="2490" t="s">
        <v>1030</v>
      </c>
      <c r="F38" s="2490"/>
      <c r="G38" s="2492">
        <f t="shared" si="0"/>
        <v>0.13333333333333333</v>
      </c>
      <c r="H38" s="2493">
        <f t="shared" si="1"/>
        <v>0</v>
      </c>
      <c r="I38" s="2494">
        <v>25000</v>
      </c>
      <c r="J38" s="2490"/>
      <c r="K38" s="2531">
        <f t="shared" si="2"/>
        <v>0</v>
      </c>
      <c r="L38" s="1730"/>
    </row>
    <row r="39" spans="1:12" ht="12" customHeight="1">
      <c r="A39" s="1731">
        <v>26</v>
      </c>
      <c r="B39" s="2488" t="str">
        <f>'Chấm công công nhân'!L38</f>
        <v>Thảo Hơ Phơ</v>
      </c>
      <c r="C39" s="2489" t="s">
        <v>1322</v>
      </c>
      <c r="D39" s="4632"/>
      <c r="E39" s="2490" t="s">
        <v>1030</v>
      </c>
      <c r="F39" s="2490"/>
      <c r="G39" s="2492">
        <f t="shared" si="0"/>
        <v>0.13333333333333333</v>
      </c>
      <c r="H39" s="2493">
        <f t="shared" si="1"/>
        <v>0</v>
      </c>
      <c r="I39" s="2494">
        <v>25000</v>
      </c>
      <c r="J39" s="2490"/>
      <c r="K39" s="2531">
        <f t="shared" si="2"/>
        <v>0</v>
      </c>
      <c r="L39" s="1730"/>
    </row>
    <row r="40" spans="1:12" ht="12" customHeight="1">
      <c r="A40" s="1731">
        <v>27</v>
      </c>
      <c r="B40" s="2488" t="str">
        <f>'Chấm công công nhân'!L39</f>
        <v>Thảo Lay</v>
      </c>
      <c r="C40" s="2489" t="s">
        <v>1322</v>
      </c>
      <c r="D40" s="4632"/>
      <c r="E40" s="2490" t="s">
        <v>1030</v>
      </c>
      <c r="F40" s="2490"/>
      <c r="G40" s="2492">
        <f t="shared" si="0"/>
        <v>0.13333333333333333</v>
      </c>
      <c r="H40" s="2493">
        <f t="shared" si="1"/>
        <v>0</v>
      </c>
      <c r="I40" s="2494">
        <v>25000</v>
      </c>
      <c r="J40" s="2487"/>
      <c r="K40" s="2531">
        <f t="shared" si="2"/>
        <v>0</v>
      </c>
      <c r="L40" s="1730"/>
    </row>
    <row r="41" spans="1:12" ht="12" customHeight="1">
      <c r="A41" s="1731">
        <v>28</v>
      </c>
      <c r="B41" s="2488" t="str">
        <f>'Chấm công công nhân'!L40</f>
        <v>Thảo Khốc</v>
      </c>
      <c r="C41" s="2489" t="s">
        <v>1322</v>
      </c>
      <c r="D41" s="4632"/>
      <c r="E41" s="2490" t="s">
        <v>1030</v>
      </c>
      <c r="F41" s="2490"/>
      <c r="G41" s="2492">
        <f t="shared" si="0"/>
        <v>0.13333333333333333</v>
      </c>
      <c r="H41" s="2493">
        <f t="shared" si="1"/>
        <v>0</v>
      </c>
      <c r="I41" s="2494">
        <v>25000</v>
      </c>
      <c r="J41" s="2487"/>
      <c r="K41" s="2531">
        <f t="shared" si="2"/>
        <v>0</v>
      </c>
      <c r="L41" s="1730"/>
    </row>
    <row r="42" spans="1:12" ht="12" customHeight="1">
      <c r="A42" s="1731">
        <v>29</v>
      </c>
      <c r="B42" s="2488" t="str">
        <f>'Chấm công công nhân'!L41</f>
        <v>Thảo Sợt</v>
      </c>
      <c r="C42" s="2489" t="s">
        <v>1322</v>
      </c>
      <c r="D42" s="4632"/>
      <c r="E42" s="2490" t="s">
        <v>1030</v>
      </c>
      <c r="F42" s="2490"/>
      <c r="G42" s="2492">
        <f t="shared" si="0"/>
        <v>0.13333333333333333</v>
      </c>
      <c r="H42" s="2493">
        <f t="shared" si="1"/>
        <v>0</v>
      </c>
      <c r="I42" s="2494">
        <v>25000</v>
      </c>
      <c r="J42" s="2487"/>
      <c r="K42" s="2531">
        <f t="shared" si="2"/>
        <v>0</v>
      </c>
      <c r="L42" s="1730"/>
    </row>
    <row r="43" spans="1:12" ht="12" customHeight="1">
      <c r="A43" s="1731">
        <v>30</v>
      </c>
      <c r="B43" s="2488" t="str">
        <f>'Chấm công công nhân'!L42</f>
        <v>Thảo Văn</v>
      </c>
      <c r="C43" s="2489" t="s">
        <v>1322</v>
      </c>
      <c r="D43" s="4632"/>
      <c r="E43" s="2490" t="s">
        <v>1030</v>
      </c>
      <c r="F43" s="2490"/>
      <c r="G43" s="2492">
        <f t="shared" si="0"/>
        <v>0.13333333333333333</v>
      </c>
      <c r="H43" s="2493">
        <f t="shared" si="1"/>
        <v>0</v>
      </c>
      <c r="I43" s="2494">
        <v>25000</v>
      </c>
      <c r="J43" s="2490"/>
      <c r="K43" s="2531">
        <f t="shared" si="2"/>
        <v>0</v>
      </c>
      <c r="L43" s="1730"/>
    </row>
    <row r="44" spans="1:12" ht="12" customHeight="1">
      <c r="A44" s="1731">
        <v>31</v>
      </c>
      <c r="B44" s="2488" t="str">
        <f>'Chấm công công nhân'!L43</f>
        <v>Thảo Thong</v>
      </c>
      <c r="C44" s="2489" t="s">
        <v>1322</v>
      </c>
      <c r="D44" s="4632"/>
      <c r="E44" s="2490" t="s">
        <v>1030</v>
      </c>
      <c r="F44" s="2490"/>
      <c r="G44" s="2492">
        <f t="shared" si="0"/>
        <v>0.13333333333333333</v>
      </c>
      <c r="H44" s="2493">
        <f t="shared" si="1"/>
        <v>0</v>
      </c>
      <c r="I44" s="2494">
        <v>25000</v>
      </c>
      <c r="J44" s="2490"/>
      <c r="K44" s="2531">
        <f t="shared" si="2"/>
        <v>0</v>
      </c>
      <c r="L44" s="1730"/>
    </row>
    <row r="45" spans="1:12" ht="12" customHeight="1">
      <c r="A45" s="1731">
        <v>32</v>
      </c>
      <c r="B45" s="2488" t="str">
        <f>'Chấm công công nhân'!L44</f>
        <v xml:space="preserve"> Nàng Ngột</v>
      </c>
      <c r="C45" s="2489" t="s">
        <v>1322</v>
      </c>
      <c r="D45" s="4632"/>
      <c r="E45" s="2490" t="s">
        <v>1030</v>
      </c>
      <c r="F45" s="2490"/>
      <c r="G45" s="2492">
        <f t="shared" si="0"/>
        <v>0.13333333333333333</v>
      </c>
      <c r="H45" s="2493">
        <f t="shared" si="1"/>
        <v>0</v>
      </c>
      <c r="I45" s="2494">
        <v>25000</v>
      </c>
      <c r="J45" s="2490"/>
      <c r="K45" s="2531">
        <f t="shared" si="2"/>
        <v>0</v>
      </c>
      <c r="L45" s="1730"/>
    </row>
    <row r="46" spans="1:12" ht="12" customHeight="1">
      <c r="A46" s="1731">
        <v>33</v>
      </c>
      <c r="B46" s="2488" t="str">
        <f>'Chấm công công nhân'!L45</f>
        <v>Nàng Chon</v>
      </c>
      <c r="C46" s="2489" t="s">
        <v>1322</v>
      </c>
      <c r="D46" s="4632"/>
      <c r="E46" s="2490" t="s">
        <v>1030</v>
      </c>
      <c r="F46" s="2490"/>
      <c r="G46" s="2492">
        <f t="shared" si="0"/>
        <v>0.13333333333333333</v>
      </c>
      <c r="H46" s="2493">
        <f t="shared" si="1"/>
        <v>0</v>
      </c>
      <c r="I46" s="2494">
        <v>25000</v>
      </c>
      <c r="J46" s="2490"/>
      <c r="K46" s="2531">
        <f t="shared" si="2"/>
        <v>0</v>
      </c>
      <c r="L46" s="1730"/>
    </row>
    <row r="47" spans="1:12" ht="12" customHeight="1">
      <c r="A47" s="1731">
        <v>34</v>
      </c>
      <c r="B47" s="2488" t="str">
        <f>'Chấm công công nhân'!L46</f>
        <v>Bun han</v>
      </c>
      <c r="C47" s="2489" t="s">
        <v>1322</v>
      </c>
      <c r="D47" s="4632"/>
      <c r="E47" s="2490" t="s">
        <v>1030</v>
      </c>
      <c r="F47" s="2490"/>
      <c r="G47" s="2492">
        <f t="shared" si="0"/>
        <v>0.13333333333333333</v>
      </c>
      <c r="H47" s="2493">
        <f t="shared" si="1"/>
        <v>0</v>
      </c>
      <c r="I47" s="2494">
        <v>25000</v>
      </c>
      <c r="J47" s="2490"/>
      <c r="K47" s="2531">
        <f t="shared" si="2"/>
        <v>0</v>
      </c>
      <c r="L47" s="1730"/>
    </row>
    <row r="48" spans="1:12" ht="12" customHeight="1">
      <c r="A48" s="1731">
        <v>35</v>
      </c>
      <c r="B48" s="2488" t="str">
        <f>'Chấm công công nhân'!L47</f>
        <v>Hăn</v>
      </c>
      <c r="C48" s="2489" t="s">
        <v>1322</v>
      </c>
      <c r="D48" s="4632"/>
      <c r="E48" s="2490" t="s">
        <v>1030</v>
      </c>
      <c r="F48" s="2490"/>
      <c r="G48" s="2492">
        <f t="shared" si="0"/>
        <v>0.13333333333333333</v>
      </c>
      <c r="H48" s="2493">
        <f t="shared" si="1"/>
        <v>0</v>
      </c>
      <c r="I48" s="2494">
        <v>25000</v>
      </c>
      <c r="J48" s="2490"/>
      <c r="K48" s="2531">
        <f t="shared" si="2"/>
        <v>0</v>
      </c>
      <c r="L48" s="1730"/>
    </row>
    <row r="49" spans="1:12" ht="12" customHeight="1">
      <c r="A49" s="1731">
        <v>36</v>
      </c>
      <c r="B49" s="2488" t="str">
        <f>'Chấm công công nhân'!L48</f>
        <v>Thảo Tuỳ</v>
      </c>
      <c r="C49" s="2489" t="s">
        <v>1322</v>
      </c>
      <c r="D49" s="4632"/>
      <c r="E49" s="2490" t="s">
        <v>1030</v>
      </c>
      <c r="F49" s="2490"/>
      <c r="G49" s="2492">
        <f t="shared" si="0"/>
        <v>0.13333333333333333</v>
      </c>
      <c r="H49" s="2493">
        <f t="shared" si="1"/>
        <v>0</v>
      </c>
      <c r="I49" s="2494">
        <v>25000</v>
      </c>
      <c r="J49" s="2490"/>
      <c r="K49" s="2531">
        <f t="shared" si="2"/>
        <v>0</v>
      </c>
      <c r="L49" s="1730"/>
    </row>
    <row r="50" spans="1:12">
      <c r="A50" s="4628" t="s">
        <v>21</v>
      </c>
      <c r="B50" s="4628"/>
      <c r="C50" s="4628"/>
      <c r="D50" s="4628"/>
      <c r="E50" s="1730"/>
      <c r="F50" s="2296">
        <f>SUM(F14:F49)</f>
        <v>0</v>
      </c>
      <c r="G50" s="2296"/>
      <c r="H50" s="2303">
        <f>SUM(H14:H49)</f>
        <v>0</v>
      </c>
      <c r="I50" s="2296"/>
      <c r="J50" s="2296">
        <f>SUM(J14:J49)</f>
        <v>0</v>
      </c>
      <c r="K50" s="2532">
        <f>SUM(K14:K49)</f>
        <v>0</v>
      </c>
      <c r="L50" s="2296"/>
    </row>
    <row r="51" spans="1:12" ht="15.75">
      <c r="A51" s="1737" t="s">
        <v>1031</v>
      </c>
      <c r="B51" s="1738"/>
    </row>
    <row r="52" spans="1:12" ht="15.75">
      <c r="A52" s="1739" t="s">
        <v>1032</v>
      </c>
      <c r="B52" s="1740"/>
    </row>
    <row r="53" spans="1:12" ht="15.75">
      <c r="A53" s="1739" t="s">
        <v>1033</v>
      </c>
      <c r="B53" s="1740"/>
    </row>
    <row r="54" spans="1:12" ht="15.75">
      <c r="B54" s="3671" t="s">
        <v>162</v>
      </c>
      <c r="C54" s="3671"/>
      <c r="D54" s="1741"/>
      <c r="E54" s="1741"/>
      <c r="F54" s="1742" t="s">
        <v>1034</v>
      </c>
      <c r="I54" s="1742"/>
      <c r="J54" s="1742"/>
    </row>
    <row r="58" spans="1:12">
      <c r="B58" s="4629"/>
      <c r="C58" s="4629"/>
    </row>
  </sheetData>
  <mergeCells count="9">
    <mergeCell ref="A50:D50"/>
    <mergeCell ref="B54:C54"/>
    <mergeCell ref="B58:C58"/>
    <mergeCell ref="A1:L1"/>
    <mergeCell ref="A2:L2"/>
    <mergeCell ref="A3:G3"/>
    <mergeCell ref="A4:G4"/>
    <mergeCell ref="B6:L6"/>
    <mergeCell ref="D14:D49"/>
  </mergeCells>
  <pageMargins left="0.7" right="0.7" top="0.38" bottom="0.75" header="0.3" footer="0.3"/>
  <pageSetup paperSize="9" orientation="portrait" r:id="rId1"/>
  <legacy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8"/>
  <sheetViews>
    <sheetView topLeftCell="A7" workbookViewId="0">
      <selection activeCell="I25" sqref="I25"/>
    </sheetView>
  </sheetViews>
  <sheetFormatPr defaultRowHeight="14.25"/>
  <cols>
    <col min="1" max="1" width="5.125" customWidth="1"/>
    <col min="2" max="2" width="10.625" style="1716" customWidth="1"/>
    <col min="3" max="3" width="13.875" style="1716" customWidth="1"/>
    <col min="4" max="4" width="5.75" customWidth="1"/>
    <col min="5" max="5" width="4.25" customWidth="1"/>
    <col min="6" max="6" width="5" style="1712" customWidth="1"/>
    <col min="7" max="7" width="4.375" customWidth="1"/>
    <col min="8" max="8" width="5" style="2299" customWidth="1"/>
    <col min="9" max="9" width="7.75" customWidth="1"/>
    <col min="10" max="10" width="5" hidden="1" customWidth="1"/>
    <col min="11" max="11" width="10.875" style="1715" customWidth="1"/>
    <col min="12" max="12" width="7" customWidth="1"/>
  </cols>
  <sheetData>
    <row r="1" spans="1:12" ht="15.75">
      <c r="A1" s="3751" t="s">
        <v>165</v>
      </c>
      <c r="B1" s="3751"/>
      <c r="C1" s="3751"/>
      <c r="D1" s="3751"/>
      <c r="E1" s="3751"/>
      <c r="F1" s="3751"/>
      <c r="G1" s="3751"/>
      <c r="H1" s="3751"/>
      <c r="I1" s="3751"/>
      <c r="J1" s="3751"/>
      <c r="K1" s="3751"/>
      <c r="L1" s="3751"/>
    </row>
    <row r="2" spans="1:12" ht="15.75">
      <c r="A2" s="4130" t="s">
        <v>1015</v>
      </c>
      <c r="B2" s="4130"/>
      <c r="C2" s="4130"/>
      <c r="D2" s="4130"/>
      <c r="E2" s="4130"/>
      <c r="F2" s="4130"/>
      <c r="G2" s="4130"/>
      <c r="H2" s="4130"/>
      <c r="I2" s="4130"/>
      <c r="J2" s="4130"/>
      <c r="K2" s="4130"/>
      <c r="L2" s="4130"/>
    </row>
    <row r="3" spans="1:12" ht="15.75">
      <c r="A3" s="4417" t="s">
        <v>1016</v>
      </c>
      <c r="B3" s="4417"/>
      <c r="C3" s="4417"/>
      <c r="D3" s="4417"/>
      <c r="E3" s="4417"/>
      <c r="F3" s="4417"/>
      <c r="G3" s="4417"/>
      <c r="H3" s="2298"/>
      <c r="I3" s="1712"/>
      <c r="J3" s="1712"/>
      <c r="K3" s="1713"/>
      <c r="L3" s="1712"/>
    </row>
    <row r="4" spans="1:12" ht="15.75">
      <c r="A4" s="4130" t="s">
        <v>541</v>
      </c>
      <c r="B4" s="4130"/>
      <c r="C4" s="4130"/>
      <c r="D4" s="4130"/>
      <c r="E4" s="4130"/>
      <c r="F4" s="4130"/>
      <c r="G4" s="4130"/>
    </row>
    <row r="5" spans="1:12" ht="21.75">
      <c r="G5" s="1717" t="s">
        <v>1017</v>
      </c>
    </row>
    <row r="6" spans="1:12">
      <c r="A6" s="1718"/>
      <c r="B6" s="4630" t="s">
        <v>1720</v>
      </c>
      <c r="C6" s="4630"/>
      <c r="D6" s="4630"/>
      <c r="E6" s="4630"/>
      <c r="F6" s="4630"/>
      <c r="G6" s="4630"/>
      <c r="H6" s="4630"/>
      <c r="I6" s="4630"/>
      <c r="J6" s="4630"/>
      <c r="K6" s="4630"/>
      <c r="L6" s="4630"/>
    </row>
    <row r="7" spans="1:12">
      <c r="A7" s="1718"/>
      <c r="B7" s="1719" t="s">
        <v>1018</v>
      </c>
      <c r="C7" s="1719"/>
      <c r="D7" s="2479"/>
      <c r="E7" s="2479"/>
      <c r="G7" s="1718"/>
      <c r="H7" s="2300"/>
      <c r="I7" s="1718"/>
      <c r="J7" s="1718"/>
      <c r="K7" s="1722"/>
      <c r="L7" s="1718"/>
    </row>
    <row r="8" spans="1:12">
      <c r="A8" s="1718"/>
      <c r="B8" s="1719" t="s">
        <v>1281</v>
      </c>
      <c r="C8" s="1719"/>
      <c r="D8" s="2479"/>
      <c r="E8" s="1718"/>
      <c r="G8" s="1718"/>
      <c r="H8" s="2301" t="s">
        <v>1036</v>
      </c>
      <c r="I8" s="2479"/>
      <c r="J8" s="2479"/>
      <c r="K8" s="1722"/>
      <c r="L8" s="1718"/>
    </row>
    <row r="9" spans="1:12">
      <c r="A9" s="1718"/>
      <c r="B9" s="1719" t="s">
        <v>1035</v>
      </c>
      <c r="C9" s="1719"/>
      <c r="D9" s="2479"/>
      <c r="E9" s="1718"/>
      <c r="G9" s="1718"/>
      <c r="H9" s="2301" t="s">
        <v>1020</v>
      </c>
      <c r="I9" s="2479"/>
      <c r="J9" s="2479"/>
      <c r="K9" s="1722"/>
      <c r="L9" s="1718"/>
    </row>
    <row r="10" spans="1:12">
      <c r="A10" s="1718"/>
      <c r="B10" s="1296" t="s">
        <v>1209</v>
      </c>
      <c r="D10" s="1718"/>
      <c r="E10" s="1718"/>
      <c r="G10" s="1718"/>
      <c r="H10" s="2300"/>
      <c r="I10" s="1718"/>
      <c r="J10" s="1718"/>
      <c r="K10" s="1722"/>
      <c r="L10" s="1718"/>
    </row>
    <row r="11" spans="1:12">
      <c r="A11" s="1718" t="s">
        <v>1022</v>
      </c>
      <c r="D11" s="1718"/>
      <c r="E11" s="1718"/>
      <c r="G11" s="1718"/>
      <c r="H11" s="2300"/>
      <c r="I11" s="1718"/>
      <c r="J11" s="1718"/>
      <c r="K11" s="1722"/>
      <c r="L11" s="1718"/>
    </row>
    <row r="12" spans="1:12" ht="61.5" customHeight="1">
      <c r="A12" s="1724" t="s">
        <v>1</v>
      </c>
      <c r="B12" s="1724" t="s">
        <v>20</v>
      </c>
      <c r="C12" s="1724" t="s">
        <v>1023</v>
      </c>
      <c r="D12" s="1724" t="s">
        <v>810</v>
      </c>
      <c r="E12" s="1724" t="s">
        <v>7</v>
      </c>
      <c r="F12" s="1724" t="s">
        <v>1024</v>
      </c>
      <c r="G12" s="1724" t="s">
        <v>361</v>
      </c>
      <c r="H12" s="2302" t="s">
        <v>47</v>
      </c>
      <c r="I12" s="1724" t="s">
        <v>1025</v>
      </c>
      <c r="J12" s="1724" t="s">
        <v>1026</v>
      </c>
      <c r="K12" s="1724" t="s">
        <v>1027</v>
      </c>
      <c r="L12" s="1727" t="s">
        <v>9</v>
      </c>
    </row>
    <row r="13" spans="1:12" ht="15.75" customHeight="1">
      <c r="A13" s="1728">
        <v>1</v>
      </c>
      <c r="B13" s="1726">
        <v>2</v>
      </c>
      <c r="C13" s="1726">
        <v>3</v>
      </c>
      <c r="D13" s="1728">
        <v>4</v>
      </c>
      <c r="E13" s="1728">
        <v>5</v>
      </c>
      <c r="F13" s="1728">
        <v>6</v>
      </c>
      <c r="G13" s="1728">
        <v>7</v>
      </c>
      <c r="H13" s="1729" t="s">
        <v>1211</v>
      </c>
      <c r="I13" s="1728">
        <v>9</v>
      </c>
      <c r="J13" s="1728">
        <v>9</v>
      </c>
      <c r="K13" s="1728" t="s">
        <v>1029</v>
      </c>
      <c r="L13" s="1730"/>
    </row>
    <row r="14" spans="1:12" ht="12" customHeight="1">
      <c r="A14" s="2487">
        <v>1</v>
      </c>
      <c r="B14" s="2488" t="str">
        <f>'Chấm công công nhân'!L66</f>
        <v>Phò Đăm</v>
      </c>
      <c r="C14" s="2489" t="s">
        <v>1721</v>
      </c>
      <c r="D14" s="4631" t="s">
        <v>1210</v>
      </c>
      <c r="E14" s="2490" t="s">
        <v>1030</v>
      </c>
      <c r="F14" s="2491"/>
      <c r="G14" s="2492">
        <f>25000/200000</f>
        <v>0.125</v>
      </c>
      <c r="H14" s="2493">
        <f>F14/G14</f>
        <v>0</v>
      </c>
      <c r="I14" s="2494">
        <v>25000</v>
      </c>
      <c r="J14" s="2490"/>
      <c r="K14" s="2494">
        <f>I14*H14</f>
        <v>0</v>
      </c>
      <c r="L14" s="1730"/>
    </row>
    <row r="15" spans="1:12" ht="12" customHeight="1">
      <c r="A15" s="2487">
        <v>2</v>
      </c>
      <c r="B15" s="2488" t="str">
        <f>'Chấm công công nhân'!L67</f>
        <v>Thảo Mai</v>
      </c>
      <c r="C15" s="2489" t="s">
        <v>1721</v>
      </c>
      <c r="D15" s="4632"/>
      <c r="E15" s="2490" t="s">
        <v>1030</v>
      </c>
      <c r="F15" s="2491"/>
      <c r="G15" s="2492">
        <f t="shared" ref="G15:G29" si="0">25000/200000</f>
        <v>0.125</v>
      </c>
      <c r="H15" s="2493">
        <f t="shared" ref="H15:H29" si="1">F15/G15</f>
        <v>0</v>
      </c>
      <c r="I15" s="2494">
        <v>25000</v>
      </c>
      <c r="J15" s="2487"/>
      <c r="K15" s="2494">
        <f t="shared" ref="K15:K29" si="2">I15*H15</f>
        <v>0</v>
      </c>
      <c r="L15" s="1730"/>
    </row>
    <row r="16" spans="1:12" ht="12" customHeight="1">
      <c r="A16" s="2487">
        <v>3</v>
      </c>
      <c r="B16" s="2488" t="str">
        <f>'Chấm công công nhân'!L68</f>
        <v>Thảo Tưng</v>
      </c>
      <c r="C16" s="2489" t="s">
        <v>1721</v>
      </c>
      <c r="D16" s="4632"/>
      <c r="E16" s="2490" t="s">
        <v>1030</v>
      </c>
      <c r="F16" s="2491"/>
      <c r="G16" s="2492">
        <f t="shared" si="0"/>
        <v>0.125</v>
      </c>
      <c r="H16" s="2493">
        <f t="shared" si="1"/>
        <v>0</v>
      </c>
      <c r="I16" s="2494">
        <v>25000</v>
      </c>
      <c r="J16" s="2487"/>
      <c r="K16" s="2494">
        <f t="shared" si="2"/>
        <v>0</v>
      </c>
      <c r="L16" s="1730"/>
    </row>
    <row r="17" spans="1:12" ht="12" customHeight="1">
      <c r="A17" s="2487">
        <v>4</v>
      </c>
      <c r="B17" s="2488" t="str">
        <f>'Chấm công công nhân'!L69</f>
        <v>Thảo Xay</v>
      </c>
      <c r="C17" s="2489" t="s">
        <v>1721</v>
      </c>
      <c r="D17" s="4632"/>
      <c r="E17" s="2490" t="s">
        <v>1030</v>
      </c>
      <c r="F17" s="2491"/>
      <c r="G17" s="2492">
        <f t="shared" si="0"/>
        <v>0.125</v>
      </c>
      <c r="H17" s="2493">
        <f t="shared" si="1"/>
        <v>0</v>
      </c>
      <c r="I17" s="2494">
        <v>25000</v>
      </c>
      <c r="J17" s="2487"/>
      <c r="K17" s="2494">
        <f t="shared" si="2"/>
        <v>0</v>
      </c>
      <c r="L17" s="1730"/>
    </row>
    <row r="18" spans="1:12" ht="12" customHeight="1">
      <c r="A18" s="2487">
        <v>5</v>
      </c>
      <c r="B18" s="2488" t="str">
        <f>'Chấm công công nhân'!L70</f>
        <v>Nàng Nọi</v>
      </c>
      <c r="C18" s="2489" t="s">
        <v>1721</v>
      </c>
      <c r="D18" s="4632"/>
      <c r="E18" s="2490" t="s">
        <v>1030</v>
      </c>
      <c r="F18" s="2491"/>
      <c r="G18" s="2492">
        <f t="shared" si="0"/>
        <v>0.125</v>
      </c>
      <c r="H18" s="2493">
        <f t="shared" si="1"/>
        <v>0</v>
      </c>
      <c r="I18" s="2494">
        <v>25000</v>
      </c>
      <c r="J18" s="2490"/>
      <c r="K18" s="2494">
        <f t="shared" si="2"/>
        <v>0</v>
      </c>
      <c r="L18" s="1730"/>
    </row>
    <row r="19" spans="1:12" ht="12" customHeight="1">
      <c r="A19" s="2487">
        <v>6</v>
      </c>
      <c r="B19" s="2488" t="str">
        <f>'Chấm công công nhân'!L71</f>
        <v>Thảo Đăm</v>
      </c>
      <c r="C19" s="2489" t="s">
        <v>1721</v>
      </c>
      <c r="D19" s="4632"/>
      <c r="E19" s="2490" t="s">
        <v>1030</v>
      </c>
      <c r="F19" s="2491"/>
      <c r="G19" s="2492">
        <f t="shared" si="0"/>
        <v>0.125</v>
      </c>
      <c r="H19" s="2493">
        <f t="shared" si="1"/>
        <v>0</v>
      </c>
      <c r="I19" s="2494">
        <v>25000</v>
      </c>
      <c r="J19" s="2490"/>
      <c r="K19" s="2494">
        <f t="shared" si="2"/>
        <v>0</v>
      </c>
      <c r="L19" s="1730"/>
    </row>
    <row r="20" spans="1:12" ht="12" customHeight="1">
      <c r="A20" s="2487">
        <v>7</v>
      </c>
      <c r="B20" s="2488" t="str">
        <f>'Chấm công công nhân'!L72</f>
        <v>Thảo chăn</v>
      </c>
      <c r="C20" s="2489" t="s">
        <v>1721</v>
      </c>
      <c r="D20" s="4632"/>
      <c r="E20" s="2490" t="s">
        <v>1030</v>
      </c>
      <c r="F20" s="2491"/>
      <c r="G20" s="2492">
        <f t="shared" si="0"/>
        <v>0.125</v>
      </c>
      <c r="H20" s="2493">
        <f t="shared" si="1"/>
        <v>0</v>
      </c>
      <c r="I20" s="2494">
        <v>25000</v>
      </c>
      <c r="J20" s="2487"/>
      <c r="K20" s="2494">
        <f t="shared" si="2"/>
        <v>0</v>
      </c>
      <c r="L20" s="1730"/>
    </row>
    <row r="21" spans="1:12" ht="12" customHeight="1">
      <c r="A21" s="2487">
        <v>8</v>
      </c>
      <c r="B21" s="2488" t="str">
        <f>'Chấm công công nhân'!L73</f>
        <v>Hồ Văn Tăng</v>
      </c>
      <c r="C21" s="2489" t="s">
        <v>1721</v>
      </c>
      <c r="D21" s="4632"/>
      <c r="E21" s="2490" t="s">
        <v>1030</v>
      </c>
      <c r="F21" s="2491"/>
      <c r="G21" s="2492">
        <f t="shared" si="0"/>
        <v>0.125</v>
      </c>
      <c r="H21" s="2493">
        <f t="shared" si="1"/>
        <v>0</v>
      </c>
      <c r="I21" s="2494">
        <v>25000</v>
      </c>
      <c r="J21" s="2487"/>
      <c r="K21" s="2494">
        <f t="shared" si="2"/>
        <v>0</v>
      </c>
      <c r="L21" s="1730"/>
    </row>
    <row r="22" spans="1:12" ht="12" customHeight="1">
      <c r="A22" s="2487">
        <v>9</v>
      </c>
      <c r="B22" s="2488" t="str">
        <f>'Chấm công công nhân'!L74</f>
        <v>Hồ Văn Khoa</v>
      </c>
      <c r="C22" s="2489" t="s">
        <v>1721</v>
      </c>
      <c r="D22" s="4632"/>
      <c r="E22" s="2490" t="s">
        <v>1030</v>
      </c>
      <c r="F22" s="2491"/>
      <c r="G22" s="2492">
        <f t="shared" si="0"/>
        <v>0.125</v>
      </c>
      <c r="H22" s="2493">
        <f t="shared" si="1"/>
        <v>0</v>
      </c>
      <c r="I22" s="2494">
        <v>25000</v>
      </c>
      <c r="J22" s="2487"/>
      <c r="K22" s="2494">
        <f t="shared" si="2"/>
        <v>0</v>
      </c>
      <c r="L22" s="1730"/>
    </row>
    <row r="23" spans="1:12" ht="12" customHeight="1">
      <c r="A23" s="2487">
        <v>10</v>
      </c>
      <c r="B23" s="2488" t="str">
        <f>'Chấm công công nhân'!L75</f>
        <v>Hồ Xa My</v>
      </c>
      <c r="C23" s="2489" t="s">
        <v>1721</v>
      </c>
      <c r="D23" s="4632"/>
      <c r="E23" s="2490" t="s">
        <v>1030</v>
      </c>
      <c r="F23" s="2491"/>
      <c r="G23" s="2492">
        <f t="shared" si="0"/>
        <v>0.125</v>
      </c>
      <c r="H23" s="2493">
        <f t="shared" si="1"/>
        <v>0</v>
      </c>
      <c r="I23" s="2494">
        <v>25000</v>
      </c>
      <c r="J23" s="2490"/>
      <c r="K23" s="2494">
        <f t="shared" si="2"/>
        <v>0</v>
      </c>
      <c r="L23" s="1730"/>
    </row>
    <row r="24" spans="1:12" ht="12" customHeight="1">
      <c r="A24" s="2487">
        <v>11</v>
      </c>
      <c r="B24" s="2488" t="str">
        <f>'Chấm công công nhân'!L76</f>
        <v>Thảo lay</v>
      </c>
      <c r="C24" s="2489" t="s">
        <v>1721</v>
      </c>
      <c r="D24" s="4632"/>
      <c r="E24" s="2490" t="s">
        <v>1030</v>
      </c>
      <c r="F24" s="2491"/>
      <c r="G24" s="2492">
        <f t="shared" si="0"/>
        <v>0.125</v>
      </c>
      <c r="H24" s="2493">
        <f t="shared" si="1"/>
        <v>0</v>
      </c>
      <c r="I24" s="2494">
        <v>25000</v>
      </c>
      <c r="J24" s="2490"/>
      <c r="K24" s="2494">
        <f t="shared" si="2"/>
        <v>0</v>
      </c>
      <c r="L24" s="1730"/>
    </row>
    <row r="25" spans="1:12" ht="12" customHeight="1">
      <c r="A25" s="2487">
        <v>12</v>
      </c>
      <c r="B25" s="2488" t="str">
        <f>'Chấm công công nhân'!L77</f>
        <v>Thảo khên</v>
      </c>
      <c r="C25" s="2489" t="s">
        <v>1721</v>
      </c>
      <c r="D25" s="4632"/>
      <c r="E25" s="2490" t="s">
        <v>1030</v>
      </c>
      <c r="F25" s="2491"/>
      <c r="G25" s="2492">
        <f t="shared" si="0"/>
        <v>0.125</v>
      </c>
      <c r="H25" s="2493">
        <f t="shared" si="1"/>
        <v>0</v>
      </c>
      <c r="I25" s="2494">
        <v>25000</v>
      </c>
      <c r="J25" s="2487"/>
      <c r="K25" s="2494">
        <f t="shared" si="2"/>
        <v>0</v>
      </c>
      <c r="L25" s="1730"/>
    </row>
    <row r="26" spans="1:12" ht="12" customHeight="1">
      <c r="A26" s="2487">
        <v>13</v>
      </c>
      <c r="B26" s="2488" t="str">
        <f>'Chấm công công nhân'!L78</f>
        <v>Thảo khon</v>
      </c>
      <c r="C26" s="2489" t="s">
        <v>1721</v>
      </c>
      <c r="D26" s="4632"/>
      <c r="E26" s="2490" t="s">
        <v>1030</v>
      </c>
      <c r="F26" s="2490"/>
      <c r="G26" s="2492">
        <f t="shared" si="0"/>
        <v>0.125</v>
      </c>
      <c r="H26" s="2493">
        <f t="shared" si="1"/>
        <v>0</v>
      </c>
      <c r="I26" s="2494">
        <v>25000</v>
      </c>
      <c r="J26" s="2487"/>
      <c r="K26" s="2494">
        <f t="shared" si="2"/>
        <v>0</v>
      </c>
      <c r="L26" s="1730"/>
    </row>
    <row r="27" spans="1:12" ht="12" customHeight="1">
      <c r="A27" s="2487">
        <v>14</v>
      </c>
      <c r="B27" s="2488" t="str">
        <f>'Chấm công công nhân'!L79</f>
        <v>Thảo nga</v>
      </c>
      <c r="C27" s="2489" t="s">
        <v>1721</v>
      </c>
      <c r="D27" s="4632"/>
      <c r="E27" s="2490" t="s">
        <v>1030</v>
      </c>
      <c r="F27" s="2491"/>
      <c r="G27" s="2492">
        <f t="shared" si="0"/>
        <v>0.125</v>
      </c>
      <c r="H27" s="2493">
        <f t="shared" si="1"/>
        <v>0</v>
      </c>
      <c r="I27" s="2494">
        <v>25000</v>
      </c>
      <c r="J27" s="2487"/>
      <c r="K27" s="2494">
        <f t="shared" si="2"/>
        <v>0</v>
      </c>
      <c r="L27" s="1730"/>
    </row>
    <row r="28" spans="1:12" ht="12" customHeight="1">
      <c r="A28" s="2487">
        <v>15</v>
      </c>
      <c r="B28" s="2488" t="str">
        <f>'Chấm công công nhân'!L80</f>
        <v>Thảo lăm ma</v>
      </c>
      <c r="C28" s="2489" t="s">
        <v>1721</v>
      </c>
      <c r="D28" s="4632"/>
      <c r="E28" s="2490" t="s">
        <v>1030</v>
      </c>
      <c r="F28" s="3284"/>
      <c r="G28" s="2492">
        <f t="shared" si="0"/>
        <v>0.125</v>
      </c>
      <c r="H28" s="2493">
        <f>F28/G28</f>
        <v>0</v>
      </c>
      <c r="I28" s="2494">
        <v>25000</v>
      </c>
      <c r="J28" s="2490"/>
      <c r="K28" s="2494">
        <f t="shared" si="2"/>
        <v>0</v>
      </c>
      <c r="L28" s="1730"/>
    </row>
    <row r="29" spans="1:12" ht="12" customHeight="1">
      <c r="A29" s="2487">
        <v>16</v>
      </c>
      <c r="B29" s="2488" t="s">
        <v>1183</v>
      </c>
      <c r="C29" s="2489" t="s">
        <v>1721</v>
      </c>
      <c r="D29" s="4632"/>
      <c r="E29" s="2490" t="s">
        <v>1030</v>
      </c>
      <c r="F29" s="2490"/>
      <c r="G29" s="2492">
        <f t="shared" si="0"/>
        <v>0.125</v>
      </c>
      <c r="H29" s="2493">
        <f t="shared" si="1"/>
        <v>0</v>
      </c>
      <c r="I29" s="2494">
        <v>25000</v>
      </c>
      <c r="J29" s="2490"/>
      <c r="K29" s="2494">
        <f t="shared" si="2"/>
        <v>0</v>
      </c>
      <c r="L29" s="1730"/>
    </row>
    <row r="30" spans="1:12" s="2499" customFormat="1">
      <c r="A30" s="4633" t="s">
        <v>21</v>
      </c>
      <c r="B30" s="4633"/>
      <c r="C30" s="4633"/>
      <c r="D30" s="4633"/>
      <c r="E30" s="2495"/>
      <c r="F30" s="2496">
        <f>SUM(F14:F29)</f>
        <v>0</v>
      </c>
      <c r="G30" s="2496"/>
      <c r="H30" s="2497">
        <f>SUM(H14:H29)</f>
        <v>0</v>
      </c>
      <c r="I30" s="2496"/>
      <c r="J30" s="2496">
        <f>SUM(J14:J29)</f>
        <v>0</v>
      </c>
      <c r="K30" s="2498">
        <f>SUM(K14:K29)</f>
        <v>0</v>
      </c>
      <c r="L30" s="2496"/>
    </row>
    <row r="31" spans="1:12" ht="15.75">
      <c r="A31" s="1737" t="s">
        <v>1031</v>
      </c>
      <c r="B31" s="1738"/>
    </row>
    <row r="32" spans="1:12" ht="15.75">
      <c r="A32" s="1739" t="s">
        <v>1032</v>
      </c>
      <c r="B32" s="1740"/>
    </row>
    <row r="33" spans="1:10" ht="15.75">
      <c r="A33" s="1739" t="s">
        <v>1033</v>
      </c>
      <c r="B33" s="1740"/>
    </row>
    <row r="34" spans="1:10" ht="15.75">
      <c r="B34" s="4634" t="s">
        <v>162</v>
      </c>
      <c r="C34" s="4634"/>
      <c r="D34" s="1741"/>
      <c r="E34" s="1741"/>
      <c r="F34" s="1742" t="s">
        <v>1034</v>
      </c>
      <c r="I34" s="1742"/>
      <c r="J34" s="1742"/>
    </row>
    <row r="38" spans="1:10">
      <c r="B38" s="4629"/>
      <c r="C38" s="4629"/>
    </row>
  </sheetData>
  <mergeCells count="9">
    <mergeCell ref="A30:D30"/>
    <mergeCell ref="B34:C34"/>
    <mergeCell ref="B38:C38"/>
    <mergeCell ref="A1:L1"/>
    <mergeCell ref="A2:L2"/>
    <mergeCell ref="A3:G3"/>
    <mergeCell ref="A4:G4"/>
    <mergeCell ref="B6:L6"/>
    <mergeCell ref="D14:D29"/>
  </mergeCells>
  <pageMargins left="0.7" right="0.7" top="0.75" bottom="0.75" header="0.3" footer="0.3"/>
  <pageSetup paperSize="9" orientation="portrait" r:id="rId1"/>
  <legacy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59"/>
  <sheetViews>
    <sheetView topLeftCell="A23" workbookViewId="0">
      <selection activeCell="R47" sqref="R47"/>
    </sheetView>
  </sheetViews>
  <sheetFormatPr defaultRowHeight="14.25"/>
  <cols>
    <col min="1" max="1" width="5.125" customWidth="1"/>
    <col min="2" max="2" width="10.625" style="1716" customWidth="1"/>
    <col min="3" max="3" width="13.875" style="1716" customWidth="1"/>
    <col min="4" max="4" width="5.375" customWidth="1"/>
    <col min="5" max="5" width="4.25" customWidth="1"/>
    <col min="6" max="6" width="5" style="1712" customWidth="1"/>
    <col min="7" max="7" width="4.125" customWidth="1"/>
    <col min="8" max="8" width="4.875" customWidth="1"/>
    <col min="9" max="9" width="4" customWidth="1"/>
    <col min="10" max="10" width="5.375" style="1714" customWidth="1"/>
    <col min="11" max="11" width="7.25" customWidth="1"/>
    <col min="12" max="12" width="5" hidden="1" customWidth="1"/>
    <col min="13" max="13" width="10.125" style="1715" customWidth="1"/>
    <col min="14" max="14" width="7" customWidth="1"/>
  </cols>
  <sheetData>
    <row r="1" spans="1:14" ht="15.75">
      <c r="A1" s="3751" t="s">
        <v>165</v>
      </c>
      <c r="B1" s="3751"/>
      <c r="C1" s="3751"/>
      <c r="D1" s="3751"/>
      <c r="E1" s="3751"/>
      <c r="F1" s="3751"/>
      <c r="G1" s="3751"/>
      <c r="H1" s="3751"/>
      <c r="I1" s="3751"/>
      <c r="J1" s="3751"/>
      <c r="K1" s="3751"/>
      <c r="L1" s="3751"/>
      <c r="M1" s="3751"/>
      <c r="N1" s="3751"/>
    </row>
    <row r="2" spans="1:14" ht="15.75">
      <c r="A2" s="4130" t="s">
        <v>1015</v>
      </c>
      <c r="B2" s="4130"/>
      <c r="C2" s="4130"/>
      <c r="D2" s="4130"/>
      <c r="E2" s="4130"/>
      <c r="F2" s="4130"/>
      <c r="G2" s="4130"/>
      <c r="H2" s="4130"/>
      <c r="I2" s="4130"/>
      <c r="J2" s="4130"/>
      <c r="K2" s="4130"/>
      <c r="L2" s="4130"/>
      <c r="M2" s="4130"/>
      <c r="N2" s="4130"/>
    </row>
    <row r="3" spans="1:14" ht="15.75">
      <c r="A3" s="3751" t="s">
        <v>1016</v>
      </c>
      <c r="B3" s="3751"/>
      <c r="C3" s="3751"/>
      <c r="D3" s="3751"/>
      <c r="E3" s="3751"/>
      <c r="F3" s="3751"/>
      <c r="G3" s="3751"/>
      <c r="H3" s="2480"/>
      <c r="I3" s="2480"/>
      <c r="J3" s="1711"/>
      <c r="K3" s="1712"/>
      <c r="L3" s="1712"/>
      <c r="M3" s="1713"/>
      <c r="N3" s="1712"/>
    </row>
    <row r="4" spans="1:14" ht="15.75">
      <c r="A4" s="4130" t="s">
        <v>541</v>
      </c>
      <c r="B4" s="4130"/>
      <c r="C4" s="4130"/>
      <c r="D4" s="4130"/>
      <c r="E4" s="4130"/>
      <c r="F4" s="4130"/>
      <c r="G4" s="4130"/>
      <c r="H4" s="2481"/>
      <c r="I4" s="2481"/>
    </row>
    <row r="5" spans="1:14" ht="21.75">
      <c r="G5" s="1717" t="s">
        <v>1017</v>
      </c>
      <c r="H5" s="1717"/>
      <c r="I5" s="1717"/>
    </row>
    <row r="6" spans="1:14">
      <c r="A6" s="1718"/>
      <c r="B6" s="4630" t="s">
        <v>1271</v>
      </c>
      <c r="C6" s="4630"/>
      <c r="D6" s="4630"/>
      <c r="E6" s="4630"/>
      <c r="F6" s="4630"/>
      <c r="G6" s="4630"/>
      <c r="H6" s="4630"/>
      <c r="I6" s="4630"/>
      <c r="J6" s="4630"/>
      <c r="K6" s="4630"/>
      <c r="L6" s="4630"/>
      <c r="M6" s="4630"/>
      <c r="N6" s="4630"/>
    </row>
    <row r="7" spans="1:14">
      <c r="A7" s="1718"/>
      <c r="B7" s="1719" t="s">
        <v>1018</v>
      </c>
      <c r="C7" s="1719"/>
      <c r="D7" s="2483"/>
      <c r="E7" s="2483"/>
      <c r="G7" s="1718"/>
      <c r="H7" s="1718"/>
      <c r="I7" s="1718"/>
      <c r="J7" s="1721"/>
      <c r="K7" s="1718"/>
      <c r="L7" s="1718"/>
      <c r="M7" s="1722"/>
      <c r="N7" s="1718"/>
    </row>
    <row r="8" spans="1:14">
      <c r="A8" s="1718"/>
      <c r="B8" s="1719" t="s">
        <v>1270</v>
      </c>
      <c r="C8" s="1719"/>
      <c r="D8" s="2483"/>
      <c r="E8" s="1718"/>
      <c r="G8" s="1718"/>
      <c r="H8" s="1718"/>
      <c r="I8" s="1718"/>
      <c r="J8" s="1723" t="s">
        <v>1019</v>
      </c>
      <c r="K8" s="2483"/>
      <c r="L8" s="2483"/>
      <c r="M8" s="1722"/>
      <c r="N8" s="1718"/>
    </row>
    <row r="9" spans="1:14">
      <c r="A9" s="1718"/>
      <c r="B9" s="1719" t="s">
        <v>1035</v>
      </c>
      <c r="C9" s="1719"/>
      <c r="D9" s="2483"/>
      <c r="E9" s="1718"/>
      <c r="G9" s="1718"/>
      <c r="H9" s="1718"/>
      <c r="I9" s="1718"/>
      <c r="J9" s="1723" t="s">
        <v>1020</v>
      </c>
      <c r="K9" s="2483"/>
      <c r="L9" s="2483"/>
      <c r="M9" s="1722"/>
      <c r="N9" s="1718"/>
    </row>
    <row r="10" spans="1:14">
      <c r="A10" s="1718"/>
      <c r="B10" s="1296" t="s">
        <v>1209</v>
      </c>
      <c r="D10" s="1718"/>
      <c r="E10" s="1718"/>
      <c r="G10" s="1718"/>
      <c r="H10" s="1718"/>
      <c r="I10" s="1718"/>
      <c r="J10" s="1721"/>
      <c r="K10" s="1718"/>
      <c r="L10" s="1718"/>
      <c r="M10" s="1722"/>
      <c r="N10" s="1718"/>
    </row>
    <row r="11" spans="1:14">
      <c r="A11" s="1718" t="s">
        <v>1022</v>
      </c>
      <c r="D11" s="1718"/>
      <c r="E11" s="1718"/>
      <c r="G11" s="1718"/>
      <c r="H11" s="1718"/>
      <c r="I11" s="1718"/>
      <c r="J11" s="1721"/>
      <c r="K11" s="1718"/>
      <c r="L11" s="1718"/>
      <c r="M11" s="1722"/>
      <c r="N11" s="1718"/>
    </row>
    <row r="12" spans="1:14" ht="61.5" customHeight="1">
      <c r="A12" s="1724" t="s">
        <v>1</v>
      </c>
      <c r="B12" s="1724" t="s">
        <v>20</v>
      </c>
      <c r="C12" s="1724" t="s">
        <v>1023</v>
      </c>
      <c r="D12" s="1724" t="s">
        <v>810</v>
      </c>
      <c r="E12" s="1724" t="s">
        <v>7</v>
      </c>
      <c r="F12" s="1724" t="s">
        <v>1325</v>
      </c>
      <c r="G12" s="1724" t="s">
        <v>361</v>
      </c>
      <c r="H12" s="1724" t="s">
        <v>1326</v>
      </c>
      <c r="I12" s="1724" t="s">
        <v>361</v>
      </c>
      <c r="J12" s="1725" t="s">
        <v>47</v>
      </c>
      <c r="K12" s="1724" t="s">
        <v>1025</v>
      </c>
      <c r="L12" s="1724" t="s">
        <v>1026</v>
      </c>
      <c r="M12" s="1726" t="s">
        <v>1027</v>
      </c>
      <c r="N12" s="1727" t="s">
        <v>9</v>
      </c>
    </row>
    <row r="13" spans="1:14" ht="15.75" customHeight="1">
      <c r="A13" s="1728">
        <v>1</v>
      </c>
      <c r="B13" s="1726">
        <v>2</v>
      </c>
      <c r="C13" s="1726">
        <v>3</v>
      </c>
      <c r="D13" s="1728">
        <v>4</v>
      </c>
      <c r="E13" s="1728">
        <v>5</v>
      </c>
      <c r="F13" s="1728">
        <v>6</v>
      </c>
      <c r="G13" s="1728">
        <v>7</v>
      </c>
      <c r="H13" s="1728"/>
      <c r="I13" s="1728"/>
      <c r="J13" s="1729" t="s">
        <v>1211</v>
      </c>
      <c r="K13" s="1728">
        <v>9</v>
      </c>
      <c r="L13" s="1728">
        <v>9</v>
      </c>
      <c r="M13" s="1728" t="s">
        <v>1029</v>
      </c>
      <c r="N13" s="1730"/>
    </row>
    <row r="14" spans="1:14" ht="12" customHeight="1">
      <c r="A14" s="1731">
        <v>1</v>
      </c>
      <c r="B14" s="1732" t="str">
        <f>'Chấm công công nhân'!L13</f>
        <v>Vắt Đi</v>
      </c>
      <c r="C14" s="1726"/>
      <c r="D14" s="4365" t="s">
        <v>1276</v>
      </c>
      <c r="E14" s="1728" t="s">
        <v>1030</v>
      </c>
      <c r="F14" s="1728"/>
      <c r="G14" s="1729">
        <f>25000/175000</f>
        <v>0.14285714285714285</v>
      </c>
      <c r="H14" s="70"/>
      <c r="I14" s="1729">
        <f>25000/200000</f>
        <v>0.125</v>
      </c>
      <c r="J14" s="1729">
        <f>(F14/G14)+(H14/I14)</f>
        <v>0</v>
      </c>
      <c r="K14" s="1733">
        <v>25000</v>
      </c>
      <c r="L14" s="1728"/>
      <c r="M14" s="1733">
        <f>K14*J14</f>
        <v>0</v>
      </c>
      <c r="N14" s="1730"/>
    </row>
    <row r="15" spans="1:14" ht="12" customHeight="1">
      <c r="A15" s="1731">
        <v>2</v>
      </c>
      <c r="B15" s="1732" t="str">
        <f>'Chấm công công nhân'!L14</f>
        <v>T Ô Vên</v>
      </c>
      <c r="C15" s="1726" t="s">
        <v>1272</v>
      </c>
      <c r="D15" s="4635"/>
      <c r="E15" s="1728" t="s">
        <v>1030</v>
      </c>
      <c r="F15" s="1728"/>
      <c r="G15" s="1729">
        <f t="shared" ref="G15:G50" si="0">25000/175000</f>
        <v>0.14285714285714285</v>
      </c>
      <c r="H15" s="70"/>
      <c r="I15" s="1729">
        <f t="shared" ref="I15:I50" si="1">25000/200000</f>
        <v>0.125</v>
      </c>
      <c r="J15" s="1729">
        <f t="shared" ref="J15:J50" si="2">(F15/G15)+(H15/I15)</f>
        <v>0</v>
      </c>
      <c r="K15" s="1733">
        <v>25000</v>
      </c>
      <c r="L15" s="1731"/>
      <c r="M15" s="1733">
        <f t="shared" ref="M15:M50" si="3">K15*J15</f>
        <v>0</v>
      </c>
      <c r="N15" s="1730"/>
    </row>
    <row r="16" spans="1:14" ht="12" customHeight="1">
      <c r="A16" s="1731">
        <v>3</v>
      </c>
      <c r="B16" s="1732" t="str">
        <f>'Chấm công công nhân'!L15</f>
        <v>Nàng Túc</v>
      </c>
      <c r="C16" s="1726" t="s">
        <v>1272</v>
      </c>
      <c r="D16" s="4635"/>
      <c r="E16" s="1728" t="s">
        <v>1030</v>
      </c>
      <c r="F16" s="1728"/>
      <c r="G16" s="1729">
        <f t="shared" si="0"/>
        <v>0.14285714285714285</v>
      </c>
      <c r="H16" s="70"/>
      <c r="I16" s="1729">
        <f t="shared" si="1"/>
        <v>0.125</v>
      </c>
      <c r="J16" s="1729">
        <f t="shared" si="2"/>
        <v>0</v>
      </c>
      <c r="K16" s="1733">
        <v>25000</v>
      </c>
      <c r="L16" s="1731"/>
      <c r="M16" s="1733">
        <f t="shared" si="3"/>
        <v>0</v>
      </c>
      <c r="N16" s="1730"/>
    </row>
    <row r="17" spans="1:14" ht="12" customHeight="1">
      <c r="A17" s="1731">
        <v>4</v>
      </c>
      <c r="B17" s="1732" t="str">
        <f>'Chấm công công nhân'!L16</f>
        <v>Thảo Say</v>
      </c>
      <c r="C17" s="1726" t="s">
        <v>1272</v>
      </c>
      <c r="D17" s="4635"/>
      <c r="E17" s="1728" t="s">
        <v>1030</v>
      </c>
      <c r="F17" s="1728"/>
      <c r="G17" s="1729">
        <f t="shared" si="0"/>
        <v>0.14285714285714285</v>
      </c>
      <c r="H17" s="70"/>
      <c r="I17" s="1729">
        <f t="shared" si="1"/>
        <v>0.125</v>
      </c>
      <c r="J17" s="1729">
        <f t="shared" si="2"/>
        <v>0</v>
      </c>
      <c r="K17" s="1733">
        <v>25000</v>
      </c>
      <c r="L17" s="1731"/>
      <c r="M17" s="1733">
        <f t="shared" si="3"/>
        <v>0</v>
      </c>
      <c r="N17" s="1730"/>
    </row>
    <row r="18" spans="1:14" ht="12" customHeight="1">
      <c r="A18" s="1731">
        <v>5</v>
      </c>
      <c r="B18" s="1732" t="str">
        <f>'Chấm công công nhân'!L17</f>
        <v>Thảo Pheng</v>
      </c>
      <c r="C18" s="1726" t="s">
        <v>1272</v>
      </c>
      <c r="D18" s="4635"/>
      <c r="E18" s="1728" t="s">
        <v>1030</v>
      </c>
      <c r="F18" s="1728"/>
      <c r="G18" s="1729">
        <f t="shared" si="0"/>
        <v>0.14285714285714285</v>
      </c>
      <c r="H18" s="70"/>
      <c r="I18" s="1729">
        <f t="shared" si="1"/>
        <v>0.125</v>
      </c>
      <c r="J18" s="1729">
        <f t="shared" si="2"/>
        <v>0</v>
      </c>
      <c r="K18" s="1733">
        <v>25000</v>
      </c>
      <c r="L18" s="1728"/>
      <c r="M18" s="1733">
        <f t="shared" si="3"/>
        <v>0</v>
      </c>
      <c r="N18" s="1730"/>
    </row>
    <row r="19" spans="1:14" ht="12" customHeight="1">
      <c r="A19" s="1731">
        <v>6</v>
      </c>
      <c r="B19" s="1732" t="str">
        <f>'Chấm công công nhân'!L18</f>
        <v>Nàng Chay</v>
      </c>
      <c r="C19" s="1726" t="s">
        <v>1272</v>
      </c>
      <c r="D19" s="4635"/>
      <c r="E19" s="1728" t="s">
        <v>1030</v>
      </c>
      <c r="F19" s="1728"/>
      <c r="G19" s="1729">
        <f t="shared" si="0"/>
        <v>0.14285714285714285</v>
      </c>
      <c r="H19" s="70"/>
      <c r="I19" s="1729">
        <f t="shared" si="1"/>
        <v>0.125</v>
      </c>
      <c r="J19" s="1729">
        <f t="shared" si="2"/>
        <v>0</v>
      </c>
      <c r="K19" s="1733">
        <v>25000</v>
      </c>
      <c r="L19" s="1728"/>
      <c r="M19" s="1733">
        <f t="shared" si="3"/>
        <v>0</v>
      </c>
      <c r="N19" s="1730"/>
    </row>
    <row r="20" spans="1:14" ht="12" customHeight="1">
      <c r="A20" s="1731">
        <v>7</v>
      </c>
      <c r="B20" s="1732" t="str">
        <f>'Chấm công công nhân'!L19</f>
        <v>Nàng Hđao</v>
      </c>
      <c r="C20" s="1726" t="s">
        <v>1272</v>
      </c>
      <c r="D20" s="4635"/>
      <c r="E20" s="1728" t="s">
        <v>1030</v>
      </c>
      <c r="F20" s="1728"/>
      <c r="G20" s="1729">
        <f t="shared" si="0"/>
        <v>0.14285714285714285</v>
      </c>
      <c r="H20" s="70"/>
      <c r="I20" s="1729">
        <f t="shared" si="1"/>
        <v>0.125</v>
      </c>
      <c r="J20" s="1729">
        <f t="shared" si="2"/>
        <v>0</v>
      </c>
      <c r="K20" s="1733">
        <v>25000</v>
      </c>
      <c r="L20" s="1731"/>
      <c r="M20" s="1733">
        <f t="shared" si="3"/>
        <v>0</v>
      </c>
      <c r="N20" s="1730"/>
    </row>
    <row r="21" spans="1:14" ht="12" customHeight="1">
      <c r="A21" s="1731">
        <v>8</v>
      </c>
      <c r="B21" s="1732" t="str">
        <f>'Chấm công công nhân'!L20</f>
        <v xml:space="preserve">Thảo Ken </v>
      </c>
      <c r="C21" s="1726" t="s">
        <v>1272</v>
      </c>
      <c r="D21" s="4635"/>
      <c r="E21" s="1728" t="s">
        <v>1030</v>
      </c>
      <c r="F21" s="1728"/>
      <c r="G21" s="1729">
        <f t="shared" si="0"/>
        <v>0.14285714285714285</v>
      </c>
      <c r="H21" s="70"/>
      <c r="I21" s="1729">
        <f t="shared" si="1"/>
        <v>0.125</v>
      </c>
      <c r="J21" s="1729">
        <f t="shared" si="2"/>
        <v>0</v>
      </c>
      <c r="K21" s="1733">
        <v>25000</v>
      </c>
      <c r="L21" s="1731"/>
      <c r="M21" s="1733">
        <f t="shared" si="3"/>
        <v>0</v>
      </c>
      <c r="N21" s="1730"/>
    </row>
    <row r="22" spans="1:14" ht="12" customHeight="1">
      <c r="A22" s="1731">
        <v>9</v>
      </c>
      <c r="B22" s="1732" t="str">
        <f>'Chấm công công nhân'!L21</f>
        <v>Thảo Cợt</v>
      </c>
      <c r="C22" s="1726" t="s">
        <v>1272</v>
      </c>
      <c r="D22" s="4635"/>
      <c r="E22" s="1728" t="s">
        <v>1030</v>
      </c>
      <c r="F22" s="1728"/>
      <c r="G22" s="1729">
        <f t="shared" si="0"/>
        <v>0.14285714285714285</v>
      </c>
      <c r="H22" s="70"/>
      <c r="I22" s="1729">
        <f t="shared" si="1"/>
        <v>0.125</v>
      </c>
      <c r="J22" s="1729">
        <f t="shared" si="2"/>
        <v>0</v>
      </c>
      <c r="K22" s="1733">
        <v>25000</v>
      </c>
      <c r="L22" s="1731"/>
      <c r="M22" s="1733">
        <f t="shared" si="3"/>
        <v>0</v>
      </c>
      <c r="N22" s="1730"/>
    </row>
    <row r="23" spans="1:14" ht="12" customHeight="1">
      <c r="A23" s="1731">
        <v>10</v>
      </c>
      <c r="B23" s="1732" t="str">
        <f>'Chấm công công nhân'!L22</f>
        <v>Thảo Mi</v>
      </c>
      <c r="C23" s="1726" t="s">
        <v>1272</v>
      </c>
      <c r="D23" s="4635"/>
      <c r="E23" s="1728" t="s">
        <v>1030</v>
      </c>
      <c r="F23" s="1728"/>
      <c r="G23" s="1729">
        <f t="shared" si="0"/>
        <v>0.14285714285714285</v>
      </c>
      <c r="H23" s="70"/>
      <c r="I23" s="1729">
        <f t="shared" si="1"/>
        <v>0.125</v>
      </c>
      <c r="J23" s="1729">
        <f t="shared" si="2"/>
        <v>0</v>
      </c>
      <c r="K23" s="1733">
        <v>25000</v>
      </c>
      <c r="L23" s="1728"/>
      <c r="M23" s="1733">
        <f t="shared" si="3"/>
        <v>0</v>
      </c>
      <c r="N23" s="1730"/>
    </row>
    <row r="24" spans="1:14" ht="12" customHeight="1">
      <c r="A24" s="1731">
        <v>11</v>
      </c>
      <c r="B24" s="1732" t="str">
        <f>'Chấm công công nhân'!L23</f>
        <v>Thảo Phét</v>
      </c>
      <c r="C24" s="1726" t="s">
        <v>1272</v>
      </c>
      <c r="D24" s="4635"/>
      <c r="E24" s="1728" t="s">
        <v>1030</v>
      </c>
      <c r="F24" s="1728"/>
      <c r="G24" s="1729">
        <f t="shared" si="0"/>
        <v>0.14285714285714285</v>
      </c>
      <c r="H24" s="70"/>
      <c r="I24" s="1729">
        <f t="shared" si="1"/>
        <v>0.125</v>
      </c>
      <c r="J24" s="1729">
        <f t="shared" si="2"/>
        <v>0</v>
      </c>
      <c r="K24" s="1733">
        <v>25000</v>
      </c>
      <c r="L24" s="1728"/>
      <c r="M24" s="1733">
        <f t="shared" si="3"/>
        <v>0</v>
      </c>
      <c r="N24" s="1730"/>
    </row>
    <row r="25" spans="1:14" ht="12" customHeight="1">
      <c r="A25" s="1731">
        <v>12</v>
      </c>
      <c r="B25" s="1732" t="str">
        <f>'Chấm công công nhân'!L24</f>
        <v>Thảo Hăm</v>
      </c>
      <c r="C25" s="1726" t="s">
        <v>1272</v>
      </c>
      <c r="D25" s="4635"/>
      <c r="E25" s="1728" t="s">
        <v>1030</v>
      </c>
      <c r="F25" s="1728"/>
      <c r="G25" s="1729">
        <f t="shared" si="0"/>
        <v>0.14285714285714285</v>
      </c>
      <c r="H25" s="70"/>
      <c r="I25" s="1729">
        <f t="shared" si="1"/>
        <v>0.125</v>
      </c>
      <c r="J25" s="1729">
        <f t="shared" si="2"/>
        <v>0</v>
      </c>
      <c r="K25" s="1733">
        <v>25000</v>
      </c>
      <c r="L25" s="1731"/>
      <c r="M25" s="1733">
        <f t="shared" si="3"/>
        <v>0</v>
      </c>
      <c r="N25" s="1730"/>
    </row>
    <row r="26" spans="1:14" ht="12" customHeight="1">
      <c r="A26" s="1731">
        <v>13</v>
      </c>
      <c r="B26" s="1732" t="str">
        <f>'Chấm công công nhân'!L25</f>
        <v>Nang Lon</v>
      </c>
      <c r="C26" s="1726" t="s">
        <v>1272</v>
      </c>
      <c r="D26" s="4635"/>
      <c r="E26" s="1728" t="s">
        <v>1030</v>
      </c>
      <c r="F26" s="1728"/>
      <c r="G26" s="1729">
        <f t="shared" si="0"/>
        <v>0.14285714285714285</v>
      </c>
      <c r="H26" s="70"/>
      <c r="I26" s="1729">
        <f t="shared" si="1"/>
        <v>0.125</v>
      </c>
      <c r="J26" s="1729">
        <f t="shared" si="2"/>
        <v>0</v>
      </c>
      <c r="K26" s="1733">
        <v>25000</v>
      </c>
      <c r="L26" s="1731"/>
      <c r="M26" s="1733">
        <f t="shared" si="3"/>
        <v>0</v>
      </c>
      <c r="N26" s="1730"/>
    </row>
    <row r="27" spans="1:14" ht="12" customHeight="1">
      <c r="A27" s="1731">
        <v>14</v>
      </c>
      <c r="B27" s="1732" t="str">
        <f>'Chấm công công nhân'!L26</f>
        <v>Thảo Phết</v>
      </c>
      <c r="C27" s="1726" t="s">
        <v>1272</v>
      </c>
      <c r="D27" s="4635"/>
      <c r="E27" s="1728" t="s">
        <v>1030</v>
      </c>
      <c r="F27" s="1728"/>
      <c r="G27" s="1729">
        <f t="shared" si="0"/>
        <v>0.14285714285714285</v>
      </c>
      <c r="H27" s="70"/>
      <c r="I27" s="1729">
        <f t="shared" si="1"/>
        <v>0.125</v>
      </c>
      <c r="J27" s="1729">
        <f t="shared" si="2"/>
        <v>0</v>
      </c>
      <c r="K27" s="1733">
        <v>25000</v>
      </c>
      <c r="L27" s="1731"/>
      <c r="M27" s="1733">
        <f t="shared" si="3"/>
        <v>0</v>
      </c>
      <c r="N27" s="1730"/>
    </row>
    <row r="28" spans="1:14" ht="12" customHeight="1">
      <c r="A28" s="1731">
        <v>15</v>
      </c>
      <c r="B28" s="1732" t="str">
        <f>'Chấm công công nhân'!L27</f>
        <v>Vĩ Lay</v>
      </c>
      <c r="C28" s="1726" t="s">
        <v>1272</v>
      </c>
      <c r="D28" s="4635"/>
      <c r="E28" s="1728" t="s">
        <v>1030</v>
      </c>
      <c r="F28" s="1728"/>
      <c r="G28" s="1729">
        <f t="shared" si="0"/>
        <v>0.14285714285714285</v>
      </c>
      <c r="H28" s="70"/>
      <c r="I28" s="1729">
        <f t="shared" si="1"/>
        <v>0.125</v>
      </c>
      <c r="J28" s="1729">
        <f t="shared" si="2"/>
        <v>0</v>
      </c>
      <c r="K28" s="1733">
        <v>25000</v>
      </c>
      <c r="L28" s="1728"/>
      <c r="M28" s="1733">
        <f t="shared" si="3"/>
        <v>0</v>
      </c>
      <c r="N28" s="1730"/>
    </row>
    <row r="29" spans="1:14" ht="12" customHeight="1">
      <c r="A29" s="1731">
        <v>16</v>
      </c>
      <c r="B29" s="1732" t="str">
        <f>'Chấm công công nhân'!L28</f>
        <v>Pha Xúc</v>
      </c>
      <c r="C29" s="1726"/>
      <c r="D29" s="4635"/>
      <c r="E29" s="1728" t="s">
        <v>1030</v>
      </c>
      <c r="F29" s="1728"/>
      <c r="G29" s="1729">
        <f t="shared" si="0"/>
        <v>0.14285714285714285</v>
      </c>
      <c r="H29" s="70"/>
      <c r="I29" s="1729">
        <f t="shared" si="1"/>
        <v>0.125</v>
      </c>
      <c r="J29" s="1729">
        <f t="shared" si="2"/>
        <v>0</v>
      </c>
      <c r="K29" s="1733">
        <v>25000</v>
      </c>
      <c r="L29" s="1728"/>
      <c r="M29" s="1733">
        <f t="shared" si="3"/>
        <v>0</v>
      </c>
      <c r="N29" s="1730"/>
    </row>
    <row r="30" spans="1:14" ht="12" customHeight="1">
      <c r="A30" s="1731">
        <v>17</v>
      </c>
      <c r="B30" s="1732" t="str">
        <f>'Chấm công công nhân'!L29</f>
        <v>Nàng Đao</v>
      </c>
      <c r="C30" s="1726" t="s">
        <v>1272</v>
      </c>
      <c r="D30" s="4635"/>
      <c r="E30" s="1728" t="s">
        <v>1030</v>
      </c>
      <c r="F30" s="1728"/>
      <c r="G30" s="1729">
        <f t="shared" si="0"/>
        <v>0.14285714285714285</v>
      </c>
      <c r="H30" s="70"/>
      <c r="I30" s="1729">
        <f t="shared" si="1"/>
        <v>0.125</v>
      </c>
      <c r="J30" s="1729">
        <f t="shared" si="2"/>
        <v>0</v>
      </c>
      <c r="K30" s="1733">
        <v>25000</v>
      </c>
      <c r="L30" s="1731"/>
      <c r="M30" s="1733">
        <f t="shared" si="3"/>
        <v>0</v>
      </c>
      <c r="N30" s="1730"/>
    </row>
    <row r="31" spans="1:14" ht="12" customHeight="1">
      <c r="A31" s="1731">
        <v>18</v>
      </c>
      <c r="B31" s="1732" t="str">
        <f>'Chấm công công nhân'!L30</f>
        <v>Nàng Kiên</v>
      </c>
      <c r="C31" s="1726" t="s">
        <v>1272</v>
      </c>
      <c r="D31" s="4635"/>
      <c r="E31" s="1728" t="s">
        <v>1030</v>
      </c>
      <c r="F31" s="1728"/>
      <c r="G31" s="1729">
        <f t="shared" si="0"/>
        <v>0.14285714285714285</v>
      </c>
      <c r="H31" s="70"/>
      <c r="I31" s="1729">
        <f t="shared" si="1"/>
        <v>0.125</v>
      </c>
      <c r="J31" s="1729">
        <f t="shared" si="2"/>
        <v>0</v>
      </c>
      <c r="K31" s="1733">
        <v>25000</v>
      </c>
      <c r="L31" s="1731"/>
      <c r="M31" s="1733">
        <f t="shared" si="3"/>
        <v>0</v>
      </c>
      <c r="N31" s="1730"/>
    </row>
    <row r="32" spans="1:14" ht="12" customHeight="1">
      <c r="A32" s="1731">
        <v>19</v>
      </c>
      <c r="B32" s="1732" t="str">
        <f>'Chấm công công nhân'!L31</f>
        <v>Nàng Túc 2</v>
      </c>
      <c r="C32" s="1726" t="s">
        <v>1272</v>
      </c>
      <c r="D32" s="4635"/>
      <c r="E32" s="1728" t="s">
        <v>1030</v>
      </c>
      <c r="F32" s="1728"/>
      <c r="G32" s="1729">
        <f t="shared" si="0"/>
        <v>0.14285714285714285</v>
      </c>
      <c r="H32" s="70"/>
      <c r="I32" s="1729">
        <f t="shared" si="1"/>
        <v>0.125</v>
      </c>
      <c r="J32" s="1729">
        <f t="shared" si="2"/>
        <v>0</v>
      </c>
      <c r="K32" s="1733">
        <v>25000</v>
      </c>
      <c r="L32" s="1731"/>
      <c r="M32" s="1733">
        <f t="shared" si="3"/>
        <v>0</v>
      </c>
      <c r="N32" s="1730"/>
    </row>
    <row r="33" spans="1:14" ht="12" customHeight="1">
      <c r="A33" s="1731">
        <v>20</v>
      </c>
      <c r="B33" s="1732" t="str">
        <f>'Chấm công công nhân'!L32</f>
        <v>Nàng Phon</v>
      </c>
      <c r="C33" s="1726" t="s">
        <v>1272</v>
      </c>
      <c r="D33" s="4635"/>
      <c r="E33" s="1728" t="s">
        <v>1030</v>
      </c>
      <c r="F33" s="1728"/>
      <c r="G33" s="1729">
        <f t="shared" si="0"/>
        <v>0.14285714285714285</v>
      </c>
      <c r="H33" s="70"/>
      <c r="I33" s="1729">
        <f t="shared" si="1"/>
        <v>0.125</v>
      </c>
      <c r="J33" s="1729">
        <f t="shared" si="2"/>
        <v>0</v>
      </c>
      <c r="K33" s="1733">
        <v>25000</v>
      </c>
      <c r="L33" s="1728"/>
      <c r="M33" s="1733">
        <f t="shared" si="3"/>
        <v>0</v>
      </c>
      <c r="N33" s="1730"/>
    </row>
    <row r="34" spans="1:14" ht="12" customHeight="1">
      <c r="A34" s="1731">
        <v>21</v>
      </c>
      <c r="B34" s="1732" t="str">
        <f>'Chấm công công nhân'!L33</f>
        <v>Thảo Chòi</v>
      </c>
      <c r="C34" s="1726" t="s">
        <v>1272</v>
      </c>
      <c r="D34" s="4635"/>
      <c r="E34" s="1728" t="s">
        <v>1030</v>
      </c>
      <c r="F34" s="1728"/>
      <c r="G34" s="1729">
        <f t="shared" si="0"/>
        <v>0.14285714285714285</v>
      </c>
      <c r="H34" s="70"/>
      <c r="I34" s="1729">
        <f t="shared" si="1"/>
        <v>0.125</v>
      </c>
      <c r="J34" s="1729">
        <f t="shared" si="2"/>
        <v>0</v>
      </c>
      <c r="K34" s="1733">
        <v>25000</v>
      </c>
      <c r="L34" s="1728"/>
      <c r="M34" s="1733">
        <f t="shared" si="3"/>
        <v>0</v>
      </c>
      <c r="N34" s="1730"/>
    </row>
    <row r="35" spans="1:14" ht="12" customHeight="1">
      <c r="A35" s="1731">
        <v>22</v>
      </c>
      <c r="B35" s="1732" t="str">
        <f>'Chấm công công nhân'!L34</f>
        <v>Thong La</v>
      </c>
      <c r="C35" s="1726" t="s">
        <v>1272</v>
      </c>
      <c r="D35" s="4635"/>
      <c r="E35" s="1728" t="s">
        <v>1030</v>
      </c>
      <c r="F35" s="1728"/>
      <c r="G35" s="1729">
        <f t="shared" si="0"/>
        <v>0.14285714285714285</v>
      </c>
      <c r="H35" s="70"/>
      <c r="I35" s="1729">
        <f t="shared" si="1"/>
        <v>0.125</v>
      </c>
      <c r="J35" s="1729">
        <f t="shared" si="2"/>
        <v>0</v>
      </c>
      <c r="K35" s="1733">
        <v>25000</v>
      </c>
      <c r="L35" s="1731"/>
      <c r="M35" s="1733">
        <f t="shared" si="3"/>
        <v>0</v>
      </c>
      <c r="N35" s="1730"/>
    </row>
    <row r="36" spans="1:14" ht="12" customHeight="1">
      <c r="A36" s="1731">
        <v>23</v>
      </c>
      <c r="B36" s="1732" t="str">
        <f>'Chấm công công nhân'!L35</f>
        <v>Thảo kok</v>
      </c>
      <c r="C36" s="1726" t="s">
        <v>1272</v>
      </c>
      <c r="D36" s="4635"/>
      <c r="E36" s="1728" t="s">
        <v>1030</v>
      </c>
      <c r="F36" s="1728"/>
      <c r="G36" s="1729">
        <f t="shared" si="0"/>
        <v>0.14285714285714285</v>
      </c>
      <c r="H36" s="70"/>
      <c r="I36" s="1729">
        <f t="shared" si="1"/>
        <v>0.125</v>
      </c>
      <c r="J36" s="1729">
        <f t="shared" si="2"/>
        <v>0</v>
      </c>
      <c r="K36" s="1733">
        <v>25000</v>
      </c>
      <c r="L36" s="1731"/>
      <c r="M36" s="1733">
        <f t="shared" si="3"/>
        <v>0</v>
      </c>
      <c r="N36" s="1730"/>
    </row>
    <row r="37" spans="1:14" ht="12" customHeight="1">
      <c r="A37" s="1731">
        <v>24</v>
      </c>
      <c r="B37" s="1732" t="str">
        <f>'Chấm công công nhân'!L36</f>
        <v>Thảo Hôm</v>
      </c>
      <c r="C37" s="1726" t="s">
        <v>1272</v>
      </c>
      <c r="D37" s="4635"/>
      <c r="E37" s="1728" t="s">
        <v>1030</v>
      </c>
      <c r="F37" s="1728"/>
      <c r="G37" s="1729">
        <f t="shared" si="0"/>
        <v>0.14285714285714285</v>
      </c>
      <c r="H37" s="70"/>
      <c r="I37" s="1729">
        <f t="shared" si="1"/>
        <v>0.125</v>
      </c>
      <c r="J37" s="1729">
        <f t="shared" si="2"/>
        <v>0</v>
      </c>
      <c r="K37" s="1733">
        <v>25000</v>
      </c>
      <c r="L37" s="1731"/>
      <c r="M37" s="1733">
        <f t="shared" si="3"/>
        <v>0</v>
      </c>
      <c r="N37" s="1730"/>
    </row>
    <row r="38" spans="1:14" ht="12" customHeight="1">
      <c r="A38" s="1731">
        <v>25</v>
      </c>
      <c r="B38" s="1732" t="str">
        <f>'Chấm công công nhân'!L37</f>
        <v>Nàng Lam</v>
      </c>
      <c r="C38" s="1726" t="s">
        <v>1272</v>
      </c>
      <c r="D38" s="4635"/>
      <c r="E38" s="1728" t="s">
        <v>1030</v>
      </c>
      <c r="F38" s="1728"/>
      <c r="G38" s="1729">
        <f t="shared" si="0"/>
        <v>0.14285714285714285</v>
      </c>
      <c r="H38" s="70"/>
      <c r="I38" s="1729">
        <f t="shared" si="1"/>
        <v>0.125</v>
      </c>
      <c r="J38" s="1729">
        <f t="shared" si="2"/>
        <v>0</v>
      </c>
      <c r="K38" s="1733">
        <v>25000</v>
      </c>
      <c r="L38" s="1728"/>
      <c r="M38" s="1733">
        <f t="shared" si="3"/>
        <v>0</v>
      </c>
      <c r="N38" s="1730"/>
    </row>
    <row r="39" spans="1:14" ht="12" customHeight="1">
      <c r="A39" s="1731">
        <v>26</v>
      </c>
      <c r="B39" s="1732" t="str">
        <f>'Chấm công công nhân'!L38</f>
        <v>Thảo Hơ Phơ</v>
      </c>
      <c r="C39" s="1726" t="s">
        <v>1272</v>
      </c>
      <c r="D39" s="4635"/>
      <c r="E39" s="1728" t="s">
        <v>1030</v>
      </c>
      <c r="F39" s="1728"/>
      <c r="G39" s="1729">
        <f t="shared" si="0"/>
        <v>0.14285714285714285</v>
      </c>
      <c r="H39" s="70"/>
      <c r="I39" s="1729">
        <f t="shared" si="1"/>
        <v>0.125</v>
      </c>
      <c r="J39" s="1729">
        <f t="shared" si="2"/>
        <v>0</v>
      </c>
      <c r="K39" s="1733">
        <v>25000</v>
      </c>
      <c r="L39" s="1728"/>
      <c r="M39" s="1733">
        <f t="shared" si="3"/>
        <v>0</v>
      </c>
      <c r="N39" s="1730"/>
    </row>
    <row r="40" spans="1:14" ht="12" customHeight="1">
      <c r="A40" s="1731">
        <v>27</v>
      </c>
      <c r="B40" s="1732" t="str">
        <f>'Chấm công công nhân'!L39</f>
        <v>Thảo Lay</v>
      </c>
      <c r="C40" s="1726" t="s">
        <v>1272</v>
      </c>
      <c r="D40" s="4635"/>
      <c r="E40" s="1728" t="s">
        <v>1030</v>
      </c>
      <c r="F40" s="1728"/>
      <c r="G40" s="1729">
        <f t="shared" si="0"/>
        <v>0.14285714285714285</v>
      </c>
      <c r="H40" s="70"/>
      <c r="I40" s="1729">
        <f t="shared" si="1"/>
        <v>0.125</v>
      </c>
      <c r="J40" s="1729">
        <f t="shared" si="2"/>
        <v>0</v>
      </c>
      <c r="K40" s="1733">
        <v>25000</v>
      </c>
      <c r="L40" s="1731"/>
      <c r="M40" s="1733">
        <f t="shared" si="3"/>
        <v>0</v>
      </c>
      <c r="N40" s="1730"/>
    </row>
    <row r="41" spans="1:14" ht="12" customHeight="1">
      <c r="A41" s="1731">
        <v>28</v>
      </c>
      <c r="B41" s="1732" t="str">
        <f>'Chấm công công nhân'!L40</f>
        <v>Thảo Khốc</v>
      </c>
      <c r="C41" s="1726" t="s">
        <v>1272</v>
      </c>
      <c r="D41" s="4635"/>
      <c r="E41" s="1728" t="s">
        <v>1030</v>
      </c>
      <c r="F41" s="1728"/>
      <c r="G41" s="1729">
        <f t="shared" si="0"/>
        <v>0.14285714285714285</v>
      </c>
      <c r="H41" s="70"/>
      <c r="I41" s="1729">
        <f t="shared" si="1"/>
        <v>0.125</v>
      </c>
      <c r="J41" s="1729">
        <f t="shared" si="2"/>
        <v>0</v>
      </c>
      <c r="K41" s="1733">
        <v>25000</v>
      </c>
      <c r="L41" s="1731"/>
      <c r="M41" s="1733">
        <f t="shared" si="3"/>
        <v>0</v>
      </c>
      <c r="N41" s="1730"/>
    </row>
    <row r="42" spans="1:14" ht="12" customHeight="1">
      <c r="A42" s="1731">
        <v>29</v>
      </c>
      <c r="B42" s="1732" t="str">
        <f>'Chấm công công nhân'!L41</f>
        <v>Thảo Sợt</v>
      </c>
      <c r="C42" s="1726" t="s">
        <v>1272</v>
      </c>
      <c r="D42" s="4635"/>
      <c r="E42" s="1728" t="s">
        <v>1030</v>
      </c>
      <c r="F42" s="1728"/>
      <c r="G42" s="1729">
        <f t="shared" si="0"/>
        <v>0.14285714285714285</v>
      </c>
      <c r="H42" s="70"/>
      <c r="I42" s="1729">
        <f t="shared" si="1"/>
        <v>0.125</v>
      </c>
      <c r="J42" s="1729">
        <f t="shared" si="2"/>
        <v>0</v>
      </c>
      <c r="K42" s="1733">
        <v>25000</v>
      </c>
      <c r="L42" s="1731"/>
      <c r="M42" s="1733">
        <f t="shared" si="3"/>
        <v>0</v>
      </c>
      <c r="N42" s="1730"/>
    </row>
    <row r="43" spans="1:14" ht="12" customHeight="1">
      <c r="A43" s="1731">
        <v>30</v>
      </c>
      <c r="B43" s="1732" t="str">
        <f>'Chấm công công nhân'!L42</f>
        <v>Thảo Văn</v>
      </c>
      <c r="C43" s="1726" t="s">
        <v>1272</v>
      </c>
      <c r="D43" s="4635"/>
      <c r="E43" s="1728" t="s">
        <v>1030</v>
      </c>
      <c r="F43" s="1728"/>
      <c r="G43" s="1729">
        <f t="shared" si="0"/>
        <v>0.14285714285714285</v>
      </c>
      <c r="H43" s="70"/>
      <c r="I43" s="1729">
        <f t="shared" si="1"/>
        <v>0.125</v>
      </c>
      <c r="J43" s="1729">
        <f t="shared" si="2"/>
        <v>0</v>
      </c>
      <c r="K43" s="1733">
        <v>25000</v>
      </c>
      <c r="L43" s="1728"/>
      <c r="M43" s="1733">
        <f t="shared" si="3"/>
        <v>0</v>
      </c>
      <c r="N43" s="1730"/>
    </row>
    <row r="44" spans="1:14" ht="12" customHeight="1">
      <c r="A44" s="1731">
        <v>31</v>
      </c>
      <c r="B44" s="1732" t="str">
        <f>'Chấm công công nhân'!L43</f>
        <v>Thảo Thong</v>
      </c>
      <c r="C44" s="1726" t="s">
        <v>1272</v>
      </c>
      <c r="D44" s="4635"/>
      <c r="E44" s="1728" t="s">
        <v>1030</v>
      </c>
      <c r="F44" s="1728"/>
      <c r="G44" s="1729">
        <f t="shared" si="0"/>
        <v>0.14285714285714285</v>
      </c>
      <c r="H44" s="70"/>
      <c r="I44" s="1729">
        <f t="shared" si="1"/>
        <v>0.125</v>
      </c>
      <c r="J44" s="1729">
        <f t="shared" si="2"/>
        <v>0</v>
      </c>
      <c r="K44" s="1733">
        <v>25000</v>
      </c>
      <c r="L44" s="1728"/>
      <c r="M44" s="1733">
        <f t="shared" si="3"/>
        <v>0</v>
      </c>
      <c r="N44" s="1730"/>
    </row>
    <row r="45" spans="1:14" ht="12" customHeight="1">
      <c r="A45" s="1731">
        <v>32</v>
      </c>
      <c r="B45" s="1732" t="str">
        <f>'Chấm công công nhân'!L44</f>
        <v xml:space="preserve"> Nàng Ngột</v>
      </c>
      <c r="C45" s="1726" t="s">
        <v>1272</v>
      </c>
      <c r="D45" s="4635"/>
      <c r="E45" s="1728" t="s">
        <v>1030</v>
      </c>
      <c r="F45" s="1728"/>
      <c r="G45" s="1729">
        <f t="shared" si="0"/>
        <v>0.14285714285714285</v>
      </c>
      <c r="H45" s="70"/>
      <c r="I45" s="1729">
        <f t="shared" si="1"/>
        <v>0.125</v>
      </c>
      <c r="J45" s="1729">
        <f t="shared" si="2"/>
        <v>0</v>
      </c>
      <c r="K45" s="1733">
        <v>25000</v>
      </c>
      <c r="L45" s="1728"/>
      <c r="M45" s="1733">
        <f t="shared" si="3"/>
        <v>0</v>
      </c>
      <c r="N45" s="1730"/>
    </row>
    <row r="46" spans="1:14" ht="12" customHeight="1">
      <c r="A46" s="1731">
        <v>33</v>
      </c>
      <c r="B46" s="1732" t="str">
        <f>'Chấm công công nhân'!L45</f>
        <v>Nàng Chon</v>
      </c>
      <c r="C46" s="1726" t="s">
        <v>1272</v>
      </c>
      <c r="D46" s="4635"/>
      <c r="E46" s="1728" t="s">
        <v>1030</v>
      </c>
      <c r="F46" s="1728"/>
      <c r="G46" s="1729">
        <f t="shared" si="0"/>
        <v>0.14285714285714285</v>
      </c>
      <c r="H46" s="70"/>
      <c r="I46" s="1729">
        <f t="shared" si="1"/>
        <v>0.125</v>
      </c>
      <c r="J46" s="1729">
        <f t="shared" si="2"/>
        <v>0</v>
      </c>
      <c r="K46" s="1733">
        <v>25000</v>
      </c>
      <c r="L46" s="1728"/>
      <c r="M46" s="1733">
        <f t="shared" si="3"/>
        <v>0</v>
      </c>
      <c r="N46" s="1730"/>
    </row>
    <row r="47" spans="1:14" ht="12" customHeight="1">
      <c r="A47" s="1731">
        <v>34</v>
      </c>
      <c r="B47" s="1732" t="str">
        <f>'Chấm công công nhân'!L46</f>
        <v>Bun han</v>
      </c>
      <c r="C47" s="1726" t="s">
        <v>1272</v>
      </c>
      <c r="D47" s="4635"/>
      <c r="E47" s="1728" t="s">
        <v>1030</v>
      </c>
      <c r="F47" s="1728"/>
      <c r="G47" s="1729">
        <f t="shared" si="0"/>
        <v>0.14285714285714285</v>
      </c>
      <c r="H47" s="70"/>
      <c r="I47" s="1729">
        <f t="shared" si="1"/>
        <v>0.125</v>
      </c>
      <c r="J47" s="1729">
        <f t="shared" si="2"/>
        <v>0</v>
      </c>
      <c r="K47" s="1733">
        <v>25000</v>
      </c>
      <c r="L47" s="1728"/>
      <c r="M47" s="1733">
        <f t="shared" si="3"/>
        <v>0</v>
      </c>
      <c r="N47" s="1730"/>
    </row>
    <row r="48" spans="1:14" ht="12" customHeight="1">
      <c r="A48" s="1731">
        <v>35</v>
      </c>
      <c r="B48" s="1732" t="str">
        <f>'Chấm công công nhân'!L47</f>
        <v>Hăn</v>
      </c>
      <c r="C48" s="1726" t="s">
        <v>1272</v>
      </c>
      <c r="D48" s="4635"/>
      <c r="E48" s="1728" t="s">
        <v>1030</v>
      </c>
      <c r="F48" s="1728"/>
      <c r="G48" s="1729">
        <f t="shared" si="0"/>
        <v>0.14285714285714285</v>
      </c>
      <c r="H48" s="70"/>
      <c r="I48" s="1729">
        <f t="shared" si="1"/>
        <v>0.125</v>
      </c>
      <c r="J48" s="1729">
        <f t="shared" si="2"/>
        <v>0</v>
      </c>
      <c r="K48" s="1733">
        <v>25000</v>
      </c>
      <c r="L48" s="1728"/>
      <c r="M48" s="1733">
        <f t="shared" si="3"/>
        <v>0</v>
      </c>
      <c r="N48" s="1730"/>
    </row>
    <row r="49" spans="1:14" ht="12" customHeight="1">
      <c r="A49" s="1731">
        <v>36</v>
      </c>
      <c r="B49" s="1732" t="str">
        <f>'Chấm công công nhân'!L48</f>
        <v>Thảo Tuỳ</v>
      </c>
      <c r="C49" s="1726" t="s">
        <v>1272</v>
      </c>
      <c r="D49" s="4635"/>
      <c r="E49" s="1728" t="s">
        <v>1030</v>
      </c>
      <c r="F49" s="1728"/>
      <c r="G49" s="1729">
        <f t="shared" si="0"/>
        <v>0.14285714285714285</v>
      </c>
      <c r="H49" s="70"/>
      <c r="I49" s="1729">
        <f t="shared" si="1"/>
        <v>0.125</v>
      </c>
      <c r="J49" s="1729">
        <f t="shared" si="2"/>
        <v>0</v>
      </c>
      <c r="K49" s="1733">
        <v>25000</v>
      </c>
      <c r="L49" s="1728"/>
      <c r="M49" s="1733">
        <f t="shared" si="3"/>
        <v>0</v>
      </c>
      <c r="N49" s="1730"/>
    </row>
    <row r="50" spans="1:14" ht="12" customHeight="1">
      <c r="A50" s="1731">
        <v>37</v>
      </c>
      <c r="B50" s="2181" t="s">
        <v>1143</v>
      </c>
      <c r="C50" s="1726"/>
      <c r="D50" s="2707"/>
      <c r="E50" s="1728"/>
      <c r="F50" s="1728"/>
      <c r="G50" s="1729">
        <f t="shared" si="0"/>
        <v>0.14285714285714285</v>
      </c>
      <c r="H50" s="70"/>
      <c r="I50" s="1729">
        <f t="shared" si="1"/>
        <v>0.125</v>
      </c>
      <c r="J50" s="1729">
        <f t="shared" si="2"/>
        <v>0</v>
      </c>
      <c r="K50" s="1733">
        <v>25000</v>
      </c>
      <c r="L50" s="1728"/>
      <c r="M50" s="1733">
        <f t="shared" si="3"/>
        <v>0</v>
      </c>
      <c r="N50" s="1730"/>
    </row>
    <row r="51" spans="1:14">
      <c r="A51" s="4628"/>
      <c r="B51" s="4628"/>
      <c r="C51" s="4628"/>
      <c r="D51" s="4628"/>
      <c r="E51" s="1730"/>
      <c r="F51" s="2482">
        <f>SUM(F14:F49)</f>
        <v>0</v>
      </c>
      <c r="G51" s="1735">
        <f>SUM(G14:G49)</f>
        <v>5.1428571428571441</v>
      </c>
      <c r="H51" s="2482">
        <f t="shared" ref="H51" si="4">SUM(H14:H49)</f>
        <v>0</v>
      </c>
      <c r="I51" s="2482"/>
      <c r="J51" s="2303">
        <f>SUM(J14:J49)</f>
        <v>0</v>
      </c>
      <c r="K51" s="2482"/>
      <c r="L51" s="2482">
        <f>SUM(L14:L49)</f>
        <v>0</v>
      </c>
      <c r="M51" s="1736">
        <f>SUM(M14:M49)</f>
        <v>0</v>
      </c>
      <c r="N51" s="2482"/>
    </row>
    <row r="52" spans="1:14" ht="15.75">
      <c r="A52" s="1737" t="s">
        <v>1031</v>
      </c>
      <c r="B52" s="1738"/>
    </row>
    <row r="53" spans="1:14" ht="15.75">
      <c r="A53" s="1739" t="s">
        <v>1032</v>
      </c>
      <c r="B53" s="1740"/>
    </row>
    <row r="54" spans="1:14" ht="15.75">
      <c r="A54" s="1739" t="s">
        <v>1033</v>
      </c>
      <c r="B54" s="1740"/>
    </row>
    <row r="55" spans="1:14" ht="15.75">
      <c r="B55" s="3671" t="s">
        <v>162</v>
      </c>
      <c r="C55" s="3671"/>
      <c r="D55" s="1741"/>
      <c r="E55" s="1741"/>
      <c r="F55" s="1742" t="s">
        <v>1034</v>
      </c>
      <c r="K55" s="1742"/>
      <c r="L55" s="1742"/>
    </row>
    <row r="59" spans="1:14">
      <c r="B59" s="4629"/>
      <c r="C59" s="4629"/>
    </row>
  </sheetData>
  <mergeCells count="9">
    <mergeCell ref="A51:D51"/>
    <mergeCell ref="B55:C55"/>
    <mergeCell ref="B59:C59"/>
    <mergeCell ref="A1:N1"/>
    <mergeCell ref="A2:N2"/>
    <mergeCell ref="A3:G3"/>
    <mergeCell ref="A4:G4"/>
    <mergeCell ref="B6:N6"/>
    <mergeCell ref="D14:D49"/>
  </mergeCells>
  <pageMargins left="0.7" right="0.28999999999999998" top="0.28999999999999998" bottom="0.75" header="0.3" footer="0.3"/>
  <pageSetup paperSize="9" orientation="portrait" r:id="rId1"/>
  <legacy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8"/>
  <sheetViews>
    <sheetView topLeftCell="A13" workbookViewId="0">
      <selection activeCell="G33" sqref="G33"/>
    </sheetView>
  </sheetViews>
  <sheetFormatPr defaultRowHeight="14.25"/>
  <cols>
    <col min="1" max="1" width="5.125" customWidth="1"/>
    <col min="2" max="2" width="11.75" style="1716" customWidth="1"/>
    <col min="3" max="3" width="13.875" style="1716" customWidth="1"/>
    <col min="4" max="4" width="5.75" customWidth="1"/>
    <col min="5" max="5" width="4.25" customWidth="1"/>
    <col min="6" max="6" width="4.375" style="1712" customWidth="1"/>
    <col min="7" max="7" width="4.375" customWidth="1"/>
    <col min="8" max="8" width="6" style="1714" customWidth="1"/>
    <col min="9" max="9" width="6.875" customWidth="1"/>
    <col min="10" max="10" width="10.875" style="1715" customWidth="1"/>
    <col min="11" max="11" width="8.125" customWidth="1"/>
  </cols>
  <sheetData>
    <row r="1" spans="1:11" ht="15.75">
      <c r="A1" s="3751" t="s">
        <v>165</v>
      </c>
      <c r="B1" s="3751"/>
      <c r="C1" s="3751"/>
      <c r="D1" s="3751"/>
      <c r="E1" s="3751"/>
      <c r="F1" s="3751"/>
      <c r="G1" s="3751"/>
      <c r="H1" s="3751"/>
      <c r="I1" s="3751"/>
      <c r="J1" s="3751"/>
      <c r="K1" s="3751"/>
    </row>
    <row r="2" spans="1:11" ht="15.75">
      <c r="A2" s="4130" t="s">
        <v>1015</v>
      </c>
      <c r="B2" s="4130"/>
      <c r="C2" s="4130"/>
      <c r="D2" s="4130"/>
      <c r="E2" s="4130"/>
      <c r="F2" s="4130"/>
      <c r="G2" s="4130"/>
      <c r="H2" s="4130"/>
      <c r="I2" s="4130"/>
      <c r="J2" s="4130"/>
      <c r="K2" s="4130"/>
    </row>
    <row r="3" spans="1:11" ht="15.75">
      <c r="A3" s="3751" t="s">
        <v>1016</v>
      </c>
      <c r="B3" s="3751"/>
      <c r="C3" s="3751"/>
      <c r="D3" s="3751"/>
      <c r="E3" s="3751"/>
      <c r="F3" s="3751"/>
      <c r="G3" s="3751"/>
      <c r="H3" s="1711"/>
      <c r="I3" s="1712"/>
      <c r="J3" s="1713"/>
      <c r="K3" s="1712"/>
    </row>
    <row r="4" spans="1:11" ht="15.75">
      <c r="A4" s="4130" t="s">
        <v>541</v>
      </c>
      <c r="B4" s="4130"/>
      <c r="C4" s="4130"/>
      <c r="D4" s="4130"/>
      <c r="E4" s="4130"/>
      <c r="F4" s="4130"/>
      <c r="G4" s="4130"/>
    </row>
    <row r="5" spans="1:11" ht="21.75">
      <c r="G5" s="1717" t="s">
        <v>1017</v>
      </c>
    </row>
    <row r="6" spans="1:11">
      <c r="A6" s="1718"/>
      <c r="B6" s="4630" t="s">
        <v>1271</v>
      </c>
      <c r="C6" s="4630"/>
      <c r="D6" s="4630"/>
      <c r="E6" s="4630"/>
      <c r="F6" s="4630"/>
      <c r="G6" s="4630"/>
      <c r="H6" s="4630"/>
      <c r="I6" s="4630"/>
      <c r="J6" s="4630"/>
      <c r="K6" s="4630"/>
    </row>
    <row r="7" spans="1:11">
      <c r="A7" s="1718"/>
      <c r="B7" s="1719" t="s">
        <v>1018</v>
      </c>
      <c r="C7" s="1719"/>
      <c r="D7" s="2483"/>
      <c r="E7" s="2483"/>
      <c r="G7" s="1718"/>
      <c r="H7" s="1721"/>
      <c r="I7" s="1718"/>
      <c r="J7" s="1722"/>
      <c r="K7" s="1718"/>
    </row>
    <row r="8" spans="1:11">
      <c r="A8" s="1718"/>
      <c r="B8" s="1719" t="s">
        <v>1273</v>
      </c>
      <c r="C8" s="1719"/>
      <c r="D8" s="2483"/>
      <c r="E8" s="1718"/>
      <c r="G8" s="1718"/>
      <c r="H8" s="1723" t="s">
        <v>1274</v>
      </c>
      <c r="I8" s="2483"/>
      <c r="J8" s="1722"/>
      <c r="K8" s="1718"/>
    </row>
    <row r="9" spans="1:11">
      <c r="A9" s="1718"/>
      <c r="B9" s="1719" t="s">
        <v>1035</v>
      </c>
      <c r="C9" s="1719"/>
      <c r="D9" s="2483"/>
      <c r="E9" s="1718"/>
      <c r="G9" s="1718"/>
      <c r="H9" s="1723" t="s">
        <v>1020</v>
      </c>
      <c r="I9" s="2483"/>
      <c r="J9" s="1722"/>
      <c r="K9" s="1718"/>
    </row>
    <row r="10" spans="1:11">
      <c r="A10" s="1718"/>
      <c r="B10" s="1296" t="s">
        <v>1021</v>
      </c>
      <c r="D10" s="1718"/>
      <c r="E10" s="1718"/>
      <c r="G10" s="1718"/>
      <c r="H10" s="1721"/>
      <c r="I10" s="1718"/>
      <c r="J10" s="1722"/>
      <c r="K10" s="1718"/>
    </row>
    <row r="11" spans="1:11">
      <c r="A11" s="1718" t="s">
        <v>1022</v>
      </c>
      <c r="D11" s="1718"/>
      <c r="E11" s="1718"/>
      <c r="G11" s="1718"/>
      <c r="H11" s="1721"/>
      <c r="I11" s="1718"/>
      <c r="J11" s="1722"/>
      <c r="K11" s="1718"/>
    </row>
    <row r="12" spans="1:11" ht="61.5" customHeight="1">
      <c r="A12" s="1724" t="s">
        <v>1</v>
      </c>
      <c r="B12" s="1724" t="s">
        <v>20</v>
      </c>
      <c r="C12" s="1724" t="s">
        <v>1023</v>
      </c>
      <c r="D12" s="1724" t="s">
        <v>810</v>
      </c>
      <c r="E12" s="1724" t="s">
        <v>7</v>
      </c>
      <c r="F12" s="1724" t="s">
        <v>1024</v>
      </c>
      <c r="G12" s="1724" t="s">
        <v>361</v>
      </c>
      <c r="H12" s="1725" t="s">
        <v>47</v>
      </c>
      <c r="I12" s="1724" t="s">
        <v>1025</v>
      </c>
      <c r="J12" s="1726" t="s">
        <v>1027</v>
      </c>
      <c r="K12" s="1727" t="s">
        <v>9</v>
      </c>
    </row>
    <row r="13" spans="1:11" ht="15.75" customHeight="1">
      <c r="A13" s="1728">
        <v>1</v>
      </c>
      <c r="B13" s="1726"/>
      <c r="C13" s="1726">
        <v>2</v>
      </c>
      <c r="D13" s="1728">
        <v>3</v>
      </c>
      <c r="E13" s="1728">
        <v>4</v>
      </c>
      <c r="F13" s="1728">
        <v>5</v>
      </c>
      <c r="G13" s="1728">
        <v>6</v>
      </c>
      <c r="H13" s="1729" t="s">
        <v>1028</v>
      </c>
      <c r="I13" s="1728">
        <v>8</v>
      </c>
      <c r="J13" s="1728" t="s">
        <v>1029</v>
      </c>
      <c r="K13" s="1730"/>
    </row>
    <row r="14" spans="1:11" ht="12" customHeight="1">
      <c r="A14" s="1731">
        <v>1</v>
      </c>
      <c r="B14" s="1744" t="str">
        <f>'Chấm công công nhân'!L50</f>
        <v>Thảo tít</v>
      </c>
      <c r="C14" s="1726" t="s">
        <v>1272</v>
      </c>
      <c r="D14" s="4365" t="s">
        <v>1276</v>
      </c>
      <c r="E14" s="1728" t="s">
        <v>1030</v>
      </c>
      <c r="F14" s="1728"/>
      <c r="G14" s="1729">
        <f>25000/175000</f>
        <v>0.14285714285714285</v>
      </c>
      <c r="H14" s="70">
        <f>F14/G14</f>
        <v>0</v>
      </c>
      <c r="I14" s="1733">
        <v>25000</v>
      </c>
      <c r="J14" s="1733">
        <f t="shared" ref="J14:J29" si="0">I14*H14</f>
        <v>0</v>
      </c>
      <c r="K14" s="1730"/>
    </row>
    <row r="15" spans="1:11" ht="12" customHeight="1">
      <c r="A15" s="1731">
        <v>2</v>
      </c>
      <c r="B15" s="1744" t="str">
        <f>'Chấm công công nhân'!L51</f>
        <v>Thảo ớt</v>
      </c>
      <c r="C15" s="1726" t="s">
        <v>1272</v>
      </c>
      <c r="D15" s="4635"/>
      <c r="E15" s="1728" t="s">
        <v>1030</v>
      </c>
      <c r="F15" s="1728"/>
      <c r="G15" s="1729">
        <f t="shared" ref="G15:G29" si="1">25000/175000</f>
        <v>0.14285714285714285</v>
      </c>
      <c r="H15" s="70">
        <f t="shared" ref="H15:H29" si="2">F15/G15</f>
        <v>0</v>
      </c>
      <c r="I15" s="1733">
        <v>25000</v>
      </c>
      <c r="J15" s="1733">
        <f t="shared" si="0"/>
        <v>0</v>
      </c>
      <c r="K15" s="1730"/>
    </row>
    <row r="16" spans="1:11" ht="12" customHeight="1">
      <c r="A16" s="1731">
        <v>3</v>
      </c>
      <c r="B16" s="1744" t="str">
        <f>'Chấm công công nhân'!L52</f>
        <v>Nàng Ọt</v>
      </c>
      <c r="C16" s="1726" t="s">
        <v>1272</v>
      </c>
      <c r="D16" s="4635"/>
      <c r="E16" s="1728" t="s">
        <v>1030</v>
      </c>
      <c r="F16" s="1728"/>
      <c r="G16" s="1729">
        <f t="shared" si="1"/>
        <v>0.14285714285714285</v>
      </c>
      <c r="H16" s="70">
        <f t="shared" si="2"/>
        <v>0</v>
      </c>
      <c r="I16" s="1733">
        <v>25000</v>
      </c>
      <c r="J16" s="1733">
        <f t="shared" si="0"/>
        <v>0</v>
      </c>
      <c r="K16" s="1730"/>
    </row>
    <row r="17" spans="1:11" ht="12" customHeight="1">
      <c r="A17" s="1731">
        <v>4</v>
      </c>
      <c r="B17" s="1744" t="str">
        <f>'Chấm công công nhân'!L53</f>
        <v>Thào Tòng</v>
      </c>
      <c r="C17" s="1726" t="s">
        <v>1272</v>
      </c>
      <c r="D17" s="4635"/>
      <c r="E17" s="1728" t="s">
        <v>1030</v>
      </c>
      <c r="F17" s="1728"/>
      <c r="G17" s="1729">
        <f t="shared" si="1"/>
        <v>0.14285714285714285</v>
      </c>
      <c r="H17" s="70">
        <f t="shared" si="2"/>
        <v>0</v>
      </c>
      <c r="I17" s="1733">
        <v>25000</v>
      </c>
      <c r="J17" s="1733">
        <f t="shared" si="0"/>
        <v>0</v>
      </c>
      <c r="K17" s="1730"/>
    </row>
    <row r="18" spans="1:11" ht="12" customHeight="1">
      <c r="A18" s="1731">
        <v>5</v>
      </c>
      <c r="B18" s="1744" t="str">
        <f>'Chấm công công nhân'!L54</f>
        <v>Nàng Nơm</v>
      </c>
      <c r="C18" s="1726" t="s">
        <v>1272</v>
      </c>
      <c r="D18" s="4635"/>
      <c r="E18" s="1728" t="s">
        <v>1030</v>
      </c>
      <c r="F18" s="1728"/>
      <c r="G18" s="1729">
        <f t="shared" si="1"/>
        <v>0.14285714285714285</v>
      </c>
      <c r="H18" s="70">
        <f t="shared" si="2"/>
        <v>0</v>
      </c>
      <c r="I18" s="1733">
        <v>25000</v>
      </c>
      <c r="J18" s="1733">
        <f t="shared" si="0"/>
        <v>0</v>
      </c>
      <c r="K18" s="1730"/>
    </row>
    <row r="19" spans="1:11" ht="12" customHeight="1">
      <c r="A19" s="1731">
        <v>6</v>
      </c>
      <c r="B19" s="1744" t="str">
        <f>'Chấm công công nhân'!L55</f>
        <v>Thảo Ây</v>
      </c>
      <c r="C19" s="1726" t="s">
        <v>1272</v>
      </c>
      <c r="D19" s="4635"/>
      <c r="E19" s="1728" t="s">
        <v>1030</v>
      </c>
      <c r="F19" s="1728"/>
      <c r="G19" s="1729">
        <f t="shared" si="1"/>
        <v>0.14285714285714285</v>
      </c>
      <c r="H19" s="70">
        <f t="shared" si="2"/>
        <v>0</v>
      </c>
      <c r="I19" s="1733">
        <v>25000</v>
      </c>
      <c r="J19" s="1733">
        <f t="shared" si="0"/>
        <v>0</v>
      </c>
      <c r="K19" s="1730"/>
    </row>
    <row r="20" spans="1:11" ht="12" customHeight="1">
      <c r="A20" s="1731">
        <v>7</v>
      </c>
      <c r="B20" s="1743" t="str">
        <f>'Chấm công công nhân'!L56</f>
        <v>Thảo Âm Thong</v>
      </c>
      <c r="C20" s="1726" t="s">
        <v>1272</v>
      </c>
      <c r="D20" s="4635"/>
      <c r="E20" s="1728" t="s">
        <v>1030</v>
      </c>
      <c r="F20" s="1728"/>
      <c r="G20" s="1729">
        <f t="shared" si="1"/>
        <v>0.14285714285714285</v>
      </c>
      <c r="H20" s="70">
        <f t="shared" si="2"/>
        <v>0</v>
      </c>
      <c r="I20" s="1733">
        <v>25000</v>
      </c>
      <c r="J20" s="1733">
        <f t="shared" si="0"/>
        <v>0</v>
      </c>
      <c r="K20" s="1730"/>
    </row>
    <row r="21" spans="1:11" ht="12" customHeight="1">
      <c r="A21" s="1731">
        <v>8</v>
      </c>
      <c r="B21" s="1744" t="str">
        <f>'Chấm công công nhân'!L57</f>
        <v>Nàng phon</v>
      </c>
      <c r="C21" s="1726" t="s">
        <v>1272</v>
      </c>
      <c r="D21" s="4635"/>
      <c r="E21" s="1728" t="s">
        <v>1030</v>
      </c>
      <c r="F21" s="1728"/>
      <c r="G21" s="1729">
        <f t="shared" si="1"/>
        <v>0.14285714285714285</v>
      </c>
      <c r="H21" s="70">
        <f t="shared" si="2"/>
        <v>0</v>
      </c>
      <c r="I21" s="1733">
        <v>25000</v>
      </c>
      <c r="J21" s="1733">
        <f t="shared" si="0"/>
        <v>0</v>
      </c>
      <c r="K21" s="1730"/>
    </row>
    <row r="22" spans="1:11" ht="12" customHeight="1">
      <c r="A22" s="1731">
        <v>9</v>
      </c>
      <c r="B22" s="1744" t="str">
        <f>'Chấm công công nhân'!L58</f>
        <v>Thảo phắt</v>
      </c>
      <c r="C22" s="1726" t="s">
        <v>1272</v>
      </c>
      <c r="D22" s="4635"/>
      <c r="E22" s="1728" t="s">
        <v>1030</v>
      </c>
      <c r="F22" s="1728"/>
      <c r="G22" s="1729">
        <f t="shared" si="1"/>
        <v>0.14285714285714285</v>
      </c>
      <c r="H22" s="70">
        <f t="shared" si="2"/>
        <v>0</v>
      </c>
      <c r="I22" s="1733">
        <v>25000</v>
      </c>
      <c r="J22" s="1733">
        <f t="shared" si="0"/>
        <v>0</v>
      </c>
      <c r="K22" s="1730"/>
    </row>
    <row r="23" spans="1:11" ht="12" customHeight="1">
      <c r="A23" s="1731">
        <v>10</v>
      </c>
      <c r="B23" s="1744" t="str">
        <f>'Chấm công công nhân'!L59</f>
        <v>Thảo Phon Say</v>
      </c>
      <c r="C23" s="1726" t="s">
        <v>1272</v>
      </c>
      <c r="D23" s="4635"/>
      <c r="E23" s="1728" t="s">
        <v>1030</v>
      </c>
      <c r="F23" s="1728"/>
      <c r="G23" s="1729">
        <f t="shared" si="1"/>
        <v>0.14285714285714285</v>
      </c>
      <c r="H23" s="70">
        <f t="shared" si="2"/>
        <v>0</v>
      </c>
      <c r="I23" s="1733">
        <v>25000</v>
      </c>
      <c r="J23" s="1733">
        <f t="shared" si="0"/>
        <v>0</v>
      </c>
      <c r="K23" s="1730"/>
    </row>
    <row r="24" spans="1:11" ht="12" customHeight="1">
      <c r="A24" s="1731">
        <v>11</v>
      </c>
      <c r="B24" s="1744" t="str">
        <f>'Chấm công công nhân'!L60</f>
        <v>Nàng Pít</v>
      </c>
      <c r="C24" s="1726" t="s">
        <v>1272</v>
      </c>
      <c r="D24" s="4635"/>
      <c r="E24" s="1728" t="s">
        <v>1030</v>
      </c>
      <c r="F24" s="1728"/>
      <c r="G24" s="1729">
        <f t="shared" si="1"/>
        <v>0.14285714285714285</v>
      </c>
      <c r="H24" s="70">
        <f t="shared" si="2"/>
        <v>0</v>
      </c>
      <c r="I24" s="1733">
        <v>25000</v>
      </c>
      <c r="J24" s="1733">
        <f t="shared" si="0"/>
        <v>0</v>
      </c>
      <c r="K24" s="1730"/>
    </row>
    <row r="25" spans="1:11" ht="12" customHeight="1">
      <c r="A25" s="1731">
        <v>12</v>
      </c>
      <c r="B25" s="1744" t="str">
        <f>'Chấm công công nhân'!L61</f>
        <v>Thảo út</v>
      </c>
      <c r="C25" s="1726" t="s">
        <v>1272</v>
      </c>
      <c r="D25" s="4635"/>
      <c r="E25" s="1728" t="s">
        <v>1030</v>
      </c>
      <c r="F25" s="1728"/>
      <c r="G25" s="1729">
        <f t="shared" si="1"/>
        <v>0.14285714285714285</v>
      </c>
      <c r="H25" s="70">
        <f t="shared" si="2"/>
        <v>0</v>
      </c>
      <c r="I25" s="1733">
        <v>25000</v>
      </c>
      <c r="J25" s="1733">
        <f t="shared" si="0"/>
        <v>0</v>
      </c>
      <c r="K25" s="1730"/>
    </row>
    <row r="26" spans="1:11" ht="12" customHeight="1">
      <c r="A26" s="1731">
        <v>13</v>
      </c>
      <c r="B26" s="1744" t="str">
        <f>'Chấm công công nhân'!L62</f>
        <v>Nàng ăm</v>
      </c>
      <c r="C26" s="1726" t="s">
        <v>1272</v>
      </c>
      <c r="D26" s="4635"/>
      <c r="E26" s="1728" t="s">
        <v>1030</v>
      </c>
      <c r="F26" s="1728"/>
      <c r="G26" s="1729">
        <f t="shared" si="1"/>
        <v>0.14285714285714285</v>
      </c>
      <c r="H26" s="70">
        <f t="shared" si="2"/>
        <v>0</v>
      </c>
      <c r="I26" s="1733">
        <v>25000</v>
      </c>
      <c r="J26" s="1733">
        <f t="shared" si="0"/>
        <v>0</v>
      </c>
      <c r="K26" s="1730"/>
    </row>
    <row r="27" spans="1:11" ht="12" customHeight="1">
      <c r="A27" s="1731">
        <v>14</v>
      </c>
      <c r="B27" s="1744" t="str">
        <f>'Chấm công công nhân'!L63</f>
        <v>Nàng Phìn</v>
      </c>
      <c r="C27" s="1726" t="s">
        <v>1272</v>
      </c>
      <c r="D27" s="4635"/>
      <c r="E27" s="1728" t="s">
        <v>1030</v>
      </c>
      <c r="F27" s="1728"/>
      <c r="G27" s="1729">
        <f t="shared" si="1"/>
        <v>0.14285714285714285</v>
      </c>
      <c r="H27" s="70">
        <f t="shared" si="2"/>
        <v>0</v>
      </c>
      <c r="I27" s="1733">
        <v>25000</v>
      </c>
      <c r="J27" s="1733">
        <f t="shared" si="0"/>
        <v>0</v>
      </c>
      <c r="K27" s="1730"/>
    </row>
    <row r="28" spans="1:11" ht="12" customHeight="1">
      <c r="A28" s="1731">
        <v>15</v>
      </c>
      <c r="B28" s="1744" t="str">
        <f>'Chấm công công nhân'!L64</f>
        <v>May</v>
      </c>
      <c r="C28" s="1726" t="s">
        <v>1272</v>
      </c>
      <c r="D28" s="4635"/>
      <c r="E28" s="1728" t="s">
        <v>1030</v>
      </c>
      <c r="F28" s="1728"/>
      <c r="G28" s="1729">
        <f t="shared" si="1"/>
        <v>0.14285714285714285</v>
      </c>
      <c r="H28" s="70">
        <f t="shared" si="2"/>
        <v>0</v>
      </c>
      <c r="I28" s="1733">
        <v>25000</v>
      </c>
      <c r="J28" s="1733">
        <f t="shared" si="0"/>
        <v>0</v>
      </c>
      <c r="K28" s="1730"/>
    </row>
    <row r="29" spans="1:11" ht="12" customHeight="1">
      <c r="A29" s="1731">
        <v>16</v>
      </c>
      <c r="B29" s="2708" t="s">
        <v>1143</v>
      </c>
      <c r="C29" s="1726" t="s">
        <v>1319</v>
      </c>
      <c r="D29" s="2707"/>
      <c r="E29" s="1728" t="s">
        <v>1030</v>
      </c>
      <c r="F29" s="1728"/>
      <c r="G29" s="1729">
        <f t="shared" si="1"/>
        <v>0.14285714285714285</v>
      </c>
      <c r="H29" s="70">
        <f t="shared" si="2"/>
        <v>0</v>
      </c>
      <c r="I29" s="1733">
        <v>25000</v>
      </c>
      <c r="J29" s="1733">
        <f t="shared" si="0"/>
        <v>0</v>
      </c>
      <c r="K29" s="1730"/>
    </row>
    <row r="30" spans="1:11">
      <c r="A30" s="4628"/>
      <c r="B30" s="4628"/>
      <c r="C30" s="4628"/>
      <c r="D30" s="4628"/>
      <c r="E30" s="1730"/>
      <c r="F30" s="2482">
        <f>SUM(F14:F28)</f>
        <v>0</v>
      </c>
      <c r="G30" s="2482"/>
      <c r="H30" s="2303">
        <f>SUM(H14:H28)</f>
        <v>0</v>
      </c>
      <c r="I30" s="2482"/>
      <c r="J30" s="1736">
        <f>SUM(J14:J28)</f>
        <v>0</v>
      </c>
      <c r="K30" s="2482"/>
    </row>
    <row r="31" spans="1:11" ht="15.75">
      <c r="A31" s="1737" t="s">
        <v>1031</v>
      </c>
      <c r="B31" s="1738"/>
    </row>
    <row r="32" spans="1:11" ht="15.75">
      <c r="A32" s="1739" t="s">
        <v>1032</v>
      </c>
      <c r="B32" s="1740"/>
    </row>
    <row r="33" spans="1:9" ht="15.75">
      <c r="A33" s="1739" t="s">
        <v>1033</v>
      </c>
      <c r="B33" s="1740"/>
    </row>
    <row r="34" spans="1:9" ht="15.75">
      <c r="B34" s="3671" t="s">
        <v>162</v>
      </c>
      <c r="C34" s="3671"/>
      <c r="D34" s="1741"/>
      <c r="E34" s="1741"/>
      <c r="F34" s="1742" t="s">
        <v>1034</v>
      </c>
      <c r="I34" s="1742"/>
    </row>
    <row r="38" spans="1:9">
      <c r="B38" s="4629"/>
      <c r="C38" s="4629"/>
    </row>
  </sheetData>
  <mergeCells count="9">
    <mergeCell ref="A30:D30"/>
    <mergeCell ref="B34:C34"/>
    <mergeCell ref="B38:C38"/>
    <mergeCell ref="A1:K1"/>
    <mergeCell ref="A2:K2"/>
    <mergeCell ref="A3:G3"/>
    <mergeCell ref="A4:G4"/>
    <mergeCell ref="B6:K6"/>
    <mergeCell ref="D14:D28"/>
  </mergeCells>
  <pageMargins left="0.7" right="0.7" top="0.75" bottom="0.75" header="0.3" footer="0.3"/>
  <pageSetup paperSize="9" orientation="portrait" r:id="rId1"/>
  <legacy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9"/>
  <sheetViews>
    <sheetView topLeftCell="A7" workbookViewId="0">
      <selection activeCell="B14" sqref="B14:B30"/>
    </sheetView>
  </sheetViews>
  <sheetFormatPr defaultRowHeight="14.25"/>
  <cols>
    <col min="1" max="1" width="5.125" customWidth="1"/>
    <col min="2" max="2" width="11.75" style="1716" customWidth="1"/>
    <col min="3" max="3" width="13.875" style="1716" customWidth="1"/>
    <col min="4" max="4" width="5.75" customWidth="1"/>
    <col min="5" max="5" width="4.25" customWidth="1"/>
    <col min="6" max="6" width="4.75" style="1712" customWidth="1"/>
    <col min="7" max="7" width="4.25" customWidth="1"/>
    <col min="8" max="8" width="7.25" style="1714" customWidth="1"/>
    <col min="9" max="9" width="7.25" customWidth="1"/>
    <col min="10" max="10" width="10.875" style="1715" customWidth="1"/>
    <col min="11" max="11" width="8.125" customWidth="1"/>
  </cols>
  <sheetData>
    <row r="1" spans="1:11" ht="15.75">
      <c r="A1" s="3751" t="s">
        <v>165</v>
      </c>
      <c r="B1" s="3751"/>
      <c r="C1" s="3751"/>
      <c r="D1" s="3751"/>
      <c r="E1" s="3751"/>
      <c r="F1" s="3751"/>
      <c r="G1" s="3751"/>
      <c r="H1" s="3751"/>
      <c r="I1" s="3751"/>
      <c r="J1" s="3751"/>
      <c r="K1" s="3751"/>
    </row>
    <row r="2" spans="1:11" ht="15.75">
      <c r="A2" s="4130" t="s">
        <v>1015</v>
      </c>
      <c r="B2" s="4130"/>
      <c r="C2" s="4130"/>
      <c r="D2" s="4130"/>
      <c r="E2" s="4130"/>
      <c r="F2" s="4130"/>
      <c r="G2" s="4130"/>
      <c r="H2" s="4130"/>
      <c r="I2" s="4130"/>
      <c r="J2" s="4130"/>
      <c r="K2" s="4130"/>
    </row>
    <row r="3" spans="1:11" ht="15.75">
      <c r="A3" s="3751" t="s">
        <v>1016</v>
      </c>
      <c r="B3" s="3751"/>
      <c r="C3" s="3751"/>
      <c r="D3" s="3751"/>
      <c r="E3" s="3751"/>
      <c r="F3" s="3751"/>
      <c r="G3" s="3751"/>
      <c r="H3" s="1711"/>
      <c r="I3" s="1712"/>
      <c r="J3" s="1713"/>
      <c r="K3" s="1712"/>
    </row>
    <row r="4" spans="1:11" ht="15.75">
      <c r="A4" s="4130" t="s">
        <v>541</v>
      </c>
      <c r="B4" s="4130"/>
      <c r="C4" s="4130"/>
      <c r="D4" s="4130"/>
      <c r="E4" s="4130"/>
      <c r="F4" s="4130"/>
      <c r="G4" s="4130"/>
    </row>
    <row r="5" spans="1:11" ht="21.75">
      <c r="G5" s="1717" t="s">
        <v>1017</v>
      </c>
    </row>
    <row r="6" spans="1:11">
      <c r="A6" s="1718"/>
      <c r="B6" s="4630" t="s">
        <v>1271</v>
      </c>
      <c r="C6" s="4630"/>
      <c r="D6" s="4630"/>
      <c r="E6" s="4630"/>
      <c r="F6" s="4630"/>
      <c r="G6" s="4630"/>
      <c r="H6" s="4630"/>
      <c r="I6" s="4630"/>
      <c r="J6" s="4630"/>
      <c r="K6" s="4630"/>
    </row>
    <row r="7" spans="1:11">
      <c r="A7" s="1718"/>
      <c r="B7" s="1719" t="s">
        <v>1018</v>
      </c>
      <c r="C7" s="1719"/>
      <c r="D7" s="2705"/>
      <c r="E7" s="2705"/>
      <c r="G7" s="1718"/>
      <c r="H7" s="1721"/>
      <c r="I7" s="1718"/>
      <c r="J7" s="1722"/>
      <c r="K7" s="1718"/>
    </row>
    <row r="8" spans="1:11">
      <c r="A8" s="1718"/>
      <c r="B8" s="1719" t="s">
        <v>1273</v>
      </c>
      <c r="C8" s="1719"/>
      <c r="D8" s="2705"/>
      <c r="E8" s="1718"/>
      <c r="G8" s="1718"/>
      <c r="H8" s="1723" t="s">
        <v>1274</v>
      </c>
      <c r="I8" s="2705"/>
      <c r="J8" s="1722"/>
      <c r="K8" s="1718"/>
    </row>
    <row r="9" spans="1:11">
      <c r="A9" s="1718"/>
      <c r="B9" s="1719" t="s">
        <v>1035</v>
      </c>
      <c r="C9" s="1719"/>
      <c r="D9" s="2705"/>
      <c r="E9" s="1718"/>
      <c r="G9" s="1718"/>
      <c r="H9" s="1723" t="s">
        <v>1020</v>
      </c>
      <c r="I9" s="2705"/>
      <c r="J9" s="1722"/>
      <c r="K9" s="1718"/>
    </row>
    <row r="10" spans="1:11">
      <c r="A10" s="1718"/>
      <c r="B10" s="1296" t="s">
        <v>1021</v>
      </c>
      <c r="D10" s="1718"/>
      <c r="E10" s="1718"/>
      <c r="G10" s="1718"/>
      <c r="H10" s="1721"/>
      <c r="I10" s="1718"/>
      <c r="J10" s="1722"/>
      <c r="K10" s="1718"/>
    </row>
    <row r="11" spans="1:11">
      <c r="A11" s="1718" t="s">
        <v>1022</v>
      </c>
      <c r="D11" s="1718"/>
      <c r="E11" s="1718"/>
      <c r="G11" s="1718"/>
      <c r="H11" s="1721"/>
      <c r="I11" s="1718"/>
      <c r="J11" s="1722"/>
      <c r="K11" s="1718"/>
    </row>
    <row r="12" spans="1:11" ht="61.5" customHeight="1">
      <c r="A12" s="1724" t="s">
        <v>1</v>
      </c>
      <c r="B12" s="1724" t="s">
        <v>20</v>
      </c>
      <c r="C12" s="1724" t="s">
        <v>1023</v>
      </c>
      <c r="D12" s="1724" t="s">
        <v>810</v>
      </c>
      <c r="E12" s="1724" t="s">
        <v>7</v>
      </c>
      <c r="F12" s="1724" t="s">
        <v>1024</v>
      </c>
      <c r="G12" s="1724" t="s">
        <v>361</v>
      </c>
      <c r="H12" s="1725" t="s">
        <v>47</v>
      </c>
      <c r="I12" s="1724" t="s">
        <v>1025</v>
      </c>
      <c r="J12" s="1726" t="s">
        <v>1027</v>
      </c>
      <c r="K12" s="1727" t="s">
        <v>9</v>
      </c>
    </row>
    <row r="13" spans="1:11" ht="15.75" customHeight="1">
      <c r="A13" s="1728">
        <v>1</v>
      </c>
      <c r="B13" s="1726"/>
      <c r="C13" s="1726">
        <v>2</v>
      </c>
      <c r="D13" s="1728">
        <v>3</v>
      </c>
      <c r="E13" s="1728">
        <v>4</v>
      </c>
      <c r="F13" s="1728">
        <v>5</v>
      </c>
      <c r="G13" s="1728">
        <v>6</v>
      </c>
      <c r="H13" s="1729" t="s">
        <v>1028</v>
      </c>
      <c r="I13" s="1728">
        <v>8</v>
      </c>
      <c r="J13" s="1728" t="s">
        <v>1029</v>
      </c>
      <c r="K13" s="1730"/>
    </row>
    <row r="14" spans="1:11" ht="12" customHeight="1">
      <c r="A14" s="1731">
        <v>1</v>
      </c>
      <c r="B14" s="1744" t="str">
        <f>'Chấm công công nhân'!L66</f>
        <v>Phò Đăm</v>
      </c>
      <c r="C14" s="1726" t="s">
        <v>1272</v>
      </c>
      <c r="D14" s="4365" t="s">
        <v>1276</v>
      </c>
      <c r="E14" s="1728" t="s">
        <v>1030</v>
      </c>
      <c r="F14" s="1728"/>
      <c r="G14" s="1729">
        <f t="shared" ref="G14:G30" si="0">25000/200000</f>
        <v>0.125</v>
      </c>
      <c r="H14" s="70">
        <f>F14/G14</f>
        <v>0</v>
      </c>
      <c r="I14" s="1733">
        <v>25000</v>
      </c>
      <c r="J14" s="1733">
        <f t="shared" ref="J14:J30" si="1">I14*H14</f>
        <v>0</v>
      </c>
      <c r="K14" s="1730"/>
    </row>
    <row r="15" spans="1:11" ht="12" customHeight="1">
      <c r="A15" s="1731">
        <v>2</v>
      </c>
      <c r="B15" s="1744" t="str">
        <f>'Chấm công công nhân'!L67</f>
        <v>Thảo Mai</v>
      </c>
      <c r="C15" s="1726" t="s">
        <v>1272</v>
      </c>
      <c r="D15" s="4635"/>
      <c r="E15" s="1728" t="s">
        <v>1030</v>
      </c>
      <c r="F15" s="1728"/>
      <c r="G15" s="1729">
        <f t="shared" si="0"/>
        <v>0.125</v>
      </c>
      <c r="H15" s="70">
        <f t="shared" ref="H15:H30" si="2">F15/G15</f>
        <v>0</v>
      </c>
      <c r="I15" s="1733">
        <v>25000</v>
      </c>
      <c r="J15" s="1733">
        <f t="shared" si="1"/>
        <v>0</v>
      </c>
      <c r="K15" s="1730"/>
    </row>
    <row r="16" spans="1:11" ht="12" customHeight="1">
      <c r="A16" s="1731">
        <v>3</v>
      </c>
      <c r="B16" s="1744" t="str">
        <f>'Chấm công công nhân'!L68</f>
        <v>Thảo Tưng</v>
      </c>
      <c r="C16" s="1726" t="s">
        <v>1272</v>
      </c>
      <c r="D16" s="4635"/>
      <c r="E16" s="1728" t="s">
        <v>1030</v>
      </c>
      <c r="F16" s="1728"/>
      <c r="G16" s="1729">
        <f t="shared" si="0"/>
        <v>0.125</v>
      </c>
      <c r="H16" s="70">
        <f t="shared" si="2"/>
        <v>0</v>
      </c>
      <c r="I16" s="1733">
        <v>25000</v>
      </c>
      <c r="J16" s="1733">
        <f t="shared" si="1"/>
        <v>0</v>
      </c>
      <c r="K16" s="1730"/>
    </row>
    <row r="17" spans="1:11" ht="12" customHeight="1">
      <c r="A17" s="1731">
        <v>4</v>
      </c>
      <c r="B17" s="1744" t="str">
        <f>'Chấm công công nhân'!L69</f>
        <v>Thảo Xay</v>
      </c>
      <c r="C17" s="1726" t="s">
        <v>1272</v>
      </c>
      <c r="D17" s="4635"/>
      <c r="E17" s="1728" t="s">
        <v>1030</v>
      </c>
      <c r="F17" s="1728"/>
      <c r="G17" s="1729">
        <f t="shared" si="0"/>
        <v>0.125</v>
      </c>
      <c r="H17" s="70">
        <f t="shared" si="2"/>
        <v>0</v>
      </c>
      <c r="I17" s="1733">
        <v>25000</v>
      </c>
      <c r="J17" s="1733">
        <f t="shared" si="1"/>
        <v>0</v>
      </c>
      <c r="K17" s="1730"/>
    </row>
    <row r="18" spans="1:11" ht="12" customHeight="1">
      <c r="A18" s="1731">
        <v>5</v>
      </c>
      <c r="B18" s="1744" t="str">
        <f>'Chấm công công nhân'!L70</f>
        <v>Nàng Nọi</v>
      </c>
      <c r="C18" s="1726" t="s">
        <v>1272</v>
      </c>
      <c r="D18" s="4635"/>
      <c r="E18" s="1728" t="s">
        <v>1030</v>
      </c>
      <c r="F18" s="1728"/>
      <c r="G18" s="1729">
        <f t="shared" si="0"/>
        <v>0.125</v>
      </c>
      <c r="H18" s="70">
        <f t="shared" si="2"/>
        <v>0</v>
      </c>
      <c r="I18" s="1733">
        <v>25000</v>
      </c>
      <c r="J18" s="1733">
        <f t="shared" si="1"/>
        <v>0</v>
      </c>
      <c r="K18" s="1730"/>
    </row>
    <row r="19" spans="1:11" ht="12" customHeight="1">
      <c r="A19" s="1731">
        <v>6</v>
      </c>
      <c r="B19" s="1744" t="str">
        <f>'Chấm công công nhân'!L71</f>
        <v>Thảo Đăm</v>
      </c>
      <c r="C19" s="1726" t="s">
        <v>1272</v>
      </c>
      <c r="D19" s="4635"/>
      <c r="E19" s="1728" t="s">
        <v>1030</v>
      </c>
      <c r="F19" s="1728"/>
      <c r="G19" s="1729">
        <f t="shared" si="0"/>
        <v>0.125</v>
      </c>
      <c r="H19" s="70">
        <f t="shared" si="2"/>
        <v>0</v>
      </c>
      <c r="I19" s="1733">
        <v>25000</v>
      </c>
      <c r="J19" s="1733">
        <f t="shared" si="1"/>
        <v>0</v>
      </c>
      <c r="K19" s="1730"/>
    </row>
    <row r="20" spans="1:11" ht="12" customHeight="1">
      <c r="A20" s="1731">
        <v>7</v>
      </c>
      <c r="B20" s="1744" t="str">
        <f>'Chấm công công nhân'!L72</f>
        <v>Thảo chăn</v>
      </c>
      <c r="C20" s="1726" t="s">
        <v>1272</v>
      </c>
      <c r="D20" s="4635"/>
      <c r="E20" s="1728" t="s">
        <v>1030</v>
      </c>
      <c r="F20" s="1728"/>
      <c r="G20" s="1729">
        <f t="shared" si="0"/>
        <v>0.125</v>
      </c>
      <c r="H20" s="70">
        <f t="shared" si="2"/>
        <v>0</v>
      </c>
      <c r="I20" s="1733">
        <v>25000</v>
      </c>
      <c r="J20" s="1733">
        <f t="shared" si="1"/>
        <v>0</v>
      </c>
      <c r="K20" s="1730"/>
    </row>
    <row r="21" spans="1:11" ht="12" customHeight="1">
      <c r="A21" s="1731">
        <v>8</v>
      </c>
      <c r="B21" s="1744" t="str">
        <f>'Chấm công công nhân'!L73</f>
        <v>Hồ Văn Tăng</v>
      </c>
      <c r="C21" s="1726" t="s">
        <v>1272</v>
      </c>
      <c r="D21" s="4635"/>
      <c r="E21" s="1728" t="s">
        <v>1030</v>
      </c>
      <c r="F21" s="1728"/>
      <c r="G21" s="1729">
        <f t="shared" si="0"/>
        <v>0.125</v>
      </c>
      <c r="H21" s="70">
        <f t="shared" si="2"/>
        <v>0</v>
      </c>
      <c r="I21" s="1733">
        <v>25000</v>
      </c>
      <c r="J21" s="1733">
        <f t="shared" si="1"/>
        <v>0</v>
      </c>
      <c r="K21" s="1730"/>
    </row>
    <row r="22" spans="1:11" ht="12" customHeight="1">
      <c r="A22" s="1731">
        <v>9</v>
      </c>
      <c r="B22" s="1744" t="str">
        <f>'Chấm công công nhân'!L74</f>
        <v>Hồ Văn Khoa</v>
      </c>
      <c r="C22" s="1726" t="s">
        <v>1272</v>
      </c>
      <c r="D22" s="4635"/>
      <c r="E22" s="1728" t="s">
        <v>1030</v>
      </c>
      <c r="F22" s="1728"/>
      <c r="G22" s="1729">
        <f t="shared" si="0"/>
        <v>0.125</v>
      </c>
      <c r="H22" s="70">
        <f t="shared" si="2"/>
        <v>0</v>
      </c>
      <c r="I22" s="1733">
        <v>25000</v>
      </c>
      <c r="J22" s="1733">
        <f t="shared" si="1"/>
        <v>0</v>
      </c>
      <c r="K22" s="1730"/>
    </row>
    <row r="23" spans="1:11" ht="12" customHeight="1">
      <c r="A23" s="1731">
        <v>10</v>
      </c>
      <c r="B23" s="1744" t="str">
        <f>'Chấm công công nhân'!L75</f>
        <v>Hồ Xa My</v>
      </c>
      <c r="C23" s="1726" t="s">
        <v>1272</v>
      </c>
      <c r="D23" s="4635"/>
      <c r="E23" s="1728" t="s">
        <v>1030</v>
      </c>
      <c r="F23" s="1728"/>
      <c r="G23" s="1729">
        <f t="shared" si="0"/>
        <v>0.125</v>
      </c>
      <c r="H23" s="70">
        <f t="shared" si="2"/>
        <v>0</v>
      </c>
      <c r="I23" s="1733">
        <v>25000</v>
      </c>
      <c r="J23" s="1733">
        <f t="shared" si="1"/>
        <v>0</v>
      </c>
      <c r="K23" s="1730"/>
    </row>
    <row r="24" spans="1:11" ht="12" customHeight="1">
      <c r="A24" s="1731">
        <v>11</v>
      </c>
      <c r="B24" s="1744" t="str">
        <f>'Chấm công công nhân'!L76</f>
        <v>Thảo lay</v>
      </c>
      <c r="C24" s="1726" t="s">
        <v>1272</v>
      </c>
      <c r="D24" s="4635"/>
      <c r="E24" s="1728" t="s">
        <v>1030</v>
      </c>
      <c r="F24" s="1728"/>
      <c r="G24" s="1729">
        <f t="shared" si="0"/>
        <v>0.125</v>
      </c>
      <c r="H24" s="70">
        <f t="shared" si="2"/>
        <v>0</v>
      </c>
      <c r="I24" s="1733">
        <v>25000</v>
      </c>
      <c r="J24" s="1733">
        <f t="shared" si="1"/>
        <v>0</v>
      </c>
      <c r="K24" s="1730"/>
    </row>
    <row r="25" spans="1:11" ht="12" customHeight="1">
      <c r="A25" s="1731">
        <v>12</v>
      </c>
      <c r="B25" s="1744" t="str">
        <f>'Chấm công công nhân'!L77</f>
        <v>Thảo khên</v>
      </c>
      <c r="C25" s="1726" t="s">
        <v>1272</v>
      </c>
      <c r="D25" s="4635"/>
      <c r="E25" s="1728" t="s">
        <v>1030</v>
      </c>
      <c r="F25" s="1728"/>
      <c r="G25" s="1729">
        <f t="shared" si="0"/>
        <v>0.125</v>
      </c>
      <c r="H25" s="70">
        <f t="shared" si="2"/>
        <v>0</v>
      </c>
      <c r="I25" s="1733">
        <v>25000</v>
      </c>
      <c r="J25" s="1733">
        <f t="shared" si="1"/>
        <v>0</v>
      </c>
      <c r="K25" s="1730"/>
    </row>
    <row r="26" spans="1:11" ht="12" customHeight="1">
      <c r="A26" s="1731">
        <v>13</v>
      </c>
      <c r="B26" s="1744" t="str">
        <f>'Chấm công công nhân'!L78</f>
        <v>Thảo khon</v>
      </c>
      <c r="C26" s="1726" t="s">
        <v>1272</v>
      </c>
      <c r="D26" s="4635"/>
      <c r="E26" s="1728" t="s">
        <v>1030</v>
      </c>
      <c r="F26" s="1728"/>
      <c r="G26" s="1729">
        <f t="shared" si="0"/>
        <v>0.125</v>
      </c>
      <c r="H26" s="70">
        <f t="shared" si="2"/>
        <v>0</v>
      </c>
      <c r="I26" s="1733">
        <v>25000</v>
      </c>
      <c r="J26" s="1733">
        <f t="shared" si="1"/>
        <v>0</v>
      </c>
      <c r="K26" s="1730"/>
    </row>
    <row r="27" spans="1:11" ht="12" customHeight="1">
      <c r="A27" s="1731">
        <v>14</v>
      </c>
      <c r="B27" s="1744" t="str">
        <f>'Chấm công công nhân'!L79</f>
        <v>Thảo nga</v>
      </c>
      <c r="C27" s="1726" t="s">
        <v>1272</v>
      </c>
      <c r="D27" s="4635"/>
      <c r="E27" s="1728" t="s">
        <v>1030</v>
      </c>
      <c r="F27" s="1728"/>
      <c r="G27" s="1729">
        <f t="shared" si="0"/>
        <v>0.125</v>
      </c>
      <c r="H27" s="70">
        <f t="shared" si="2"/>
        <v>0</v>
      </c>
      <c r="I27" s="1733">
        <v>25000</v>
      </c>
      <c r="J27" s="1733">
        <f t="shared" si="1"/>
        <v>0</v>
      </c>
      <c r="K27" s="1730"/>
    </row>
    <row r="28" spans="1:11" ht="12" customHeight="1">
      <c r="A28" s="1731">
        <v>15</v>
      </c>
      <c r="B28" s="1744" t="str">
        <f>'Chấm công công nhân'!L80</f>
        <v>Thảo lăm ma</v>
      </c>
      <c r="C28" s="1726" t="s">
        <v>1272</v>
      </c>
      <c r="D28" s="4635"/>
      <c r="E28" s="1728" t="s">
        <v>1030</v>
      </c>
      <c r="F28" s="1728"/>
      <c r="G28" s="1729">
        <f t="shared" si="0"/>
        <v>0.125</v>
      </c>
      <c r="H28" s="70">
        <f t="shared" si="2"/>
        <v>0</v>
      </c>
      <c r="I28" s="1733">
        <v>25000</v>
      </c>
      <c r="J28" s="1733">
        <f t="shared" si="1"/>
        <v>0</v>
      </c>
      <c r="K28" s="1730"/>
    </row>
    <row r="29" spans="1:11" ht="12" customHeight="1">
      <c r="A29" s="1731">
        <v>16</v>
      </c>
      <c r="B29" s="1744" t="str">
        <f>'Chấm công công nhân'!L81</f>
        <v>Thảo Hôm</v>
      </c>
      <c r="C29" s="1726" t="s">
        <v>1319</v>
      </c>
      <c r="D29" s="4635"/>
      <c r="E29" s="1728" t="s">
        <v>1030</v>
      </c>
      <c r="F29" s="1728"/>
      <c r="G29" s="1729">
        <f t="shared" si="0"/>
        <v>0.125</v>
      </c>
      <c r="H29" s="70"/>
      <c r="I29" s="1733"/>
      <c r="J29" s="1733"/>
      <c r="K29" s="1730"/>
    </row>
    <row r="30" spans="1:11" ht="12" customHeight="1">
      <c r="A30" s="1731">
        <v>17</v>
      </c>
      <c r="B30" s="2708" t="s">
        <v>1143</v>
      </c>
      <c r="C30" s="1726" t="s">
        <v>1319</v>
      </c>
      <c r="D30" s="4636"/>
      <c r="E30" s="1728" t="s">
        <v>1030</v>
      </c>
      <c r="F30" s="1728"/>
      <c r="G30" s="1729">
        <f t="shared" si="0"/>
        <v>0.125</v>
      </c>
      <c r="H30" s="70">
        <f t="shared" si="2"/>
        <v>0</v>
      </c>
      <c r="I30" s="1733">
        <v>25000</v>
      </c>
      <c r="J30" s="1733">
        <f t="shared" si="1"/>
        <v>0</v>
      </c>
      <c r="K30" s="1730"/>
    </row>
    <row r="31" spans="1:11">
      <c r="A31" s="4628"/>
      <c r="B31" s="4628"/>
      <c r="C31" s="4628"/>
      <c r="D31" s="4628"/>
      <c r="E31" s="1730"/>
      <c r="F31" s="2704">
        <f>SUM(F14:F28)</f>
        <v>0</v>
      </c>
      <c r="G31" s="2704"/>
      <c r="H31" s="2303">
        <f>SUM(H14:H28)</f>
        <v>0</v>
      </c>
      <c r="I31" s="2704"/>
      <c r="J31" s="1736">
        <f>SUM(J14:J28)</f>
        <v>0</v>
      </c>
      <c r="K31" s="2704"/>
    </row>
    <row r="32" spans="1:11" ht="15.75">
      <c r="A32" s="1737" t="s">
        <v>1031</v>
      </c>
      <c r="B32" s="1738"/>
    </row>
    <row r="33" spans="1:9" ht="15.75">
      <c r="A33" s="1739" t="s">
        <v>1032</v>
      </c>
      <c r="B33" s="1740"/>
    </row>
    <row r="34" spans="1:9" ht="15.75">
      <c r="A34" s="1739" t="s">
        <v>1033</v>
      </c>
      <c r="B34" s="1740"/>
    </row>
    <row r="35" spans="1:9" ht="15.75">
      <c r="B35" s="3671" t="s">
        <v>162</v>
      </c>
      <c r="C35" s="3671"/>
      <c r="D35" s="1741"/>
      <c r="E35" s="1741"/>
      <c r="F35" s="1742" t="s">
        <v>1034</v>
      </c>
      <c r="I35" s="1742"/>
    </row>
    <row r="39" spans="1:9">
      <c r="B39" s="4629"/>
      <c r="C39" s="4629"/>
    </row>
  </sheetData>
  <mergeCells count="9">
    <mergeCell ref="A31:D31"/>
    <mergeCell ref="B35:C35"/>
    <mergeCell ref="B39:C39"/>
    <mergeCell ref="D14:D30"/>
    <mergeCell ref="A1:K1"/>
    <mergeCell ref="A2:K2"/>
    <mergeCell ref="A3:G3"/>
    <mergeCell ref="A4:G4"/>
    <mergeCell ref="B6:K6"/>
  </mergeCells>
  <pageMargins left="0.7" right="0.7" top="0.75" bottom="0.75" header="0.3" footer="0.3"/>
  <legacy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59"/>
  <sheetViews>
    <sheetView topLeftCell="A19" workbookViewId="0">
      <selection activeCell="E39" sqref="E39"/>
    </sheetView>
  </sheetViews>
  <sheetFormatPr defaultRowHeight="14.25"/>
  <cols>
    <col min="1" max="1" width="5.125" customWidth="1"/>
    <col min="2" max="2" width="10.625" style="1716" customWidth="1"/>
    <col min="3" max="3" width="13.875" style="1716" customWidth="1"/>
    <col min="4" max="4" width="5.75" customWidth="1"/>
    <col min="5" max="5" width="4.25" customWidth="1"/>
    <col min="6" max="6" width="5" style="1712" customWidth="1"/>
    <col min="7" max="7" width="4.875" customWidth="1"/>
    <col min="8" max="8" width="5.375" style="1714" customWidth="1"/>
    <col min="9" max="9" width="7.375" customWidth="1"/>
    <col min="10" max="10" width="5" hidden="1" customWidth="1"/>
    <col min="11" max="11" width="10.625" style="1715" customWidth="1"/>
    <col min="12" max="12" width="7" customWidth="1"/>
  </cols>
  <sheetData>
    <row r="1" spans="1:12" ht="15.75">
      <c r="A1" s="3751" t="s">
        <v>165</v>
      </c>
      <c r="B1" s="3751"/>
      <c r="C1" s="3751"/>
      <c r="D1" s="3751"/>
      <c r="E1" s="3751"/>
      <c r="F1" s="3751"/>
      <c r="G1" s="3751"/>
      <c r="H1" s="3751"/>
      <c r="I1" s="3751"/>
      <c r="J1" s="3751"/>
      <c r="K1" s="3751"/>
      <c r="L1" s="3751"/>
    </row>
    <row r="2" spans="1:12" ht="15.75">
      <c r="A2" s="4130" t="s">
        <v>1015</v>
      </c>
      <c r="B2" s="4130"/>
      <c r="C2" s="4130"/>
      <c r="D2" s="4130"/>
      <c r="E2" s="4130"/>
      <c r="F2" s="4130"/>
      <c r="G2" s="4130"/>
      <c r="H2" s="4130"/>
      <c r="I2" s="4130"/>
      <c r="J2" s="4130"/>
      <c r="K2" s="4130"/>
      <c r="L2" s="4130"/>
    </row>
    <row r="3" spans="1:12" ht="15.75">
      <c r="A3" s="4417" t="s">
        <v>1016</v>
      </c>
      <c r="B3" s="4417"/>
      <c r="C3" s="4417"/>
      <c r="D3" s="4417"/>
      <c r="E3" s="4417"/>
      <c r="F3" s="4417"/>
      <c r="G3" s="4417"/>
      <c r="H3" s="1711"/>
      <c r="I3" s="1712"/>
      <c r="J3" s="1712"/>
      <c r="K3" s="1713"/>
      <c r="L3" s="1712"/>
    </row>
    <row r="4" spans="1:12" ht="15.75">
      <c r="A4" s="4130" t="s">
        <v>541</v>
      </c>
      <c r="B4" s="4130"/>
      <c r="C4" s="4130"/>
      <c r="D4" s="4130"/>
      <c r="E4" s="4130"/>
      <c r="F4" s="4130"/>
      <c r="G4" s="4130"/>
    </row>
    <row r="5" spans="1:12" ht="21.75">
      <c r="G5" s="1717" t="s">
        <v>1017</v>
      </c>
    </row>
    <row r="6" spans="1:12">
      <c r="A6" s="1718"/>
      <c r="B6" s="4630" t="s">
        <v>1323</v>
      </c>
      <c r="C6" s="4630"/>
      <c r="D6" s="4630"/>
      <c r="E6" s="4630"/>
      <c r="F6" s="4630"/>
      <c r="G6" s="4630"/>
      <c r="H6" s="4630"/>
      <c r="I6" s="4630"/>
      <c r="J6" s="4630"/>
      <c r="K6" s="4630"/>
      <c r="L6" s="4630"/>
    </row>
    <row r="7" spans="1:12">
      <c r="A7" s="1718"/>
      <c r="B7" s="1719" t="s">
        <v>1018</v>
      </c>
      <c r="C7" s="1719"/>
      <c r="D7" s="2483"/>
      <c r="E7" s="2483"/>
      <c r="G7" s="1718"/>
      <c r="H7" s="1721"/>
      <c r="I7" s="1718"/>
      <c r="J7" s="1718"/>
      <c r="K7" s="1722"/>
      <c r="L7" s="1718"/>
    </row>
    <row r="8" spans="1:12">
      <c r="A8" s="1718"/>
      <c r="B8" s="1719" t="s">
        <v>1270</v>
      </c>
      <c r="C8" s="1719"/>
      <c r="D8" s="2483"/>
      <c r="E8" s="1718"/>
      <c r="G8" s="1718"/>
      <c r="H8" s="1723" t="s">
        <v>1019</v>
      </c>
      <c r="I8" s="2483"/>
      <c r="J8" s="2483"/>
      <c r="K8" s="1722"/>
      <c r="L8" s="1718"/>
    </row>
    <row r="9" spans="1:12">
      <c r="A9" s="1718"/>
      <c r="B9" s="1719" t="s">
        <v>1035</v>
      </c>
      <c r="C9" s="1719"/>
      <c r="D9" s="2483"/>
      <c r="E9" s="1718"/>
      <c r="G9" s="1718"/>
      <c r="H9" s="1723" t="s">
        <v>1020</v>
      </c>
      <c r="I9" s="2483"/>
      <c r="J9" s="2483"/>
      <c r="K9" s="1722"/>
      <c r="L9" s="1718"/>
    </row>
    <row r="10" spans="1:12">
      <c r="A10" s="1718"/>
      <c r="B10" s="1296" t="s">
        <v>1209</v>
      </c>
      <c r="D10" s="1718"/>
      <c r="E10" s="1718"/>
      <c r="G10" s="1718"/>
      <c r="H10" s="1721"/>
      <c r="I10" s="1718"/>
      <c r="J10" s="1718"/>
      <c r="K10" s="1722"/>
      <c r="L10" s="1718"/>
    </row>
    <row r="11" spans="1:12">
      <c r="A11" s="1718" t="s">
        <v>1022</v>
      </c>
      <c r="D11" s="1718"/>
      <c r="E11" s="1718"/>
      <c r="G11" s="1718"/>
      <c r="H11" s="1721"/>
      <c r="I11" s="1718"/>
      <c r="J11" s="1718"/>
      <c r="K11" s="1722"/>
      <c r="L11" s="1718"/>
    </row>
    <row r="12" spans="1:12" ht="61.5" customHeight="1">
      <c r="A12" s="1724" t="s">
        <v>1</v>
      </c>
      <c r="B12" s="1724" t="s">
        <v>20</v>
      </c>
      <c r="C12" s="1724" t="s">
        <v>1023</v>
      </c>
      <c r="D12" s="1724" t="s">
        <v>810</v>
      </c>
      <c r="E12" s="1724" t="s">
        <v>7</v>
      </c>
      <c r="F12" s="1724" t="s">
        <v>1024</v>
      </c>
      <c r="G12" s="1724" t="s">
        <v>361</v>
      </c>
      <c r="H12" s="1725" t="s">
        <v>47</v>
      </c>
      <c r="I12" s="1724" t="s">
        <v>1025</v>
      </c>
      <c r="J12" s="1724" t="s">
        <v>1026</v>
      </c>
      <c r="K12" s="1726" t="s">
        <v>1027</v>
      </c>
      <c r="L12" s="1727" t="s">
        <v>9</v>
      </c>
    </row>
    <row r="13" spans="1:12" ht="15.75" customHeight="1">
      <c r="A13" s="1728">
        <v>1</v>
      </c>
      <c r="B13" s="1726">
        <v>2</v>
      </c>
      <c r="C13" s="1726">
        <v>3</v>
      </c>
      <c r="D13" s="1728">
        <v>4</v>
      </c>
      <c r="E13" s="1728">
        <v>5</v>
      </c>
      <c r="F13" s="1728">
        <v>6</v>
      </c>
      <c r="G13" s="1728">
        <v>7</v>
      </c>
      <c r="H13" s="1729" t="s">
        <v>1211</v>
      </c>
      <c r="I13" s="1728">
        <v>9</v>
      </c>
      <c r="J13" s="1728">
        <v>9</v>
      </c>
      <c r="K13" s="1728" t="s">
        <v>1029</v>
      </c>
      <c r="L13" s="1730"/>
    </row>
    <row r="14" spans="1:12" ht="12" customHeight="1">
      <c r="A14" s="1731">
        <v>1</v>
      </c>
      <c r="B14" s="1732" t="str">
        <f>'Chấm công công nhân'!L13</f>
        <v>Vắt Đi</v>
      </c>
      <c r="C14" s="1726" t="s">
        <v>1322</v>
      </c>
      <c r="D14" s="4365" t="s">
        <v>1046</v>
      </c>
      <c r="E14" s="1728" t="s">
        <v>1030</v>
      </c>
      <c r="F14" s="1820"/>
      <c r="G14" s="1820">
        <f>25000/150000</f>
        <v>0.16666666666666666</v>
      </c>
      <c r="H14" s="1729">
        <f>F14/G14</f>
        <v>0</v>
      </c>
      <c r="I14" s="1733">
        <v>25000</v>
      </c>
      <c r="J14" s="1728"/>
      <c r="K14" s="1733">
        <f>I14*H14</f>
        <v>0</v>
      </c>
      <c r="L14" s="1730"/>
    </row>
    <row r="15" spans="1:12" ht="12" customHeight="1">
      <c r="A15" s="1731">
        <v>2</v>
      </c>
      <c r="B15" s="1732" t="str">
        <f>'Chấm công công nhân'!L14</f>
        <v>T Ô Vên</v>
      </c>
      <c r="C15" s="1726" t="s">
        <v>1322</v>
      </c>
      <c r="D15" s="4635"/>
      <c r="E15" s="1728" t="s">
        <v>1030</v>
      </c>
      <c r="F15" s="1820"/>
      <c r="G15" s="1820">
        <f t="shared" ref="G15:G50" si="0">25000/150000</f>
        <v>0.16666666666666666</v>
      </c>
      <c r="H15" s="1729">
        <f t="shared" ref="H15:H50" si="1">F15/G15</f>
        <v>0</v>
      </c>
      <c r="I15" s="1733">
        <v>25000</v>
      </c>
      <c r="J15" s="1731"/>
      <c r="K15" s="1733">
        <f t="shared" ref="K15:K50" si="2">I15*H15</f>
        <v>0</v>
      </c>
      <c r="L15" s="1730"/>
    </row>
    <row r="16" spans="1:12" ht="12" customHeight="1">
      <c r="A16" s="1731">
        <v>3</v>
      </c>
      <c r="B16" s="1732" t="str">
        <f>'Chấm công công nhân'!L15</f>
        <v>Nàng Túc</v>
      </c>
      <c r="C16" s="1726" t="s">
        <v>1322</v>
      </c>
      <c r="D16" s="4635"/>
      <c r="E16" s="1728" t="s">
        <v>1030</v>
      </c>
      <c r="F16" s="1820"/>
      <c r="G16" s="1820">
        <f t="shared" si="0"/>
        <v>0.16666666666666666</v>
      </c>
      <c r="H16" s="1729">
        <f t="shared" si="1"/>
        <v>0</v>
      </c>
      <c r="I16" s="1733">
        <v>25000</v>
      </c>
      <c r="J16" s="1731"/>
      <c r="K16" s="1733">
        <f t="shared" si="2"/>
        <v>0</v>
      </c>
      <c r="L16" s="1730"/>
    </row>
    <row r="17" spans="1:12" ht="12" customHeight="1">
      <c r="A17" s="1731">
        <v>4</v>
      </c>
      <c r="B17" s="1732" t="str">
        <f>'Chấm công công nhân'!L16</f>
        <v>Thảo Say</v>
      </c>
      <c r="C17" s="1726" t="s">
        <v>1322</v>
      </c>
      <c r="D17" s="4635"/>
      <c r="E17" s="1728" t="s">
        <v>1030</v>
      </c>
      <c r="F17" s="1820"/>
      <c r="G17" s="1820">
        <f t="shared" si="0"/>
        <v>0.16666666666666666</v>
      </c>
      <c r="H17" s="1729">
        <f t="shared" si="1"/>
        <v>0</v>
      </c>
      <c r="I17" s="1733">
        <v>25000</v>
      </c>
      <c r="J17" s="1731"/>
      <c r="K17" s="1733">
        <f t="shared" si="2"/>
        <v>0</v>
      </c>
      <c r="L17" s="1730"/>
    </row>
    <row r="18" spans="1:12" ht="12" customHeight="1">
      <c r="A18" s="1731">
        <v>5</v>
      </c>
      <c r="B18" s="1732" t="str">
        <f>'Chấm công công nhân'!L17</f>
        <v>Thảo Pheng</v>
      </c>
      <c r="C18" s="1726" t="s">
        <v>1322</v>
      </c>
      <c r="D18" s="4635"/>
      <c r="E18" s="1728" t="s">
        <v>1030</v>
      </c>
      <c r="F18" s="1820"/>
      <c r="G18" s="1820">
        <f t="shared" si="0"/>
        <v>0.16666666666666666</v>
      </c>
      <c r="H18" s="1729">
        <f t="shared" si="1"/>
        <v>0</v>
      </c>
      <c r="I18" s="1733">
        <v>25000</v>
      </c>
      <c r="J18" s="1728"/>
      <c r="K18" s="1733">
        <f t="shared" si="2"/>
        <v>0</v>
      </c>
      <c r="L18" s="1730"/>
    </row>
    <row r="19" spans="1:12" ht="12" customHeight="1">
      <c r="A19" s="1731">
        <v>6</v>
      </c>
      <c r="B19" s="1732" t="str">
        <f>'Chấm công công nhân'!L18</f>
        <v>Nàng Chay</v>
      </c>
      <c r="C19" s="1726" t="s">
        <v>1322</v>
      </c>
      <c r="D19" s="4635"/>
      <c r="E19" s="1728" t="s">
        <v>1030</v>
      </c>
      <c r="F19" s="1820"/>
      <c r="G19" s="1820">
        <f t="shared" si="0"/>
        <v>0.16666666666666666</v>
      </c>
      <c r="H19" s="1729">
        <f t="shared" si="1"/>
        <v>0</v>
      </c>
      <c r="I19" s="1733">
        <v>25000</v>
      </c>
      <c r="J19" s="1728"/>
      <c r="K19" s="1733">
        <f t="shared" si="2"/>
        <v>0</v>
      </c>
      <c r="L19" s="1730"/>
    </row>
    <row r="20" spans="1:12" ht="12" customHeight="1">
      <c r="A20" s="1731">
        <v>7</v>
      </c>
      <c r="B20" s="1732" t="str">
        <f>'Chấm công công nhân'!L19</f>
        <v>Nàng Hđao</v>
      </c>
      <c r="C20" s="1726" t="s">
        <v>1322</v>
      </c>
      <c r="D20" s="4635"/>
      <c r="E20" s="1728" t="s">
        <v>1030</v>
      </c>
      <c r="F20" s="1820"/>
      <c r="G20" s="1820">
        <f t="shared" si="0"/>
        <v>0.16666666666666666</v>
      </c>
      <c r="H20" s="1729">
        <f t="shared" si="1"/>
        <v>0</v>
      </c>
      <c r="I20" s="1733">
        <v>25000</v>
      </c>
      <c r="J20" s="1731"/>
      <c r="K20" s="1733">
        <f t="shared" si="2"/>
        <v>0</v>
      </c>
      <c r="L20" s="1730"/>
    </row>
    <row r="21" spans="1:12" ht="12" customHeight="1">
      <c r="A21" s="1731">
        <v>8</v>
      </c>
      <c r="B21" s="1732" t="str">
        <f>'Chấm công công nhân'!L20</f>
        <v xml:space="preserve">Thảo Ken </v>
      </c>
      <c r="C21" s="1726" t="s">
        <v>1322</v>
      </c>
      <c r="D21" s="4635"/>
      <c r="E21" s="1728" t="s">
        <v>1030</v>
      </c>
      <c r="F21" s="1820"/>
      <c r="G21" s="1820">
        <f t="shared" si="0"/>
        <v>0.16666666666666666</v>
      </c>
      <c r="H21" s="1729">
        <f t="shared" si="1"/>
        <v>0</v>
      </c>
      <c r="I21" s="1733">
        <v>25000</v>
      </c>
      <c r="J21" s="1731"/>
      <c r="K21" s="1733">
        <f t="shared" si="2"/>
        <v>0</v>
      </c>
      <c r="L21" s="1730"/>
    </row>
    <row r="22" spans="1:12" ht="12" customHeight="1">
      <c r="A22" s="1731">
        <v>9</v>
      </c>
      <c r="B22" s="1732" t="str">
        <f>'Chấm công công nhân'!L21</f>
        <v>Thảo Cợt</v>
      </c>
      <c r="C22" s="1726" t="s">
        <v>1322</v>
      </c>
      <c r="D22" s="4635"/>
      <c r="E22" s="1728" t="s">
        <v>1030</v>
      </c>
      <c r="F22" s="1820"/>
      <c r="G22" s="1820">
        <f t="shared" si="0"/>
        <v>0.16666666666666666</v>
      </c>
      <c r="H22" s="1729">
        <f t="shared" si="1"/>
        <v>0</v>
      </c>
      <c r="I22" s="1733">
        <v>25000</v>
      </c>
      <c r="J22" s="1731"/>
      <c r="K22" s="1733">
        <f t="shared" si="2"/>
        <v>0</v>
      </c>
      <c r="L22" s="1730"/>
    </row>
    <row r="23" spans="1:12" ht="12" customHeight="1">
      <c r="A23" s="1731">
        <v>10</v>
      </c>
      <c r="B23" s="1732" t="str">
        <f>'Chấm công công nhân'!L22</f>
        <v>Thảo Mi</v>
      </c>
      <c r="C23" s="1726" t="s">
        <v>1322</v>
      </c>
      <c r="D23" s="4635"/>
      <c r="E23" s="1728" t="s">
        <v>1030</v>
      </c>
      <c r="F23" s="1820"/>
      <c r="G23" s="1820">
        <f t="shared" si="0"/>
        <v>0.16666666666666666</v>
      </c>
      <c r="H23" s="1729">
        <f t="shared" si="1"/>
        <v>0</v>
      </c>
      <c r="I23" s="1733">
        <v>25000</v>
      </c>
      <c r="J23" s="1728"/>
      <c r="K23" s="1733">
        <f t="shared" si="2"/>
        <v>0</v>
      </c>
      <c r="L23" s="1730"/>
    </row>
    <row r="24" spans="1:12" ht="12" customHeight="1">
      <c r="A24" s="1731">
        <v>11</v>
      </c>
      <c r="B24" s="1732" t="str">
        <f>'Chấm công công nhân'!L23</f>
        <v>Thảo Phét</v>
      </c>
      <c r="C24" s="1726" t="s">
        <v>1322</v>
      </c>
      <c r="D24" s="4635"/>
      <c r="E24" s="1728" t="s">
        <v>1030</v>
      </c>
      <c r="F24" s="1820"/>
      <c r="G24" s="1820">
        <f t="shared" si="0"/>
        <v>0.16666666666666666</v>
      </c>
      <c r="H24" s="1729">
        <f t="shared" si="1"/>
        <v>0</v>
      </c>
      <c r="I24" s="1733">
        <v>25000</v>
      </c>
      <c r="J24" s="1728"/>
      <c r="K24" s="1733">
        <f t="shared" si="2"/>
        <v>0</v>
      </c>
      <c r="L24" s="1730"/>
    </row>
    <row r="25" spans="1:12" ht="12" customHeight="1">
      <c r="A25" s="1731">
        <v>12</v>
      </c>
      <c r="B25" s="1732" t="str">
        <f>'Chấm công công nhân'!L24</f>
        <v>Thảo Hăm</v>
      </c>
      <c r="C25" s="1726" t="s">
        <v>1322</v>
      </c>
      <c r="D25" s="4635"/>
      <c r="E25" s="1728" t="s">
        <v>1030</v>
      </c>
      <c r="F25" s="1820"/>
      <c r="G25" s="1820">
        <f t="shared" si="0"/>
        <v>0.16666666666666666</v>
      </c>
      <c r="H25" s="1729">
        <f t="shared" si="1"/>
        <v>0</v>
      </c>
      <c r="I25" s="1733">
        <v>25000</v>
      </c>
      <c r="J25" s="1731"/>
      <c r="K25" s="1733">
        <f t="shared" si="2"/>
        <v>0</v>
      </c>
      <c r="L25" s="1730"/>
    </row>
    <row r="26" spans="1:12" ht="12" customHeight="1">
      <c r="A26" s="1731">
        <v>13</v>
      </c>
      <c r="B26" s="1732" t="str">
        <f>'Chấm công công nhân'!L25</f>
        <v>Nang Lon</v>
      </c>
      <c r="C26" s="1726" t="s">
        <v>1322</v>
      </c>
      <c r="D26" s="4635"/>
      <c r="E26" s="1728" t="s">
        <v>1030</v>
      </c>
      <c r="F26" s="1820"/>
      <c r="G26" s="1820">
        <f t="shared" si="0"/>
        <v>0.16666666666666666</v>
      </c>
      <c r="H26" s="1729">
        <f t="shared" si="1"/>
        <v>0</v>
      </c>
      <c r="I26" s="1733">
        <v>25000</v>
      </c>
      <c r="J26" s="1731"/>
      <c r="K26" s="1733">
        <f t="shared" si="2"/>
        <v>0</v>
      </c>
      <c r="L26" s="1730"/>
    </row>
    <row r="27" spans="1:12" ht="12" customHeight="1">
      <c r="A27" s="1731">
        <v>14</v>
      </c>
      <c r="B27" s="1732" t="str">
        <f>'Chấm công công nhân'!L26</f>
        <v>Thảo Phết</v>
      </c>
      <c r="C27" s="1726" t="s">
        <v>1322</v>
      </c>
      <c r="D27" s="4635"/>
      <c r="E27" s="1728" t="s">
        <v>1030</v>
      </c>
      <c r="F27" s="1820"/>
      <c r="G27" s="1820">
        <f t="shared" si="0"/>
        <v>0.16666666666666666</v>
      </c>
      <c r="H27" s="1729">
        <f t="shared" si="1"/>
        <v>0</v>
      </c>
      <c r="I27" s="1733">
        <v>25000</v>
      </c>
      <c r="J27" s="1731"/>
      <c r="K27" s="1733">
        <f t="shared" si="2"/>
        <v>0</v>
      </c>
      <c r="L27" s="1730"/>
    </row>
    <row r="28" spans="1:12" ht="12" customHeight="1">
      <c r="A28" s="1731">
        <v>15</v>
      </c>
      <c r="B28" s="1732" t="str">
        <f>'Chấm công công nhân'!L27</f>
        <v>Vĩ Lay</v>
      </c>
      <c r="C28" s="1726" t="s">
        <v>1322</v>
      </c>
      <c r="D28" s="4635"/>
      <c r="E28" s="1728" t="s">
        <v>1030</v>
      </c>
      <c r="F28" s="1820"/>
      <c r="G28" s="1820">
        <f t="shared" si="0"/>
        <v>0.16666666666666666</v>
      </c>
      <c r="H28" s="1729">
        <f t="shared" si="1"/>
        <v>0</v>
      </c>
      <c r="I28" s="1733">
        <v>25000</v>
      </c>
      <c r="J28" s="1728"/>
      <c r="K28" s="1733">
        <f t="shared" si="2"/>
        <v>0</v>
      </c>
      <c r="L28" s="1730"/>
    </row>
    <row r="29" spans="1:12" ht="12" customHeight="1">
      <c r="A29" s="1731">
        <v>16</v>
      </c>
      <c r="B29" s="1732" t="str">
        <f>'Chấm công công nhân'!L28</f>
        <v>Pha Xúc</v>
      </c>
      <c r="C29" s="1726" t="s">
        <v>1322</v>
      </c>
      <c r="D29" s="4635"/>
      <c r="E29" s="1728" t="s">
        <v>1030</v>
      </c>
      <c r="F29" s="2751"/>
      <c r="G29" s="1820">
        <f t="shared" si="0"/>
        <v>0.16666666666666666</v>
      </c>
      <c r="H29" s="1729">
        <f t="shared" si="1"/>
        <v>0</v>
      </c>
      <c r="I29" s="1733">
        <v>25000</v>
      </c>
      <c r="J29" s="1728"/>
      <c r="K29" s="1733">
        <f t="shared" si="2"/>
        <v>0</v>
      </c>
      <c r="L29" s="1730"/>
    </row>
    <row r="30" spans="1:12" ht="12" customHeight="1">
      <c r="A30" s="1731">
        <v>17</v>
      </c>
      <c r="B30" s="1732" t="str">
        <f>'Chấm công công nhân'!L29</f>
        <v>Nàng Đao</v>
      </c>
      <c r="C30" s="1726" t="s">
        <v>1322</v>
      </c>
      <c r="D30" s="4635"/>
      <c r="E30" s="1728" t="s">
        <v>1030</v>
      </c>
      <c r="F30" s="1820"/>
      <c r="G30" s="1820">
        <f t="shared" si="0"/>
        <v>0.16666666666666666</v>
      </c>
      <c r="H30" s="1729">
        <f t="shared" si="1"/>
        <v>0</v>
      </c>
      <c r="I30" s="1733">
        <v>25000</v>
      </c>
      <c r="J30" s="1731"/>
      <c r="K30" s="1733">
        <f t="shared" si="2"/>
        <v>0</v>
      </c>
      <c r="L30" s="1730"/>
    </row>
    <row r="31" spans="1:12" ht="12" customHeight="1">
      <c r="A31" s="1731">
        <v>18</v>
      </c>
      <c r="B31" s="1732" t="str">
        <f>'Chấm công công nhân'!L30</f>
        <v>Nàng Kiên</v>
      </c>
      <c r="C31" s="1726" t="s">
        <v>1322</v>
      </c>
      <c r="D31" s="4635"/>
      <c r="E31" s="1728" t="s">
        <v>1030</v>
      </c>
      <c r="F31" s="1820"/>
      <c r="G31" s="1820">
        <f t="shared" si="0"/>
        <v>0.16666666666666666</v>
      </c>
      <c r="H31" s="1729">
        <f t="shared" si="1"/>
        <v>0</v>
      </c>
      <c r="I31" s="1733">
        <v>25000</v>
      </c>
      <c r="J31" s="1731"/>
      <c r="K31" s="1733">
        <f t="shared" si="2"/>
        <v>0</v>
      </c>
      <c r="L31" s="1730"/>
    </row>
    <row r="32" spans="1:12" ht="12" customHeight="1">
      <c r="A32" s="1731">
        <v>19</v>
      </c>
      <c r="B32" s="1732" t="str">
        <f>'Chấm công công nhân'!L31</f>
        <v>Nàng Túc 2</v>
      </c>
      <c r="C32" s="1726" t="s">
        <v>1322</v>
      </c>
      <c r="D32" s="4635"/>
      <c r="E32" s="1728" t="s">
        <v>1030</v>
      </c>
      <c r="F32" s="1820"/>
      <c r="G32" s="1820">
        <f t="shared" si="0"/>
        <v>0.16666666666666666</v>
      </c>
      <c r="H32" s="1729">
        <f t="shared" si="1"/>
        <v>0</v>
      </c>
      <c r="I32" s="1733">
        <v>25000</v>
      </c>
      <c r="J32" s="1731"/>
      <c r="K32" s="1733">
        <f t="shared" si="2"/>
        <v>0</v>
      </c>
      <c r="L32" s="1730"/>
    </row>
    <row r="33" spans="1:12" ht="12" customHeight="1">
      <c r="A33" s="1731">
        <v>20</v>
      </c>
      <c r="B33" s="1732" t="str">
        <f>'Chấm công công nhân'!L32</f>
        <v>Nàng Phon</v>
      </c>
      <c r="C33" s="1726" t="s">
        <v>1322</v>
      </c>
      <c r="D33" s="4635"/>
      <c r="E33" s="1728" t="s">
        <v>1030</v>
      </c>
      <c r="F33" s="1820"/>
      <c r="G33" s="1820">
        <f t="shared" si="0"/>
        <v>0.16666666666666666</v>
      </c>
      <c r="H33" s="1729">
        <f t="shared" si="1"/>
        <v>0</v>
      </c>
      <c r="I33" s="1733">
        <v>25000</v>
      </c>
      <c r="J33" s="1728"/>
      <c r="K33" s="1733">
        <f t="shared" si="2"/>
        <v>0</v>
      </c>
      <c r="L33" s="1730"/>
    </row>
    <row r="34" spans="1:12" ht="10.5" customHeight="1">
      <c r="A34" s="1731">
        <v>21</v>
      </c>
      <c r="B34" s="1732" t="str">
        <f>'Chấm công công nhân'!L33</f>
        <v>Thảo Chòi</v>
      </c>
      <c r="C34" s="1726" t="s">
        <v>1322</v>
      </c>
      <c r="D34" s="4635"/>
      <c r="E34" s="1728" t="s">
        <v>1030</v>
      </c>
      <c r="F34" s="1820"/>
      <c r="G34" s="1820">
        <f t="shared" si="0"/>
        <v>0.16666666666666666</v>
      </c>
      <c r="H34" s="1729">
        <f t="shared" si="1"/>
        <v>0</v>
      </c>
      <c r="I34" s="1733">
        <v>25000</v>
      </c>
      <c r="J34" s="1728"/>
      <c r="K34" s="1733">
        <f t="shared" si="2"/>
        <v>0</v>
      </c>
      <c r="L34" s="1730"/>
    </row>
    <row r="35" spans="1:12" ht="10.5" customHeight="1">
      <c r="A35" s="1731">
        <v>22</v>
      </c>
      <c r="B35" s="1732" t="str">
        <f>'Chấm công công nhân'!L34</f>
        <v>Thong La</v>
      </c>
      <c r="C35" s="1726" t="s">
        <v>1322</v>
      </c>
      <c r="D35" s="4635"/>
      <c r="E35" s="1728" t="s">
        <v>1030</v>
      </c>
      <c r="F35" s="1820"/>
      <c r="G35" s="1820">
        <f t="shared" si="0"/>
        <v>0.16666666666666666</v>
      </c>
      <c r="H35" s="1729">
        <f t="shared" si="1"/>
        <v>0</v>
      </c>
      <c r="I35" s="1733">
        <v>25000</v>
      </c>
      <c r="J35" s="1731"/>
      <c r="K35" s="1733">
        <f t="shared" si="2"/>
        <v>0</v>
      </c>
      <c r="L35" s="1730"/>
    </row>
    <row r="36" spans="1:12" ht="10.5" customHeight="1">
      <c r="A36" s="1731">
        <v>23</v>
      </c>
      <c r="B36" s="1732" t="str">
        <f>'Chấm công công nhân'!L35</f>
        <v>Thảo kok</v>
      </c>
      <c r="C36" s="1726" t="s">
        <v>1322</v>
      </c>
      <c r="D36" s="4635"/>
      <c r="E36" s="1728" t="s">
        <v>1030</v>
      </c>
      <c r="F36" s="1820"/>
      <c r="G36" s="1820">
        <f t="shared" si="0"/>
        <v>0.16666666666666666</v>
      </c>
      <c r="H36" s="1729">
        <f t="shared" si="1"/>
        <v>0</v>
      </c>
      <c r="I36" s="1733">
        <v>25000</v>
      </c>
      <c r="J36" s="1731"/>
      <c r="K36" s="1733">
        <f t="shared" si="2"/>
        <v>0</v>
      </c>
      <c r="L36" s="1730"/>
    </row>
    <row r="37" spans="1:12" ht="10.5" customHeight="1">
      <c r="A37" s="1731">
        <v>24</v>
      </c>
      <c r="B37" s="1732" t="str">
        <f>'Chấm công công nhân'!L36</f>
        <v>Thảo Hôm</v>
      </c>
      <c r="C37" s="1726" t="s">
        <v>1322</v>
      </c>
      <c r="D37" s="4635"/>
      <c r="E37" s="1728" t="s">
        <v>1030</v>
      </c>
      <c r="F37" s="1820"/>
      <c r="G37" s="1820">
        <f t="shared" si="0"/>
        <v>0.16666666666666666</v>
      </c>
      <c r="H37" s="1729">
        <f t="shared" si="1"/>
        <v>0</v>
      </c>
      <c r="I37" s="1733">
        <v>25000</v>
      </c>
      <c r="J37" s="1731"/>
      <c r="K37" s="1733">
        <f t="shared" si="2"/>
        <v>0</v>
      </c>
      <c r="L37" s="1730"/>
    </row>
    <row r="38" spans="1:12" ht="10.5" customHeight="1">
      <c r="A38" s="1731">
        <v>25</v>
      </c>
      <c r="B38" s="1732" t="str">
        <f>'Chấm công công nhân'!L37</f>
        <v>Nàng Lam</v>
      </c>
      <c r="C38" s="1726" t="s">
        <v>1322</v>
      </c>
      <c r="D38" s="4635"/>
      <c r="E38" s="1728" t="s">
        <v>1030</v>
      </c>
      <c r="F38" s="1820"/>
      <c r="G38" s="1820">
        <f t="shared" si="0"/>
        <v>0.16666666666666666</v>
      </c>
      <c r="H38" s="1729">
        <f t="shared" si="1"/>
        <v>0</v>
      </c>
      <c r="I38" s="1733">
        <v>25000</v>
      </c>
      <c r="J38" s="1728"/>
      <c r="K38" s="1733">
        <f t="shared" si="2"/>
        <v>0</v>
      </c>
      <c r="L38" s="1730"/>
    </row>
    <row r="39" spans="1:12" ht="10.5" customHeight="1">
      <c r="A39" s="1731">
        <v>26</v>
      </c>
      <c r="B39" s="1732" t="str">
        <f>'Chấm công công nhân'!L38</f>
        <v>Thảo Hơ Phơ</v>
      </c>
      <c r="C39" s="1726" t="s">
        <v>1322</v>
      </c>
      <c r="D39" s="4635"/>
      <c r="E39" s="1728" t="s">
        <v>1030</v>
      </c>
      <c r="F39" s="1820"/>
      <c r="G39" s="1820">
        <f t="shared" si="0"/>
        <v>0.16666666666666666</v>
      </c>
      <c r="H39" s="1729">
        <f t="shared" si="1"/>
        <v>0</v>
      </c>
      <c r="I39" s="1733">
        <v>25000</v>
      </c>
      <c r="J39" s="1728"/>
      <c r="K39" s="1733">
        <f t="shared" si="2"/>
        <v>0</v>
      </c>
      <c r="L39" s="1730"/>
    </row>
    <row r="40" spans="1:12" ht="10.5" customHeight="1">
      <c r="A40" s="1731">
        <v>27</v>
      </c>
      <c r="B40" s="1732" t="str">
        <f>'Chấm công công nhân'!L39</f>
        <v>Thảo Lay</v>
      </c>
      <c r="C40" s="1726" t="s">
        <v>1322</v>
      </c>
      <c r="D40" s="4635"/>
      <c r="E40" s="1728" t="s">
        <v>1030</v>
      </c>
      <c r="F40" s="1820"/>
      <c r="G40" s="1820">
        <f t="shared" si="0"/>
        <v>0.16666666666666666</v>
      </c>
      <c r="H40" s="1729">
        <f t="shared" si="1"/>
        <v>0</v>
      </c>
      <c r="I40" s="1733">
        <v>25000</v>
      </c>
      <c r="J40" s="1731"/>
      <c r="K40" s="1733">
        <f t="shared" si="2"/>
        <v>0</v>
      </c>
      <c r="L40" s="1730"/>
    </row>
    <row r="41" spans="1:12" ht="10.5" customHeight="1">
      <c r="A41" s="1731">
        <v>28</v>
      </c>
      <c r="B41" s="1732" t="str">
        <f>'Chấm công công nhân'!L40</f>
        <v>Thảo Khốc</v>
      </c>
      <c r="C41" s="1726" t="s">
        <v>1322</v>
      </c>
      <c r="D41" s="4635"/>
      <c r="E41" s="1728" t="s">
        <v>1030</v>
      </c>
      <c r="F41" s="1820"/>
      <c r="G41" s="1820">
        <f t="shared" si="0"/>
        <v>0.16666666666666666</v>
      </c>
      <c r="H41" s="1729">
        <f t="shared" si="1"/>
        <v>0</v>
      </c>
      <c r="I41" s="1733">
        <v>25000</v>
      </c>
      <c r="J41" s="1731"/>
      <c r="K41" s="1733">
        <f t="shared" si="2"/>
        <v>0</v>
      </c>
      <c r="L41" s="1730"/>
    </row>
    <row r="42" spans="1:12" ht="10.5" customHeight="1">
      <c r="A42" s="1731">
        <v>29</v>
      </c>
      <c r="B42" s="1732" t="str">
        <f>'Chấm công công nhân'!L41</f>
        <v>Thảo Sợt</v>
      </c>
      <c r="C42" s="1726" t="s">
        <v>1322</v>
      </c>
      <c r="D42" s="4635"/>
      <c r="E42" s="1728" t="s">
        <v>1030</v>
      </c>
      <c r="F42" s="1820"/>
      <c r="G42" s="1820">
        <f t="shared" si="0"/>
        <v>0.16666666666666666</v>
      </c>
      <c r="H42" s="1729">
        <f t="shared" si="1"/>
        <v>0</v>
      </c>
      <c r="I42" s="1733">
        <v>25000</v>
      </c>
      <c r="J42" s="1731"/>
      <c r="K42" s="1733">
        <f t="shared" si="2"/>
        <v>0</v>
      </c>
      <c r="L42" s="1730"/>
    </row>
    <row r="43" spans="1:12" ht="10.5" customHeight="1">
      <c r="A43" s="1731">
        <v>30</v>
      </c>
      <c r="B43" s="1732" t="str">
        <f>'Chấm công công nhân'!L42</f>
        <v>Thảo Văn</v>
      </c>
      <c r="C43" s="1726" t="s">
        <v>1322</v>
      </c>
      <c r="D43" s="4635"/>
      <c r="E43" s="1728" t="s">
        <v>1030</v>
      </c>
      <c r="F43" s="1820"/>
      <c r="G43" s="1820">
        <f t="shared" si="0"/>
        <v>0.16666666666666666</v>
      </c>
      <c r="H43" s="1729">
        <f t="shared" si="1"/>
        <v>0</v>
      </c>
      <c r="I43" s="1733">
        <v>25000</v>
      </c>
      <c r="J43" s="1728"/>
      <c r="K43" s="1733">
        <f t="shared" si="2"/>
        <v>0</v>
      </c>
      <c r="L43" s="1730"/>
    </row>
    <row r="44" spans="1:12" ht="10.5" customHeight="1">
      <c r="A44" s="1731">
        <v>31</v>
      </c>
      <c r="B44" s="1732" t="str">
        <f>'Chấm công công nhân'!L43</f>
        <v>Thảo Thong</v>
      </c>
      <c r="C44" s="1726" t="s">
        <v>1322</v>
      </c>
      <c r="D44" s="4635"/>
      <c r="E44" s="1728" t="s">
        <v>1030</v>
      </c>
      <c r="F44" s="1820"/>
      <c r="G44" s="1820">
        <f t="shared" si="0"/>
        <v>0.16666666666666666</v>
      </c>
      <c r="H44" s="1729">
        <f t="shared" si="1"/>
        <v>0</v>
      </c>
      <c r="I44" s="1733">
        <v>25000</v>
      </c>
      <c r="J44" s="1728"/>
      <c r="K44" s="1733">
        <f t="shared" si="2"/>
        <v>0</v>
      </c>
      <c r="L44" s="1730"/>
    </row>
    <row r="45" spans="1:12" ht="10.5" customHeight="1">
      <c r="A45" s="1731">
        <v>32</v>
      </c>
      <c r="B45" s="1732" t="str">
        <f>'Chấm công công nhân'!L44</f>
        <v xml:space="preserve"> Nàng Ngột</v>
      </c>
      <c r="C45" s="1726" t="s">
        <v>1322</v>
      </c>
      <c r="D45" s="4635"/>
      <c r="E45" s="1728" t="s">
        <v>1030</v>
      </c>
      <c r="F45" s="1820"/>
      <c r="G45" s="1820">
        <f t="shared" si="0"/>
        <v>0.16666666666666666</v>
      </c>
      <c r="H45" s="1729">
        <f t="shared" si="1"/>
        <v>0</v>
      </c>
      <c r="I45" s="1733">
        <v>25000</v>
      </c>
      <c r="J45" s="1728"/>
      <c r="K45" s="1733">
        <f t="shared" si="2"/>
        <v>0</v>
      </c>
      <c r="L45" s="1730"/>
    </row>
    <row r="46" spans="1:12" ht="10.5" customHeight="1">
      <c r="A46" s="1731">
        <v>33</v>
      </c>
      <c r="B46" s="1732" t="str">
        <f>'Chấm công công nhân'!L45</f>
        <v>Nàng Chon</v>
      </c>
      <c r="C46" s="1726" t="s">
        <v>1322</v>
      </c>
      <c r="D46" s="4635"/>
      <c r="E46" s="1728" t="s">
        <v>1030</v>
      </c>
      <c r="F46" s="1820"/>
      <c r="G46" s="1820">
        <f t="shared" si="0"/>
        <v>0.16666666666666666</v>
      </c>
      <c r="H46" s="1729">
        <f t="shared" si="1"/>
        <v>0</v>
      </c>
      <c r="I46" s="1733">
        <v>25000</v>
      </c>
      <c r="J46" s="1728"/>
      <c r="K46" s="1733">
        <f t="shared" si="2"/>
        <v>0</v>
      </c>
      <c r="L46" s="1730"/>
    </row>
    <row r="47" spans="1:12" ht="10.5" customHeight="1">
      <c r="A47" s="1731">
        <v>34</v>
      </c>
      <c r="B47" s="1732" t="str">
        <f>'Chấm công công nhân'!L46</f>
        <v>Bun han</v>
      </c>
      <c r="C47" s="1726" t="s">
        <v>1322</v>
      </c>
      <c r="D47" s="4635"/>
      <c r="E47" s="1728" t="s">
        <v>1030</v>
      </c>
      <c r="F47" s="1820"/>
      <c r="G47" s="1820">
        <f t="shared" si="0"/>
        <v>0.16666666666666666</v>
      </c>
      <c r="H47" s="1729">
        <f t="shared" si="1"/>
        <v>0</v>
      </c>
      <c r="I47" s="1733">
        <v>25000</v>
      </c>
      <c r="J47" s="1728"/>
      <c r="K47" s="1733">
        <f t="shared" si="2"/>
        <v>0</v>
      </c>
      <c r="L47" s="1730"/>
    </row>
    <row r="48" spans="1:12" ht="10.5" customHeight="1">
      <c r="A48" s="1731">
        <v>35</v>
      </c>
      <c r="B48" s="1732" t="str">
        <f>'Chấm công công nhân'!L47</f>
        <v>Hăn</v>
      </c>
      <c r="C48" s="1726" t="s">
        <v>1322</v>
      </c>
      <c r="D48" s="4635"/>
      <c r="E48" s="1728" t="s">
        <v>1030</v>
      </c>
      <c r="F48" s="1820"/>
      <c r="G48" s="1820">
        <f t="shared" si="0"/>
        <v>0.16666666666666666</v>
      </c>
      <c r="H48" s="1729">
        <f t="shared" si="1"/>
        <v>0</v>
      </c>
      <c r="I48" s="1733">
        <v>25000</v>
      </c>
      <c r="J48" s="1728"/>
      <c r="K48" s="1733">
        <f t="shared" si="2"/>
        <v>0</v>
      </c>
      <c r="L48" s="1730"/>
    </row>
    <row r="49" spans="1:12" ht="10.5" customHeight="1">
      <c r="A49" s="1731">
        <v>36</v>
      </c>
      <c r="B49" s="1732" t="str">
        <f>'Chấm công công nhân'!L48</f>
        <v>Thảo Tuỳ</v>
      </c>
      <c r="C49" s="1726" t="s">
        <v>1322</v>
      </c>
      <c r="D49" s="4635"/>
      <c r="E49" s="1728" t="s">
        <v>1030</v>
      </c>
      <c r="F49" s="1820"/>
      <c r="G49" s="1820">
        <f t="shared" si="0"/>
        <v>0.16666666666666666</v>
      </c>
      <c r="H49" s="1729">
        <f t="shared" si="1"/>
        <v>0</v>
      </c>
      <c r="I49" s="1733">
        <v>25000</v>
      </c>
      <c r="J49" s="1728"/>
      <c r="K49" s="1733">
        <f t="shared" si="2"/>
        <v>0</v>
      </c>
      <c r="L49" s="1730"/>
    </row>
    <row r="50" spans="1:12" ht="10.5" customHeight="1">
      <c r="A50" s="1731">
        <v>37</v>
      </c>
      <c r="B50" s="2181" t="s">
        <v>1143</v>
      </c>
      <c r="C50" s="1726"/>
      <c r="D50" s="2707"/>
      <c r="E50" s="1728"/>
      <c r="F50" s="1820"/>
      <c r="G50" s="1820">
        <f t="shared" si="0"/>
        <v>0.16666666666666666</v>
      </c>
      <c r="H50" s="1729">
        <f t="shared" si="1"/>
        <v>0</v>
      </c>
      <c r="I50" s="1733">
        <v>25000</v>
      </c>
      <c r="J50" s="1728"/>
      <c r="K50" s="1733">
        <f t="shared" si="2"/>
        <v>0</v>
      </c>
      <c r="L50" s="1730"/>
    </row>
    <row r="51" spans="1:12">
      <c r="A51" s="4628"/>
      <c r="B51" s="4628"/>
      <c r="C51" s="4628"/>
      <c r="D51" s="4628"/>
      <c r="E51" s="1730"/>
      <c r="F51" s="2482">
        <f>SUM(F14:F49)</f>
        <v>0</v>
      </c>
      <c r="G51" s="2482"/>
      <c r="H51" s="2303">
        <f>SUM(H14:H49)</f>
        <v>0</v>
      </c>
      <c r="I51" s="2482"/>
      <c r="J51" s="2482">
        <f>SUM(J14:J49)</f>
        <v>0</v>
      </c>
      <c r="K51" s="1736">
        <f>SUM(K14:K49)</f>
        <v>0</v>
      </c>
      <c r="L51" s="2482"/>
    </row>
    <row r="52" spans="1:12" ht="15.75">
      <c r="A52" s="1737" t="s">
        <v>1031</v>
      </c>
      <c r="B52" s="1738"/>
    </row>
    <row r="53" spans="1:12" ht="15.75">
      <c r="A53" s="1739" t="s">
        <v>1032</v>
      </c>
      <c r="B53" s="1740"/>
    </row>
    <row r="54" spans="1:12" ht="15.75">
      <c r="A54" s="1739" t="s">
        <v>1033</v>
      </c>
      <c r="B54" s="1740"/>
    </row>
    <row r="55" spans="1:12" ht="15.75">
      <c r="B55" s="3671" t="s">
        <v>162</v>
      </c>
      <c r="C55" s="3671"/>
      <c r="D55" s="1741"/>
      <c r="E55" s="1741"/>
      <c r="F55" s="1742" t="s">
        <v>1034</v>
      </c>
      <c r="I55" s="1742"/>
      <c r="J55" s="1742"/>
    </row>
    <row r="59" spans="1:12">
      <c r="B59" s="4629"/>
      <c r="C59" s="4629"/>
    </row>
  </sheetData>
  <mergeCells count="9">
    <mergeCell ref="A51:D51"/>
    <mergeCell ref="B55:C55"/>
    <mergeCell ref="B59:C59"/>
    <mergeCell ref="A1:L1"/>
    <mergeCell ref="A2:L2"/>
    <mergeCell ref="A3:G3"/>
    <mergeCell ref="A4:G4"/>
    <mergeCell ref="B6:L6"/>
    <mergeCell ref="D14:D49"/>
  </mergeCells>
  <pageMargins left="0.7" right="0.7" top="0.34" bottom="0.75" header="0.3" footer="0.3"/>
  <pageSetup paperSize="9" orientation="portrait" r:id="rId1"/>
  <legacy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8"/>
  <sheetViews>
    <sheetView topLeftCell="A7" workbookViewId="0">
      <selection activeCell="B29" sqref="B29"/>
    </sheetView>
  </sheetViews>
  <sheetFormatPr defaultRowHeight="14.25"/>
  <cols>
    <col min="1" max="1" width="5.125" customWidth="1"/>
    <col min="2" max="2" width="11.75" style="1716" customWidth="1"/>
    <col min="3" max="3" width="13.875" style="1716" customWidth="1"/>
    <col min="4" max="4" width="5.75" customWidth="1"/>
    <col min="5" max="5" width="4.25" customWidth="1"/>
    <col min="6" max="6" width="5.125" style="1712" customWidth="1"/>
    <col min="7" max="7" width="5.625" customWidth="1"/>
    <col min="8" max="8" width="5.875" style="1714" customWidth="1"/>
    <col min="9" max="9" width="7.75" customWidth="1"/>
    <col min="10" max="10" width="9.25" style="1715" customWidth="1"/>
    <col min="11" max="11" width="8.125" customWidth="1"/>
  </cols>
  <sheetData>
    <row r="1" spans="1:11" ht="15.75">
      <c r="A1" s="3751" t="s">
        <v>165</v>
      </c>
      <c r="B1" s="3751"/>
      <c r="C1" s="3751"/>
      <c r="D1" s="3751"/>
      <c r="E1" s="3751"/>
      <c r="F1" s="3751"/>
      <c r="G1" s="3751"/>
      <c r="H1" s="3751"/>
      <c r="I1" s="3751"/>
      <c r="J1" s="3751"/>
      <c r="K1" s="3751"/>
    </row>
    <row r="2" spans="1:11" ht="15.75">
      <c r="A2" s="4130" t="s">
        <v>1015</v>
      </c>
      <c r="B2" s="4130"/>
      <c r="C2" s="4130"/>
      <c r="D2" s="4130"/>
      <c r="E2" s="4130"/>
      <c r="F2" s="4130"/>
      <c r="G2" s="4130"/>
      <c r="H2" s="4130"/>
      <c r="I2" s="4130"/>
      <c r="J2" s="4130"/>
      <c r="K2" s="4130"/>
    </row>
    <row r="3" spans="1:11" ht="15.75">
      <c r="A3" s="3751" t="s">
        <v>1016</v>
      </c>
      <c r="B3" s="3751"/>
      <c r="C3" s="3751"/>
      <c r="D3" s="3751"/>
      <c r="E3" s="3751"/>
      <c r="F3" s="3751"/>
      <c r="G3" s="3751"/>
      <c r="H3" s="1711"/>
      <c r="I3" s="1712"/>
      <c r="J3" s="1713"/>
      <c r="K3" s="1712"/>
    </row>
    <row r="4" spans="1:11" ht="15.75">
      <c r="A4" s="4130" t="s">
        <v>541</v>
      </c>
      <c r="B4" s="4130"/>
      <c r="C4" s="4130"/>
      <c r="D4" s="4130"/>
      <c r="E4" s="4130"/>
      <c r="F4" s="4130"/>
      <c r="G4" s="4130"/>
    </row>
    <row r="5" spans="1:11" ht="21.75">
      <c r="G5" s="1717" t="s">
        <v>1017</v>
      </c>
    </row>
    <row r="6" spans="1:11">
      <c r="A6" s="1718"/>
      <c r="B6" s="4630" t="s">
        <v>1271</v>
      </c>
      <c r="C6" s="4630"/>
      <c r="D6" s="4630"/>
      <c r="E6" s="4630"/>
      <c r="F6" s="4630"/>
      <c r="G6" s="4630"/>
      <c r="H6" s="4630"/>
      <c r="I6" s="4630"/>
      <c r="J6" s="4630"/>
      <c r="K6" s="4630"/>
    </row>
    <row r="7" spans="1:11">
      <c r="A7" s="1718"/>
      <c r="B7" s="1719" t="s">
        <v>1018</v>
      </c>
      <c r="C7" s="1719"/>
      <c r="D7" s="2483"/>
      <c r="E7" s="2483"/>
      <c r="G7" s="1718"/>
      <c r="H7" s="1721"/>
      <c r="I7" s="1718"/>
      <c r="J7" s="1722"/>
      <c r="K7" s="1718"/>
    </row>
    <row r="8" spans="1:11">
      <c r="A8" s="1718"/>
      <c r="B8" s="1719" t="s">
        <v>1273</v>
      </c>
      <c r="C8" s="1719"/>
      <c r="D8" s="2483"/>
      <c r="E8" s="1718"/>
      <c r="G8" s="1718"/>
      <c r="H8" s="1723" t="s">
        <v>1274</v>
      </c>
      <c r="I8" s="2483"/>
      <c r="J8" s="1722"/>
      <c r="K8" s="1718"/>
    </row>
    <row r="9" spans="1:11">
      <c r="A9" s="1718"/>
      <c r="B9" s="1719" t="s">
        <v>1035</v>
      </c>
      <c r="C9" s="1719"/>
      <c r="D9" s="2483"/>
      <c r="E9" s="1718"/>
      <c r="G9" s="1718"/>
      <c r="H9" s="1723" t="s">
        <v>1020</v>
      </c>
      <c r="I9" s="2483"/>
      <c r="J9" s="1722"/>
      <c r="K9" s="1718"/>
    </row>
    <row r="10" spans="1:11">
      <c r="A10" s="1718"/>
      <c r="B10" s="1296" t="s">
        <v>1021</v>
      </c>
      <c r="D10" s="1718"/>
      <c r="E10" s="1718"/>
      <c r="G10" s="1718"/>
      <c r="H10" s="1721"/>
      <c r="I10" s="1718"/>
      <c r="J10" s="1722"/>
      <c r="K10" s="1718"/>
    </row>
    <row r="11" spans="1:11">
      <c r="A11" s="1718" t="s">
        <v>1022</v>
      </c>
      <c r="D11" s="1718"/>
      <c r="E11" s="1718"/>
      <c r="G11" s="1718"/>
      <c r="H11" s="1721"/>
      <c r="I11" s="1718"/>
      <c r="J11" s="1722"/>
      <c r="K11" s="1718"/>
    </row>
    <row r="12" spans="1:11" ht="61.5" customHeight="1">
      <c r="A12" s="1724" t="s">
        <v>1</v>
      </c>
      <c r="B12" s="1724" t="s">
        <v>20</v>
      </c>
      <c r="C12" s="1724" t="s">
        <v>1023</v>
      </c>
      <c r="D12" s="1724" t="s">
        <v>810</v>
      </c>
      <c r="E12" s="1724" t="s">
        <v>7</v>
      </c>
      <c r="F12" s="1724" t="s">
        <v>1024</v>
      </c>
      <c r="G12" s="1724" t="s">
        <v>361</v>
      </c>
      <c r="H12" s="1725" t="s">
        <v>47</v>
      </c>
      <c r="I12" s="1724" t="s">
        <v>1025</v>
      </c>
      <c r="J12" s="1726" t="s">
        <v>1027</v>
      </c>
      <c r="K12" s="1727" t="s">
        <v>9</v>
      </c>
    </row>
    <row r="13" spans="1:11" ht="15.75" customHeight="1">
      <c r="A13" s="1728">
        <v>1</v>
      </c>
      <c r="B13" s="1726"/>
      <c r="C13" s="1726">
        <v>2</v>
      </c>
      <c r="D13" s="1728">
        <v>3</v>
      </c>
      <c r="E13" s="1728">
        <v>4</v>
      </c>
      <c r="F13" s="1728">
        <v>5</v>
      </c>
      <c r="G13" s="1728">
        <v>6</v>
      </c>
      <c r="H13" s="1729" t="s">
        <v>1028</v>
      </c>
      <c r="I13" s="1728">
        <v>8</v>
      </c>
      <c r="J13" s="1728" t="s">
        <v>1029</v>
      </c>
      <c r="K13" s="1730"/>
    </row>
    <row r="14" spans="1:11" ht="12" customHeight="1">
      <c r="A14" s="1731">
        <v>1</v>
      </c>
      <c r="B14" s="1744" t="str">
        <f>'Chấm công công nhân'!L50</f>
        <v>Thảo tít</v>
      </c>
      <c r="C14" s="2489" t="s">
        <v>1272</v>
      </c>
      <c r="D14" s="4631" t="s">
        <v>1046</v>
      </c>
      <c r="E14" s="2490" t="s">
        <v>1030</v>
      </c>
      <c r="F14" s="2490"/>
      <c r="G14" s="2535">
        <f t="shared" ref="G14:G29" si="0">25000/150000</f>
        <v>0.16666666666666666</v>
      </c>
      <c r="H14" s="2493">
        <f>F14/G14</f>
        <v>0</v>
      </c>
      <c r="I14" s="2494">
        <v>25000</v>
      </c>
      <c r="J14" s="1733">
        <f t="shared" ref="J14:J29" si="1">I14*H14</f>
        <v>0</v>
      </c>
      <c r="K14" s="1730"/>
    </row>
    <row r="15" spans="1:11" ht="12" customHeight="1">
      <c r="A15" s="1731">
        <v>2</v>
      </c>
      <c r="B15" s="1744" t="str">
        <f>'Chấm công công nhân'!L51</f>
        <v>Thảo ớt</v>
      </c>
      <c r="C15" s="2489" t="s">
        <v>1272</v>
      </c>
      <c r="D15" s="4632"/>
      <c r="E15" s="2490" t="s">
        <v>1030</v>
      </c>
      <c r="F15" s="2490"/>
      <c r="G15" s="2535">
        <f t="shared" si="0"/>
        <v>0.16666666666666666</v>
      </c>
      <c r="H15" s="2493">
        <f t="shared" ref="H15:H29" si="2">F15/G15</f>
        <v>0</v>
      </c>
      <c r="I15" s="2494">
        <v>25000</v>
      </c>
      <c r="J15" s="1733">
        <f t="shared" si="1"/>
        <v>0</v>
      </c>
      <c r="K15" s="1730"/>
    </row>
    <row r="16" spans="1:11" ht="12" customHeight="1">
      <c r="A16" s="1731">
        <v>3</v>
      </c>
      <c r="B16" s="1744" t="str">
        <f>'Chấm công công nhân'!L52</f>
        <v>Nàng Ọt</v>
      </c>
      <c r="C16" s="2489" t="s">
        <v>1272</v>
      </c>
      <c r="D16" s="4632"/>
      <c r="E16" s="2490" t="s">
        <v>1030</v>
      </c>
      <c r="F16" s="2490"/>
      <c r="G16" s="2535">
        <f t="shared" si="0"/>
        <v>0.16666666666666666</v>
      </c>
      <c r="H16" s="2493">
        <f t="shared" si="2"/>
        <v>0</v>
      </c>
      <c r="I16" s="2494">
        <v>25000</v>
      </c>
      <c r="J16" s="1733">
        <f t="shared" si="1"/>
        <v>0</v>
      </c>
      <c r="K16" s="1730"/>
    </row>
    <row r="17" spans="1:11" ht="12" customHeight="1">
      <c r="A17" s="1731">
        <v>4</v>
      </c>
      <c r="B17" s="1744" t="str">
        <f>'Chấm công công nhân'!L53</f>
        <v>Thào Tòng</v>
      </c>
      <c r="C17" s="2489" t="s">
        <v>1272</v>
      </c>
      <c r="D17" s="4632"/>
      <c r="E17" s="2490" t="s">
        <v>1030</v>
      </c>
      <c r="F17" s="2490"/>
      <c r="G17" s="2535">
        <f t="shared" si="0"/>
        <v>0.16666666666666666</v>
      </c>
      <c r="H17" s="2493">
        <f t="shared" si="2"/>
        <v>0</v>
      </c>
      <c r="I17" s="2494">
        <v>25000</v>
      </c>
      <c r="J17" s="1733">
        <f t="shared" si="1"/>
        <v>0</v>
      </c>
      <c r="K17" s="1730"/>
    </row>
    <row r="18" spans="1:11" ht="12" customHeight="1">
      <c r="A18" s="1731">
        <v>5</v>
      </c>
      <c r="B18" s="1744" t="str">
        <f>'Chấm công công nhân'!L54</f>
        <v>Nàng Nơm</v>
      </c>
      <c r="C18" s="2489" t="s">
        <v>1272</v>
      </c>
      <c r="D18" s="4632"/>
      <c r="E18" s="2490" t="s">
        <v>1030</v>
      </c>
      <c r="F18" s="2490"/>
      <c r="G18" s="2535">
        <f t="shared" si="0"/>
        <v>0.16666666666666666</v>
      </c>
      <c r="H18" s="2493">
        <f t="shared" si="2"/>
        <v>0</v>
      </c>
      <c r="I18" s="2494">
        <v>25000</v>
      </c>
      <c r="J18" s="1733">
        <f t="shared" si="1"/>
        <v>0</v>
      </c>
      <c r="K18" s="1730"/>
    </row>
    <row r="19" spans="1:11" ht="12" customHeight="1">
      <c r="A19" s="1731">
        <v>6</v>
      </c>
      <c r="B19" s="1744" t="str">
        <f>'Chấm công công nhân'!L55</f>
        <v>Thảo Ây</v>
      </c>
      <c r="C19" s="2489" t="s">
        <v>1272</v>
      </c>
      <c r="D19" s="4632"/>
      <c r="E19" s="2490" t="s">
        <v>1030</v>
      </c>
      <c r="F19" s="2490"/>
      <c r="G19" s="2535">
        <f t="shared" si="0"/>
        <v>0.16666666666666666</v>
      </c>
      <c r="H19" s="2493">
        <f t="shared" si="2"/>
        <v>0</v>
      </c>
      <c r="I19" s="2494">
        <v>25000</v>
      </c>
      <c r="J19" s="1733">
        <f t="shared" si="1"/>
        <v>0</v>
      </c>
      <c r="K19" s="1730"/>
    </row>
    <row r="20" spans="1:11" ht="12" customHeight="1">
      <c r="A20" s="1731">
        <v>7</v>
      </c>
      <c r="B20" s="1743" t="str">
        <f>'Chấm công công nhân'!L56</f>
        <v>Thảo Âm Thong</v>
      </c>
      <c r="C20" s="2489" t="s">
        <v>1272</v>
      </c>
      <c r="D20" s="4632"/>
      <c r="E20" s="2490" t="s">
        <v>1030</v>
      </c>
      <c r="F20" s="2490"/>
      <c r="G20" s="2535">
        <f t="shared" si="0"/>
        <v>0.16666666666666666</v>
      </c>
      <c r="H20" s="2493">
        <f t="shared" si="2"/>
        <v>0</v>
      </c>
      <c r="I20" s="2494">
        <v>25000</v>
      </c>
      <c r="J20" s="1733">
        <f t="shared" si="1"/>
        <v>0</v>
      </c>
      <c r="K20" s="1730"/>
    </row>
    <row r="21" spans="1:11" ht="12" customHeight="1">
      <c r="A21" s="1731">
        <v>8</v>
      </c>
      <c r="B21" s="1744" t="str">
        <f>'Chấm công công nhân'!L57</f>
        <v>Nàng phon</v>
      </c>
      <c r="C21" s="2489" t="s">
        <v>1272</v>
      </c>
      <c r="D21" s="4632"/>
      <c r="E21" s="2490" t="s">
        <v>1030</v>
      </c>
      <c r="F21" s="2490"/>
      <c r="G21" s="2535">
        <f t="shared" si="0"/>
        <v>0.16666666666666666</v>
      </c>
      <c r="H21" s="2493">
        <f t="shared" si="2"/>
        <v>0</v>
      </c>
      <c r="I21" s="2494">
        <v>25000</v>
      </c>
      <c r="J21" s="1733">
        <f t="shared" si="1"/>
        <v>0</v>
      </c>
      <c r="K21" s="1730"/>
    </row>
    <row r="22" spans="1:11" ht="12" customHeight="1">
      <c r="A22" s="1731">
        <v>9</v>
      </c>
      <c r="B22" s="1744" t="str">
        <f>'Chấm công công nhân'!L58</f>
        <v>Thảo phắt</v>
      </c>
      <c r="C22" s="2489" t="s">
        <v>1272</v>
      </c>
      <c r="D22" s="4632"/>
      <c r="E22" s="2490" t="s">
        <v>1030</v>
      </c>
      <c r="F22" s="2490"/>
      <c r="G22" s="2535">
        <f t="shared" si="0"/>
        <v>0.16666666666666666</v>
      </c>
      <c r="H22" s="2493">
        <f t="shared" si="2"/>
        <v>0</v>
      </c>
      <c r="I22" s="2494">
        <v>25000</v>
      </c>
      <c r="J22" s="1733">
        <f t="shared" si="1"/>
        <v>0</v>
      </c>
      <c r="K22" s="1730"/>
    </row>
    <row r="23" spans="1:11" ht="12" customHeight="1">
      <c r="A23" s="1731">
        <v>10</v>
      </c>
      <c r="B23" s="1744" t="str">
        <f>'Chấm công công nhân'!L59</f>
        <v>Thảo Phon Say</v>
      </c>
      <c r="C23" s="2489" t="s">
        <v>1272</v>
      </c>
      <c r="D23" s="4632"/>
      <c r="E23" s="2490" t="s">
        <v>1030</v>
      </c>
      <c r="F23" s="2490"/>
      <c r="G23" s="2535">
        <f t="shared" si="0"/>
        <v>0.16666666666666666</v>
      </c>
      <c r="H23" s="2493">
        <f t="shared" si="2"/>
        <v>0</v>
      </c>
      <c r="I23" s="2494">
        <v>25000</v>
      </c>
      <c r="J23" s="1733">
        <f t="shared" si="1"/>
        <v>0</v>
      </c>
      <c r="K23" s="1730"/>
    </row>
    <row r="24" spans="1:11" ht="12" customHeight="1">
      <c r="A24" s="1731">
        <v>11</v>
      </c>
      <c r="B24" s="1744" t="str">
        <f>'Chấm công công nhân'!L60</f>
        <v>Nàng Pít</v>
      </c>
      <c r="C24" s="2489" t="s">
        <v>1272</v>
      </c>
      <c r="D24" s="4632"/>
      <c r="E24" s="2490" t="s">
        <v>1030</v>
      </c>
      <c r="F24" s="2490"/>
      <c r="G24" s="2535">
        <f t="shared" si="0"/>
        <v>0.16666666666666666</v>
      </c>
      <c r="H24" s="2493">
        <f t="shared" si="2"/>
        <v>0</v>
      </c>
      <c r="I24" s="2494">
        <v>25000</v>
      </c>
      <c r="J24" s="1733">
        <f t="shared" si="1"/>
        <v>0</v>
      </c>
      <c r="K24" s="1730"/>
    </row>
    <row r="25" spans="1:11" ht="12" customHeight="1">
      <c r="A25" s="1731">
        <v>12</v>
      </c>
      <c r="B25" s="1744" t="str">
        <f>'Chấm công công nhân'!L61</f>
        <v>Thảo út</v>
      </c>
      <c r="C25" s="2489" t="s">
        <v>1272</v>
      </c>
      <c r="D25" s="4632"/>
      <c r="E25" s="2490" t="s">
        <v>1030</v>
      </c>
      <c r="F25" s="2490"/>
      <c r="G25" s="2535">
        <f t="shared" si="0"/>
        <v>0.16666666666666666</v>
      </c>
      <c r="H25" s="2493">
        <f t="shared" si="2"/>
        <v>0</v>
      </c>
      <c r="I25" s="2494">
        <v>25000</v>
      </c>
      <c r="J25" s="1733">
        <f t="shared" si="1"/>
        <v>0</v>
      </c>
      <c r="K25" s="1730"/>
    </row>
    <row r="26" spans="1:11" ht="12" customHeight="1">
      <c r="A26" s="1731">
        <v>13</v>
      </c>
      <c r="B26" s="1744" t="str">
        <f>'Chấm công công nhân'!L62</f>
        <v>Nàng ăm</v>
      </c>
      <c r="C26" s="2489" t="s">
        <v>1272</v>
      </c>
      <c r="D26" s="4632"/>
      <c r="E26" s="2490" t="s">
        <v>1030</v>
      </c>
      <c r="F26" s="2490"/>
      <c r="G26" s="2535">
        <f t="shared" si="0"/>
        <v>0.16666666666666666</v>
      </c>
      <c r="H26" s="2493">
        <f t="shared" si="2"/>
        <v>0</v>
      </c>
      <c r="I26" s="2494">
        <v>25000</v>
      </c>
      <c r="J26" s="1733">
        <f t="shared" si="1"/>
        <v>0</v>
      </c>
      <c r="K26" s="1730"/>
    </row>
    <row r="27" spans="1:11" ht="12" customHeight="1">
      <c r="A27" s="1731">
        <v>14</v>
      </c>
      <c r="B27" s="1744" t="str">
        <f>'Chấm công công nhân'!L63</f>
        <v>Nàng Phìn</v>
      </c>
      <c r="C27" s="2489" t="s">
        <v>1272</v>
      </c>
      <c r="D27" s="4632"/>
      <c r="E27" s="2490" t="s">
        <v>1030</v>
      </c>
      <c r="F27" s="2490"/>
      <c r="G27" s="2535">
        <f t="shared" si="0"/>
        <v>0.16666666666666666</v>
      </c>
      <c r="H27" s="2493">
        <f t="shared" si="2"/>
        <v>0</v>
      </c>
      <c r="I27" s="2494">
        <v>25000</v>
      </c>
      <c r="J27" s="1733">
        <f t="shared" si="1"/>
        <v>0</v>
      </c>
      <c r="K27" s="1730"/>
    </row>
    <row r="28" spans="1:11" ht="12" customHeight="1">
      <c r="A28" s="1731">
        <v>15</v>
      </c>
      <c r="B28" s="1744" t="str">
        <f>'Chấm công công nhân'!L64</f>
        <v>May</v>
      </c>
      <c r="C28" s="2489" t="s">
        <v>1272</v>
      </c>
      <c r="D28" s="4632"/>
      <c r="E28" s="2490" t="s">
        <v>1030</v>
      </c>
      <c r="F28" s="2490"/>
      <c r="G28" s="2533">
        <f t="shared" si="0"/>
        <v>0.16666666666666666</v>
      </c>
      <c r="H28" s="2536">
        <f t="shared" si="2"/>
        <v>0</v>
      </c>
      <c r="I28" s="2537">
        <v>25000</v>
      </c>
      <c r="J28" s="2534">
        <f t="shared" si="1"/>
        <v>0</v>
      </c>
      <c r="K28" s="1730"/>
    </row>
    <row r="29" spans="1:11" ht="12" customHeight="1">
      <c r="A29" s="1731">
        <v>16</v>
      </c>
      <c r="B29" s="2181" t="s">
        <v>1143</v>
      </c>
      <c r="C29" s="2489"/>
      <c r="D29" s="2706"/>
      <c r="E29" s="2490" t="s">
        <v>1030</v>
      </c>
      <c r="F29" s="2490"/>
      <c r="G29" s="2533">
        <f t="shared" si="0"/>
        <v>0.16666666666666666</v>
      </c>
      <c r="H29" s="2536">
        <f t="shared" si="2"/>
        <v>0</v>
      </c>
      <c r="I29" s="2537">
        <v>25000</v>
      </c>
      <c r="J29" s="2534">
        <f t="shared" si="1"/>
        <v>0</v>
      </c>
      <c r="K29" s="1730"/>
    </row>
    <row r="30" spans="1:11">
      <c r="A30" s="4628"/>
      <c r="B30" s="4628"/>
      <c r="C30" s="4628"/>
      <c r="D30" s="4628"/>
      <c r="E30" s="1730"/>
      <c r="F30" s="2482">
        <f>SUM(F14:F28)</f>
        <v>0</v>
      </c>
      <c r="G30" s="2482"/>
      <c r="H30" s="2303">
        <f>SUM(H14:H28)</f>
        <v>0</v>
      </c>
      <c r="I30" s="2482"/>
      <c r="J30" s="1736">
        <f>SUM(J14:J28)</f>
        <v>0</v>
      </c>
      <c r="K30" s="2482"/>
    </row>
    <row r="31" spans="1:11" ht="15.75">
      <c r="A31" s="1737" t="s">
        <v>1031</v>
      </c>
      <c r="B31" s="1738"/>
      <c r="H31" s="2299"/>
    </row>
    <row r="32" spans="1:11" ht="15.75">
      <c r="A32" s="1739" t="s">
        <v>1032</v>
      </c>
      <c r="B32" s="1740"/>
    </row>
    <row r="33" spans="1:9" ht="15.75">
      <c r="A33" s="1739" t="s">
        <v>1033</v>
      </c>
      <c r="B33" s="1740"/>
    </row>
    <row r="34" spans="1:9" ht="15.75">
      <c r="B34" s="3671" t="s">
        <v>162</v>
      </c>
      <c r="C34" s="3671"/>
      <c r="D34" s="1741"/>
      <c r="E34" s="1741"/>
      <c r="F34" s="1742" t="s">
        <v>1034</v>
      </c>
      <c r="I34" s="1742"/>
    </row>
    <row r="38" spans="1:9">
      <c r="B38" s="4629"/>
      <c r="C38" s="4629"/>
    </row>
  </sheetData>
  <mergeCells count="9">
    <mergeCell ref="A30:D30"/>
    <mergeCell ref="B34:C34"/>
    <mergeCell ref="B38:C38"/>
    <mergeCell ref="A1:K1"/>
    <mergeCell ref="A2:K2"/>
    <mergeCell ref="A3:G3"/>
    <mergeCell ref="A4:G4"/>
    <mergeCell ref="B6:K6"/>
    <mergeCell ref="D14:D28"/>
  </mergeCells>
  <pageMargins left="0.7" right="0.7" top="0.75" bottom="0.75" header="0.3" footer="0.3"/>
  <pageSetup paperSize="9" orientation="portrait" r:id="rId1"/>
  <legacy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9"/>
  <sheetViews>
    <sheetView topLeftCell="A7" workbookViewId="0">
      <selection activeCell="F22" sqref="F22"/>
    </sheetView>
  </sheetViews>
  <sheetFormatPr defaultRowHeight="14.25"/>
  <cols>
    <col min="1" max="1" width="5.125" customWidth="1"/>
    <col min="2" max="2" width="11.75" style="1716" customWidth="1"/>
    <col min="3" max="3" width="13.875" style="1716" customWidth="1"/>
    <col min="4" max="4" width="5.75" customWidth="1"/>
    <col min="5" max="5" width="4.25" customWidth="1"/>
    <col min="6" max="6" width="5.125" style="1712" customWidth="1"/>
    <col min="7" max="7" width="5.625" customWidth="1"/>
    <col min="8" max="8" width="5.875" style="1714" customWidth="1"/>
    <col min="9" max="9" width="7.75" customWidth="1"/>
    <col min="10" max="10" width="9.25" style="1715" customWidth="1"/>
    <col min="11" max="11" width="8.125" customWidth="1"/>
  </cols>
  <sheetData>
    <row r="1" spans="1:11" ht="15.75">
      <c r="A1" s="3751" t="s">
        <v>165</v>
      </c>
      <c r="B1" s="3751"/>
      <c r="C1" s="3751"/>
      <c r="D1" s="3751"/>
      <c r="E1" s="3751"/>
      <c r="F1" s="3751"/>
      <c r="G1" s="3751"/>
      <c r="H1" s="3751"/>
      <c r="I1" s="3751"/>
      <c r="J1" s="3751"/>
      <c r="K1" s="3751"/>
    </row>
    <row r="2" spans="1:11" ht="15.75">
      <c r="A2" s="4130" t="s">
        <v>1015</v>
      </c>
      <c r="B2" s="4130"/>
      <c r="C2" s="4130"/>
      <c r="D2" s="4130"/>
      <c r="E2" s="4130"/>
      <c r="F2" s="4130"/>
      <c r="G2" s="4130"/>
      <c r="H2" s="4130"/>
      <c r="I2" s="4130"/>
      <c r="J2" s="4130"/>
      <c r="K2" s="4130"/>
    </row>
    <row r="3" spans="1:11" ht="15.75">
      <c r="A3" s="4417" t="s">
        <v>1016</v>
      </c>
      <c r="B3" s="4417"/>
      <c r="C3" s="4417"/>
      <c r="D3" s="4417"/>
      <c r="E3" s="4417"/>
      <c r="F3" s="4417"/>
      <c r="G3" s="4417"/>
      <c r="H3" s="1711"/>
      <c r="I3" s="1712"/>
      <c r="J3" s="1713"/>
      <c r="K3" s="1712"/>
    </row>
    <row r="4" spans="1:11" ht="15.75">
      <c r="A4" s="4130" t="s">
        <v>541</v>
      </c>
      <c r="B4" s="4130"/>
      <c r="C4" s="4130"/>
      <c r="D4" s="4130"/>
      <c r="E4" s="4130"/>
      <c r="F4" s="4130"/>
      <c r="G4" s="4130"/>
    </row>
    <row r="5" spans="1:11" ht="21.75">
      <c r="A5" s="4637" t="s">
        <v>1017</v>
      </c>
      <c r="B5" s="4637"/>
      <c r="C5" s="4637"/>
      <c r="D5" s="4637"/>
      <c r="E5" s="4637"/>
      <c r="F5" s="4637"/>
      <c r="G5" s="4637"/>
      <c r="H5" s="4637"/>
      <c r="I5" s="4637"/>
      <c r="J5" s="4637"/>
    </row>
    <row r="6" spans="1:11">
      <c r="A6" s="1718"/>
      <c r="B6" s="4630" t="s">
        <v>1323</v>
      </c>
      <c r="C6" s="4630"/>
      <c r="D6" s="4630"/>
      <c r="E6" s="4630"/>
      <c r="F6" s="4630"/>
      <c r="G6" s="4630"/>
      <c r="H6" s="4630"/>
      <c r="I6" s="4630"/>
      <c r="J6" s="4630"/>
      <c r="K6" s="4630"/>
    </row>
    <row r="7" spans="1:11">
      <c r="A7" s="1718"/>
      <c r="B7" s="1719" t="s">
        <v>1018</v>
      </c>
      <c r="C7" s="1719"/>
      <c r="D7" s="2749"/>
      <c r="E7" s="2749"/>
      <c r="G7" s="1718"/>
      <c r="H7" s="1721"/>
      <c r="I7" s="1718"/>
      <c r="J7" s="1722"/>
      <c r="K7" s="1718"/>
    </row>
    <row r="8" spans="1:11">
      <c r="A8" s="1718"/>
      <c r="B8" s="1719" t="s">
        <v>1275</v>
      </c>
      <c r="C8" s="1719"/>
      <c r="D8" s="2749"/>
      <c r="E8" s="1718"/>
      <c r="G8" s="1718"/>
      <c r="H8" s="1723" t="s">
        <v>1331</v>
      </c>
      <c r="I8" s="2749"/>
      <c r="J8" s="1722"/>
      <c r="K8" s="1718"/>
    </row>
    <row r="9" spans="1:11">
      <c r="A9" s="1718"/>
      <c r="B9" s="1719" t="s">
        <v>1035</v>
      </c>
      <c r="C9" s="1719"/>
      <c r="D9" s="2749"/>
      <c r="E9" s="1718"/>
      <c r="G9" s="1718"/>
      <c r="H9" s="1723" t="s">
        <v>1020</v>
      </c>
      <c r="I9" s="2749"/>
      <c r="J9" s="1722"/>
      <c r="K9" s="1718"/>
    </row>
    <row r="10" spans="1:11">
      <c r="A10" s="1718"/>
      <c r="B10" s="1296" t="s">
        <v>1021</v>
      </c>
      <c r="D10" s="1718"/>
      <c r="E10" s="1718"/>
      <c r="G10" s="1718"/>
      <c r="H10" s="1721"/>
      <c r="I10" s="1718"/>
      <c r="J10" s="1722"/>
      <c r="K10" s="1718"/>
    </row>
    <row r="11" spans="1:11">
      <c r="A11" s="1718" t="s">
        <v>1022</v>
      </c>
      <c r="D11" s="1718"/>
      <c r="E11" s="1718"/>
      <c r="G11" s="1718"/>
      <c r="H11" s="1721"/>
      <c r="I11" s="1718"/>
      <c r="J11" s="1722"/>
      <c r="K11" s="1718"/>
    </row>
    <row r="12" spans="1:11" ht="61.5" customHeight="1">
      <c r="A12" s="1724" t="s">
        <v>1</v>
      </c>
      <c r="B12" s="1724" t="s">
        <v>20</v>
      </c>
      <c r="C12" s="1724" t="s">
        <v>1023</v>
      </c>
      <c r="D12" s="1724" t="s">
        <v>810</v>
      </c>
      <c r="E12" s="1724" t="s">
        <v>7</v>
      </c>
      <c r="F12" s="1724" t="s">
        <v>1024</v>
      </c>
      <c r="G12" s="1724" t="s">
        <v>361</v>
      </c>
      <c r="H12" s="1725" t="s">
        <v>47</v>
      </c>
      <c r="I12" s="1724" t="s">
        <v>1025</v>
      </c>
      <c r="J12" s="1726" t="s">
        <v>1027</v>
      </c>
      <c r="K12" s="1727" t="s">
        <v>9</v>
      </c>
    </row>
    <row r="13" spans="1:11" ht="15.75" customHeight="1">
      <c r="A13" s="1728">
        <v>1</v>
      </c>
      <c r="B13" s="1726"/>
      <c r="C13" s="1726">
        <v>2</v>
      </c>
      <c r="D13" s="1728">
        <v>3</v>
      </c>
      <c r="E13" s="1728">
        <v>4</v>
      </c>
      <c r="F13" s="1728">
        <v>5</v>
      </c>
      <c r="G13" s="1728">
        <v>6</v>
      </c>
      <c r="H13" s="1729" t="s">
        <v>1028</v>
      </c>
      <c r="I13" s="1728">
        <v>8</v>
      </c>
      <c r="J13" s="1728" t="s">
        <v>1029</v>
      </c>
      <c r="K13" s="1730"/>
    </row>
    <row r="14" spans="1:11" ht="12" customHeight="1">
      <c r="A14" s="1731">
        <v>1</v>
      </c>
      <c r="B14" s="1744" t="str">
        <f>'Chấm công công nhân'!L66</f>
        <v>Phò Đăm</v>
      </c>
      <c r="C14" s="2489" t="s">
        <v>1322</v>
      </c>
      <c r="D14" s="4631" t="s">
        <v>1046</v>
      </c>
      <c r="E14" s="2490" t="s">
        <v>1030</v>
      </c>
      <c r="F14" s="2490"/>
      <c r="G14" s="2535">
        <f t="shared" ref="G14:G30" si="0">25000/150000</f>
        <v>0.16666666666666666</v>
      </c>
      <c r="H14" s="2493">
        <f>F14/G14</f>
        <v>0</v>
      </c>
      <c r="I14" s="2494">
        <v>25000</v>
      </c>
      <c r="J14" s="1733">
        <f t="shared" ref="J14:J29" si="1">I14*H14</f>
        <v>0</v>
      </c>
      <c r="K14" s="1730"/>
    </row>
    <row r="15" spans="1:11" ht="12" customHeight="1">
      <c r="A15" s="1731">
        <v>2</v>
      </c>
      <c r="B15" s="1744" t="str">
        <f>'Chấm công công nhân'!L67</f>
        <v>Thảo Mai</v>
      </c>
      <c r="C15" s="2489" t="s">
        <v>1322</v>
      </c>
      <c r="D15" s="4632"/>
      <c r="E15" s="2490" t="s">
        <v>1030</v>
      </c>
      <c r="F15" s="2490"/>
      <c r="G15" s="2535">
        <f t="shared" si="0"/>
        <v>0.16666666666666666</v>
      </c>
      <c r="H15" s="2493">
        <f t="shared" ref="H15:H30" si="2">F15/G15</f>
        <v>0</v>
      </c>
      <c r="I15" s="2494">
        <v>25000</v>
      </c>
      <c r="J15" s="1733">
        <f t="shared" si="1"/>
        <v>0</v>
      </c>
      <c r="K15" s="1730"/>
    </row>
    <row r="16" spans="1:11" ht="12" customHeight="1">
      <c r="A16" s="1731">
        <v>3</v>
      </c>
      <c r="B16" s="1744" t="str">
        <f>'Chấm công công nhân'!L68</f>
        <v>Thảo Tưng</v>
      </c>
      <c r="C16" s="2489" t="s">
        <v>1322</v>
      </c>
      <c r="D16" s="4632"/>
      <c r="E16" s="2490" t="s">
        <v>1030</v>
      </c>
      <c r="F16" s="2490"/>
      <c r="G16" s="2535">
        <f t="shared" si="0"/>
        <v>0.16666666666666666</v>
      </c>
      <c r="H16" s="2493">
        <f t="shared" si="2"/>
        <v>0</v>
      </c>
      <c r="I16" s="2494">
        <v>25000</v>
      </c>
      <c r="J16" s="1733">
        <f t="shared" si="1"/>
        <v>0</v>
      </c>
      <c r="K16" s="1730"/>
    </row>
    <row r="17" spans="1:11" ht="12" customHeight="1">
      <c r="A17" s="1731">
        <v>4</v>
      </c>
      <c r="B17" s="1744" t="str">
        <f>'Chấm công công nhân'!L69</f>
        <v>Thảo Xay</v>
      </c>
      <c r="C17" s="2489" t="s">
        <v>1322</v>
      </c>
      <c r="D17" s="4632"/>
      <c r="E17" s="2490" t="s">
        <v>1030</v>
      </c>
      <c r="F17" s="2490"/>
      <c r="G17" s="2535">
        <f t="shared" si="0"/>
        <v>0.16666666666666666</v>
      </c>
      <c r="H17" s="2493">
        <f t="shared" si="2"/>
        <v>0</v>
      </c>
      <c r="I17" s="2494">
        <v>25000</v>
      </c>
      <c r="J17" s="1733">
        <f t="shared" si="1"/>
        <v>0</v>
      </c>
      <c r="K17" s="1730"/>
    </row>
    <row r="18" spans="1:11" ht="12" customHeight="1">
      <c r="A18" s="1731">
        <v>5</v>
      </c>
      <c r="B18" s="1744" t="str">
        <f>'Chấm công công nhân'!L70</f>
        <v>Nàng Nọi</v>
      </c>
      <c r="C18" s="2489" t="s">
        <v>1322</v>
      </c>
      <c r="D18" s="4632"/>
      <c r="E18" s="2490" t="s">
        <v>1030</v>
      </c>
      <c r="F18" s="2490"/>
      <c r="G18" s="2535">
        <f t="shared" si="0"/>
        <v>0.16666666666666666</v>
      </c>
      <c r="H18" s="2493">
        <f t="shared" si="2"/>
        <v>0</v>
      </c>
      <c r="I18" s="2494">
        <v>25000</v>
      </c>
      <c r="J18" s="1733">
        <f t="shared" si="1"/>
        <v>0</v>
      </c>
      <c r="K18" s="1730"/>
    </row>
    <row r="19" spans="1:11" ht="12" customHeight="1">
      <c r="A19" s="1731">
        <v>6</v>
      </c>
      <c r="B19" s="1744" t="str">
        <f>'Chấm công công nhân'!L71</f>
        <v>Thảo Đăm</v>
      </c>
      <c r="C19" s="2489" t="s">
        <v>1322</v>
      </c>
      <c r="D19" s="4632"/>
      <c r="E19" s="2490" t="s">
        <v>1030</v>
      </c>
      <c r="F19" s="2490"/>
      <c r="G19" s="2535">
        <f t="shared" si="0"/>
        <v>0.16666666666666666</v>
      </c>
      <c r="H19" s="2493">
        <f t="shared" si="2"/>
        <v>0</v>
      </c>
      <c r="I19" s="2494">
        <v>25000</v>
      </c>
      <c r="J19" s="1733">
        <f t="shared" si="1"/>
        <v>0</v>
      </c>
      <c r="K19" s="1730"/>
    </row>
    <row r="20" spans="1:11" ht="12" customHeight="1">
      <c r="A20" s="1731">
        <v>7</v>
      </c>
      <c r="B20" s="1743" t="str">
        <f>'Chấm công công nhân'!L72</f>
        <v>Thảo chăn</v>
      </c>
      <c r="C20" s="2489" t="s">
        <v>1322</v>
      </c>
      <c r="D20" s="4632"/>
      <c r="E20" s="2490" t="s">
        <v>1030</v>
      </c>
      <c r="F20" s="2490"/>
      <c r="G20" s="2535">
        <f t="shared" si="0"/>
        <v>0.16666666666666666</v>
      </c>
      <c r="H20" s="2493">
        <f t="shared" si="2"/>
        <v>0</v>
      </c>
      <c r="I20" s="2494">
        <v>25000</v>
      </c>
      <c r="J20" s="1733">
        <f t="shared" si="1"/>
        <v>0</v>
      </c>
      <c r="K20" s="1730"/>
    </row>
    <row r="21" spans="1:11" ht="12" customHeight="1">
      <c r="A21" s="1731">
        <v>8</v>
      </c>
      <c r="B21" s="1744" t="str">
        <f>'Chấm công công nhân'!L73</f>
        <v>Hồ Văn Tăng</v>
      </c>
      <c r="C21" s="2489" t="s">
        <v>1322</v>
      </c>
      <c r="D21" s="4632"/>
      <c r="E21" s="2490" t="s">
        <v>1030</v>
      </c>
      <c r="F21" s="2490"/>
      <c r="G21" s="2535">
        <f t="shared" si="0"/>
        <v>0.16666666666666666</v>
      </c>
      <c r="H21" s="2493">
        <f t="shared" si="2"/>
        <v>0</v>
      </c>
      <c r="I21" s="2494">
        <v>25000</v>
      </c>
      <c r="J21" s="1733">
        <f t="shared" si="1"/>
        <v>0</v>
      </c>
      <c r="K21" s="1730"/>
    </row>
    <row r="22" spans="1:11" ht="12" customHeight="1">
      <c r="A22" s="1731">
        <v>9</v>
      </c>
      <c r="B22" s="1744" t="str">
        <f>'Chấm công công nhân'!L74</f>
        <v>Hồ Văn Khoa</v>
      </c>
      <c r="C22" s="2489" t="s">
        <v>1322</v>
      </c>
      <c r="D22" s="4632"/>
      <c r="E22" s="2490" t="s">
        <v>1030</v>
      </c>
      <c r="F22" s="2490"/>
      <c r="G22" s="2535">
        <f t="shared" si="0"/>
        <v>0.16666666666666666</v>
      </c>
      <c r="H22" s="2493">
        <f t="shared" si="2"/>
        <v>0</v>
      </c>
      <c r="I22" s="2494">
        <v>25000</v>
      </c>
      <c r="J22" s="1733">
        <f t="shared" si="1"/>
        <v>0</v>
      </c>
      <c r="K22" s="1730"/>
    </row>
    <row r="23" spans="1:11" ht="12" customHeight="1">
      <c r="A23" s="1731">
        <v>10</v>
      </c>
      <c r="B23" s="1744" t="str">
        <f>'Chấm công công nhân'!L75</f>
        <v>Hồ Xa My</v>
      </c>
      <c r="C23" s="2489" t="s">
        <v>1322</v>
      </c>
      <c r="D23" s="4632"/>
      <c r="E23" s="2490" t="s">
        <v>1030</v>
      </c>
      <c r="F23" s="2490"/>
      <c r="G23" s="2535">
        <f t="shared" si="0"/>
        <v>0.16666666666666666</v>
      </c>
      <c r="H23" s="2493">
        <f t="shared" si="2"/>
        <v>0</v>
      </c>
      <c r="I23" s="2494">
        <v>25000</v>
      </c>
      <c r="J23" s="1733">
        <f t="shared" si="1"/>
        <v>0</v>
      </c>
      <c r="K23" s="1730"/>
    </row>
    <row r="24" spans="1:11" ht="12" customHeight="1">
      <c r="A24" s="1731">
        <v>11</v>
      </c>
      <c r="B24" s="1744" t="str">
        <f>'Chấm công công nhân'!L76</f>
        <v>Thảo lay</v>
      </c>
      <c r="C24" s="2489" t="s">
        <v>1322</v>
      </c>
      <c r="D24" s="4632"/>
      <c r="E24" s="2490" t="s">
        <v>1030</v>
      </c>
      <c r="F24" s="2490"/>
      <c r="G24" s="2535">
        <f t="shared" si="0"/>
        <v>0.16666666666666666</v>
      </c>
      <c r="H24" s="2493">
        <f t="shared" si="2"/>
        <v>0</v>
      </c>
      <c r="I24" s="2494">
        <v>25000</v>
      </c>
      <c r="J24" s="1733">
        <f t="shared" si="1"/>
        <v>0</v>
      </c>
      <c r="K24" s="1730"/>
    </row>
    <row r="25" spans="1:11" ht="12" customHeight="1">
      <c r="A25" s="1731">
        <v>12</v>
      </c>
      <c r="B25" s="1744" t="str">
        <f>'Chấm công công nhân'!L77</f>
        <v>Thảo khên</v>
      </c>
      <c r="C25" s="2489" t="s">
        <v>1322</v>
      </c>
      <c r="D25" s="4632"/>
      <c r="E25" s="2490" t="s">
        <v>1030</v>
      </c>
      <c r="F25" s="2490"/>
      <c r="G25" s="2535">
        <f t="shared" si="0"/>
        <v>0.16666666666666666</v>
      </c>
      <c r="H25" s="2493">
        <f t="shared" si="2"/>
        <v>0</v>
      </c>
      <c r="I25" s="2494">
        <v>25000</v>
      </c>
      <c r="J25" s="1733">
        <f t="shared" si="1"/>
        <v>0</v>
      </c>
      <c r="K25" s="1730"/>
    </row>
    <row r="26" spans="1:11" ht="12" customHeight="1">
      <c r="A26" s="1731">
        <v>13</v>
      </c>
      <c r="B26" s="1744" t="str">
        <f>'Chấm công công nhân'!L78</f>
        <v>Thảo khon</v>
      </c>
      <c r="C26" s="2489" t="s">
        <v>1322</v>
      </c>
      <c r="D26" s="4632"/>
      <c r="E26" s="2490" t="s">
        <v>1030</v>
      </c>
      <c r="F26" s="2490"/>
      <c r="G26" s="2535">
        <f t="shared" si="0"/>
        <v>0.16666666666666666</v>
      </c>
      <c r="H26" s="2493">
        <f t="shared" si="2"/>
        <v>0</v>
      </c>
      <c r="I26" s="2494">
        <v>25000</v>
      </c>
      <c r="J26" s="1733">
        <f t="shared" si="1"/>
        <v>0</v>
      </c>
      <c r="K26" s="1730"/>
    </row>
    <row r="27" spans="1:11" ht="12" customHeight="1">
      <c r="A27" s="1731">
        <v>14</v>
      </c>
      <c r="B27" s="1744" t="str">
        <f>'Chấm công công nhân'!L79</f>
        <v>Thảo nga</v>
      </c>
      <c r="C27" s="2489" t="s">
        <v>1322</v>
      </c>
      <c r="D27" s="4632"/>
      <c r="E27" s="2490" t="s">
        <v>1030</v>
      </c>
      <c r="F27" s="2490"/>
      <c r="G27" s="2535">
        <f t="shared" si="0"/>
        <v>0.16666666666666666</v>
      </c>
      <c r="H27" s="2493">
        <f t="shared" si="2"/>
        <v>0</v>
      </c>
      <c r="I27" s="2494">
        <v>25000</v>
      </c>
      <c r="J27" s="1733">
        <f t="shared" si="1"/>
        <v>0</v>
      </c>
      <c r="K27" s="1730"/>
    </row>
    <row r="28" spans="1:11" ht="12" customHeight="1">
      <c r="A28" s="1731">
        <v>15</v>
      </c>
      <c r="B28" s="1744" t="str">
        <f>'Chấm công công nhân'!L80</f>
        <v>Thảo lăm ma</v>
      </c>
      <c r="C28" s="2489" t="s">
        <v>1322</v>
      </c>
      <c r="D28" s="4632"/>
      <c r="E28" s="2490" t="s">
        <v>1030</v>
      </c>
      <c r="F28" s="2490"/>
      <c r="G28" s="2533">
        <f t="shared" si="0"/>
        <v>0.16666666666666666</v>
      </c>
      <c r="H28" s="2536">
        <f t="shared" si="2"/>
        <v>0</v>
      </c>
      <c r="I28" s="2537">
        <v>25000</v>
      </c>
      <c r="J28" s="2534">
        <f t="shared" si="1"/>
        <v>0</v>
      </c>
      <c r="K28" s="1730"/>
    </row>
    <row r="29" spans="1:11" ht="12" customHeight="1">
      <c r="A29" s="1731">
        <v>16</v>
      </c>
      <c r="B29" s="2765" t="str">
        <f>'Chấm công công nhân'!L81</f>
        <v>Thảo Hôm</v>
      </c>
      <c r="C29" s="2489" t="s">
        <v>1322</v>
      </c>
      <c r="D29" s="2750"/>
      <c r="E29" s="2490" t="s">
        <v>1030</v>
      </c>
      <c r="F29" s="2490"/>
      <c r="G29" s="2533">
        <f t="shared" si="0"/>
        <v>0.16666666666666666</v>
      </c>
      <c r="H29" s="2536">
        <f t="shared" si="2"/>
        <v>0</v>
      </c>
      <c r="I29" s="2537">
        <v>25000</v>
      </c>
      <c r="J29" s="2534">
        <f t="shared" si="1"/>
        <v>0</v>
      </c>
      <c r="K29" s="1730"/>
    </row>
    <row r="30" spans="1:11" ht="12" customHeight="1">
      <c r="A30" s="1731">
        <v>17</v>
      </c>
      <c r="B30" s="2181" t="s">
        <v>1141</v>
      </c>
      <c r="C30" s="2489"/>
      <c r="D30" s="2750"/>
      <c r="E30" s="2490" t="s">
        <v>1030</v>
      </c>
      <c r="F30" s="2490"/>
      <c r="G30" s="2533">
        <f t="shared" si="0"/>
        <v>0.16666666666666666</v>
      </c>
      <c r="H30" s="2536">
        <f t="shared" si="2"/>
        <v>0</v>
      </c>
      <c r="I30" s="2537">
        <v>25000</v>
      </c>
      <c r="J30" s="2534"/>
      <c r="K30" s="1730"/>
    </row>
    <row r="31" spans="1:11">
      <c r="A31" s="4628"/>
      <c r="B31" s="4628"/>
      <c r="C31" s="4628"/>
      <c r="D31" s="4628"/>
      <c r="E31" s="1730"/>
      <c r="F31" s="2748">
        <f>SUM(F14:F28)</f>
        <v>0</v>
      </c>
      <c r="G31" s="2748"/>
      <c r="H31" s="2303">
        <f>SUM(H14:H28)</f>
        <v>0</v>
      </c>
      <c r="I31" s="2748"/>
      <c r="J31" s="1736">
        <f>SUM(J14:J28)</f>
        <v>0</v>
      </c>
      <c r="K31" s="2748"/>
    </row>
    <row r="32" spans="1:11" ht="15.75">
      <c r="A32" s="1737" t="s">
        <v>1031</v>
      </c>
      <c r="B32" s="1738"/>
      <c r="H32" s="2299"/>
    </row>
    <row r="33" spans="1:9" ht="15.75">
      <c r="A33" s="1739" t="s">
        <v>1032</v>
      </c>
      <c r="B33" s="1740"/>
    </row>
    <row r="34" spans="1:9" ht="15.75">
      <c r="A34" s="1739" t="s">
        <v>1033</v>
      </c>
      <c r="B34" s="1740"/>
    </row>
    <row r="35" spans="1:9" ht="15.75">
      <c r="B35" s="3671" t="s">
        <v>162</v>
      </c>
      <c r="C35" s="3671"/>
      <c r="D35" s="1741"/>
      <c r="E35" s="1741"/>
      <c r="F35" s="1742" t="s">
        <v>1034</v>
      </c>
      <c r="I35" s="1742"/>
    </row>
    <row r="39" spans="1:9">
      <c r="B39" s="4629"/>
      <c r="C39" s="4629"/>
    </row>
  </sheetData>
  <mergeCells count="10">
    <mergeCell ref="A31:D31"/>
    <mergeCell ref="B35:C35"/>
    <mergeCell ref="B39:C39"/>
    <mergeCell ref="A5:J5"/>
    <mergeCell ref="A1:K1"/>
    <mergeCell ref="A2:K2"/>
    <mergeCell ref="A3:G3"/>
    <mergeCell ref="A4:G4"/>
    <mergeCell ref="B6:K6"/>
    <mergeCell ref="D14:D28"/>
  </mergeCells>
  <pageMargins left="0.7" right="0.7" top="0.75" bottom="0.75" header="0.3" footer="0.3"/>
  <pageSetup paperSize="9" orientation="portrait" r:id="rId1"/>
  <legacy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58"/>
  <sheetViews>
    <sheetView topLeftCell="A18" workbookViewId="0">
      <selection activeCell="C25" sqref="C25"/>
    </sheetView>
  </sheetViews>
  <sheetFormatPr defaultRowHeight="14.25"/>
  <cols>
    <col min="1" max="1" width="5.125" customWidth="1"/>
    <col min="2" max="2" width="10.625" style="1716" customWidth="1"/>
    <col min="3" max="3" width="13.875" style="1716" customWidth="1"/>
    <col min="4" max="4" width="5.75" customWidth="1"/>
    <col min="5" max="5" width="4.25" customWidth="1"/>
    <col min="6" max="6" width="5" style="1712" customWidth="1"/>
    <col min="7" max="7" width="4.375" customWidth="1"/>
    <col min="8" max="8" width="5.375" style="1714" customWidth="1"/>
    <col min="9" max="9" width="7.375" customWidth="1"/>
    <col min="10" max="10" width="5" hidden="1" customWidth="1"/>
    <col min="11" max="11" width="12.625" style="1715" customWidth="1"/>
    <col min="12" max="12" width="7" customWidth="1"/>
  </cols>
  <sheetData>
    <row r="1" spans="1:12" ht="15.75">
      <c r="A1" s="3751" t="s">
        <v>165</v>
      </c>
      <c r="B1" s="3751"/>
      <c r="C1" s="3751"/>
      <c r="D1" s="3751"/>
      <c r="E1" s="3751"/>
      <c r="F1" s="3751"/>
      <c r="G1" s="3751"/>
      <c r="H1" s="3751"/>
      <c r="I1" s="3751"/>
      <c r="J1" s="3751"/>
      <c r="K1" s="3751"/>
      <c r="L1" s="3751"/>
    </row>
    <row r="2" spans="1:12" ht="15.75">
      <c r="A2" s="4130" t="s">
        <v>1015</v>
      </c>
      <c r="B2" s="4130"/>
      <c r="C2" s="4130"/>
      <c r="D2" s="4130"/>
      <c r="E2" s="4130"/>
      <c r="F2" s="4130"/>
      <c r="G2" s="4130"/>
      <c r="H2" s="4130"/>
      <c r="I2" s="4130"/>
      <c r="J2" s="4130"/>
      <c r="K2" s="4130"/>
      <c r="L2" s="4130"/>
    </row>
    <row r="3" spans="1:12" ht="15.75">
      <c r="A3" s="3751" t="s">
        <v>1016</v>
      </c>
      <c r="B3" s="3751"/>
      <c r="C3" s="3751"/>
      <c r="D3" s="3751"/>
      <c r="E3" s="3751"/>
      <c r="F3" s="3751"/>
      <c r="G3" s="3751"/>
      <c r="H3" s="1711"/>
      <c r="I3" s="1712"/>
      <c r="J3" s="1712"/>
      <c r="K3" s="1713"/>
      <c r="L3" s="1712"/>
    </row>
    <row r="4" spans="1:12" ht="15.75">
      <c r="A4" s="4130" t="s">
        <v>541</v>
      </c>
      <c r="B4" s="4130"/>
      <c r="C4" s="4130"/>
      <c r="D4" s="4130"/>
      <c r="E4" s="4130"/>
      <c r="F4" s="4130"/>
      <c r="G4" s="4130"/>
    </row>
    <row r="5" spans="1:12" ht="21.75">
      <c r="G5" s="1717" t="s">
        <v>1017</v>
      </c>
    </row>
    <row r="6" spans="1:12">
      <c r="A6" s="1718"/>
      <c r="B6" s="4630" t="s">
        <v>1271</v>
      </c>
      <c r="C6" s="4630"/>
      <c r="D6" s="4630"/>
      <c r="E6" s="4630"/>
      <c r="F6" s="4630"/>
      <c r="G6" s="4630"/>
      <c r="H6" s="4630"/>
      <c r="I6" s="4630"/>
      <c r="J6" s="4630"/>
      <c r="K6" s="4630"/>
      <c r="L6" s="4630"/>
    </row>
    <row r="7" spans="1:12">
      <c r="A7" s="1718"/>
      <c r="B7" s="1719" t="s">
        <v>1018</v>
      </c>
      <c r="C7" s="1719"/>
      <c r="D7" s="2483"/>
      <c r="E7" s="2483"/>
      <c r="G7" s="1718"/>
      <c r="H7" s="1721"/>
      <c r="I7" s="1718"/>
      <c r="J7" s="1718"/>
      <c r="K7" s="1722"/>
      <c r="L7" s="1718"/>
    </row>
    <row r="8" spans="1:12">
      <c r="A8" s="1718"/>
      <c r="B8" s="1719" t="s">
        <v>1270</v>
      </c>
      <c r="C8" s="1719"/>
      <c r="D8" s="2483"/>
      <c r="E8" s="1718"/>
      <c r="G8" s="1718"/>
      <c r="H8" s="1723" t="s">
        <v>1019</v>
      </c>
      <c r="I8" s="2483"/>
      <c r="J8" s="2483"/>
      <c r="K8" s="1722"/>
      <c r="L8" s="1718"/>
    </row>
    <row r="9" spans="1:12">
      <c r="A9" s="1718"/>
      <c r="B9" s="1719" t="s">
        <v>1035</v>
      </c>
      <c r="C9" s="1719"/>
      <c r="D9" s="2483"/>
      <c r="E9" s="1718"/>
      <c r="G9" s="1718"/>
      <c r="H9" s="1723" t="s">
        <v>1020</v>
      </c>
      <c r="I9" s="2483"/>
      <c r="J9" s="2483"/>
      <c r="K9" s="1722"/>
      <c r="L9" s="1718"/>
    </row>
    <row r="10" spans="1:12">
      <c r="A10" s="1718"/>
      <c r="B10" s="1296" t="s">
        <v>1209</v>
      </c>
      <c r="D10" s="1718"/>
      <c r="E10" s="1718"/>
      <c r="G10" s="1718"/>
      <c r="H10" s="1721"/>
      <c r="I10" s="1718"/>
      <c r="J10" s="1718"/>
      <c r="K10" s="1722"/>
      <c r="L10" s="1718"/>
    </row>
    <row r="11" spans="1:12">
      <c r="A11" s="1718" t="s">
        <v>1022</v>
      </c>
      <c r="D11" s="1718"/>
      <c r="E11" s="1718"/>
      <c r="G11" s="1718"/>
      <c r="H11" s="1721"/>
      <c r="I11" s="1718"/>
      <c r="J11" s="1718"/>
      <c r="K11" s="1722"/>
      <c r="L11" s="1718"/>
    </row>
    <row r="12" spans="1:12" ht="61.5" customHeight="1">
      <c r="A12" s="1724" t="s">
        <v>1</v>
      </c>
      <c r="B12" s="1724" t="s">
        <v>20</v>
      </c>
      <c r="C12" s="1724" t="s">
        <v>1023</v>
      </c>
      <c r="D12" s="1724" t="s">
        <v>810</v>
      </c>
      <c r="E12" s="1724" t="s">
        <v>7</v>
      </c>
      <c r="F12" s="1724" t="s">
        <v>1024</v>
      </c>
      <c r="G12" s="1724" t="s">
        <v>361</v>
      </c>
      <c r="H12" s="1725" t="s">
        <v>47</v>
      </c>
      <c r="I12" s="1724" t="s">
        <v>1025</v>
      </c>
      <c r="J12" s="1724" t="s">
        <v>1026</v>
      </c>
      <c r="K12" s="1726" t="s">
        <v>1027</v>
      </c>
      <c r="L12" s="1727" t="s">
        <v>9</v>
      </c>
    </row>
    <row r="13" spans="1:12" ht="15.75" customHeight="1">
      <c r="A13" s="1728">
        <v>1</v>
      </c>
      <c r="B13" s="1726">
        <v>2</v>
      </c>
      <c r="C13" s="1726">
        <v>3</v>
      </c>
      <c r="D13" s="1728">
        <v>4</v>
      </c>
      <c r="E13" s="1728">
        <v>5</v>
      </c>
      <c r="F13" s="1728">
        <v>6</v>
      </c>
      <c r="G13" s="1728">
        <v>7</v>
      </c>
      <c r="H13" s="1729" t="s">
        <v>1211</v>
      </c>
      <c r="I13" s="1728">
        <v>9</v>
      </c>
      <c r="J13" s="1728">
        <v>9</v>
      </c>
      <c r="K13" s="1728" t="s">
        <v>1029</v>
      </c>
      <c r="L13" s="1730"/>
    </row>
    <row r="14" spans="1:12" ht="12" customHeight="1">
      <c r="A14" s="1731">
        <v>1</v>
      </c>
      <c r="B14" s="1732" t="str">
        <f>'Chấm công công nhân'!L13</f>
        <v>Vắt Đi</v>
      </c>
      <c r="C14" s="1726"/>
      <c r="D14" s="4365" t="s">
        <v>1279</v>
      </c>
      <c r="E14" s="1728" t="s">
        <v>1030</v>
      </c>
      <c r="F14" s="1728"/>
      <c r="G14" s="1729">
        <f>1/3</f>
        <v>0.33333333333333331</v>
      </c>
      <c r="H14" s="1729">
        <f>F14/G14</f>
        <v>0</v>
      </c>
      <c r="I14" s="1733">
        <v>25000</v>
      </c>
      <c r="J14" s="1728"/>
      <c r="K14" s="1733">
        <f>I14*H14</f>
        <v>0</v>
      </c>
      <c r="L14" s="1730"/>
    </row>
    <row r="15" spans="1:12" ht="12" customHeight="1">
      <c r="A15" s="1731">
        <v>2</v>
      </c>
      <c r="B15" s="1732" t="str">
        <f>'Chấm công công nhân'!L14</f>
        <v>T Ô Vên</v>
      </c>
      <c r="C15" s="1726" t="s">
        <v>1272</v>
      </c>
      <c r="D15" s="4635"/>
      <c r="E15" s="1728" t="s">
        <v>1030</v>
      </c>
      <c r="F15" s="1728"/>
      <c r="G15" s="1729">
        <f t="shared" ref="G15:G49" si="0">1/3</f>
        <v>0.33333333333333331</v>
      </c>
      <c r="H15" s="1729">
        <f t="shared" ref="H15:H49" si="1">F15/G15</f>
        <v>0</v>
      </c>
      <c r="I15" s="1733">
        <v>25000</v>
      </c>
      <c r="J15" s="1731"/>
      <c r="K15" s="1733">
        <f t="shared" ref="K15:K49" si="2">I15*H15</f>
        <v>0</v>
      </c>
      <c r="L15" s="1730"/>
    </row>
    <row r="16" spans="1:12" ht="12" customHeight="1">
      <c r="A16" s="1731">
        <v>3</v>
      </c>
      <c r="B16" s="1732" t="str">
        <f>'Chấm công công nhân'!L15</f>
        <v>Nàng Túc</v>
      </c>
      <c r="C16" s="1726" t="s">
        <v>1272</v>
      </c>
      <c r="D16" s="4635"/>
      <c r="E16" s="1728" t="s">
        <v>1030</v>
      </c>
      <c r="F16" s="1728"/>
      <c r="G16" s="1729">
        <f t="shared" si="0"/>
        <v>0.33333333333333331</v>
      </c>
      <c r="H16" s="1729">
        <f t="shared" si="1"/>
        <v>0</v>
      </c>
      <c r="I16" s="1733">
        <v>25000</v>
      </c>
      <c r="J16" s="1731"/>
      <c r="K16" s="1733">
        <f t="shared" si="2"/>
        <v>0</v>
      </c>
      <c r="L16" s="1730"/>
    </row>
    <row r="17" spans="1:12" ht="12" customHeight="1">
      <c r="A17" s="1731">
        <v>4</v>
      </c>
      <c r="B17" s="1732" t="str">
        <f>'Chấm công công nhân'!L16</f>
        <v>Thảo Say</v>
      </c>
      <c r="C17" s="1726" t="s">
        <v>1272</v>
      </c>
      <c r="D17" s="4635"/>
      <c r="E17" s="1728" t="s">
        <v>1030</v>
      </c>
      <c r="F17" s="1728"/>
      <c r="G17" s="1729">
        <f t="shared" si="0"/>
        <v>0.33333333333333331</v>
      </c>
      <c r="H17" s="1729">
        <f t="shared" si="1"/>
        <v>0</v>
      </c>
      <c r="I17" s="1733">
        <v>25000</v>
      </c>
      <c r="J17" s="1731"/>
      <c r="K17" s="1733">
        <f t="shared" si="2"/>
        <v>0</v>
      </c>
      <c r="L17" s="1730"/>
    </row>
    <row r="18" spans="1:12" ht="12" customHeight="1">
      <c r="A18" s="1731">
        <v>5</v>
      </c>
      <c r="B18" s="1732" t="str">
        <f>'Chấm công công nhân'!L17</f>
        <v>Thảo Pheng</v>
      </c>
      <c r="C18" s="1726" t="s">
        <v>1272</v>
      </c>
      <c r="D18" s="4635"/>
      <c r="E18" s="1728" t="s">
        <v>1030</v>
      </c>
      <c r="F18" s="1728"/>
      <c r="G18" s="1729">
        <f t="shared" si="0"/>
        <v>0.33333333333333331</v>
      </c>
      <c r="H18" s="1729">
        <f t="shared" si="1"/>
        <v>0</v>
      </c>
      <c r="I18" s="1733">
        <v>25000</v>
      </c>
      <c r="J18" s="1728"/>
      <c r="K18" s="1733">
        <f t="shared" si="2"/>
        <v>0</v>
      </c>
      <c r="L18" s="1730"/>
    </row>
    <row r="19" spans="1:12" ht="12" customHeight="1">
      <c r="A19" s="1731">
        <v>6</v>
      </c>
      <c r="B19" s="1732" t="str">
        <f>'Chấm công công nhân'!L18</f>
        <v>Nàng Chay</v>
      </c>
      <c r="C19" s="1726" t="s">
        <v>1272</v>
      </c>
      <c r="D19" s="4635"/>
      <c r="E19" s="1728" t="s">
        <v>1030</v>
      </c>
      <c r="F19" s="1728"/>
      <c r="G19" s="1729">
        <f t="shared" si="0"/>
        <v>0.33333333333333331</v>
      </c>
      <c r="H19" s="1729">
        <f t="shared" si="1"/>
        <v>0</v>
      </c>
      <c r="I19" s="1733">
        <v>25000</v>
      </c>
      <c r="J19" s="1728"/>
      <c r="K19" s="1733">
        <f t="shared" si="2"/>
        <v>0</v>
      </c>
      <c r="L19" s="1730"/>
    </row>
    <row r="20" spans="1:12" ht="12" customHeight="1">
      <c r="A20" s="1731">
        <v>7</v>
      </c>
      <c r="B20" s="1732" t="str">
        <f>'Chấm công công nhân'!L19</f>
        <v>Nàng Hđao</v>
      </c>
      <c r="C20" s="1726" t="s">
        <v>1272</v>
      </c>
      <c r="D20" s="4635"/>
      <c r="E20" s="1728" t="s">
        <v>1030</v>
      </c>
      <c r="F20" s="1728"/>
      <c r="G20" s="1729">
        <f t="shared" si="0"/>
        <v>0.33333333333333331</v>
      </c>
      <c r="H20" s="1729">
        <f t="shared" si="1"/>
        <v>0</v>
      </c>
      <c r="I20" s="1733">
        <v>25000</v>
      </c>
      <c r="J20" s="1731"/>
      <c r="K20" s="1733">
        <f t="shared" si="2"/>
        <v>0</v>
      </c>
      <c r="L20" s="1730"/>
    </row>
    <row r="21" spans="1:12" ht="12" customHeight="1">
      <c r="A21" s="1731">
        <v>8</v>
      </c>
      <c r="B21" s="1732" t="str">
        <f>'Chấm công công nhân'!L20</f>
        <v xml:space="preserve">Thảo Ken </v>
      </c>
      <c r="C21" s="1726" t="s">
        <v>1272</v>
      </c>
      <c r="D21" s="4635"/>
      <c r="E21" s="1728" t="s">
        <v>1030</v>
      </c>
      <c r="F21" s="1728"/>
      <c r="G21" s="1729">
        <f t="shared" si="0"/>
        <v>0.33333333333333331</v>
      </c>
      <c r="H21" s="1729">
        <f t="shared" si="1"/>
        <v>0</v>
      </c>
      <c r="I21" s="1733">
        <v>25000</v>
      </c>
      <c r="J21" s="1731"/>
      <c r="K21" s="1733">
        <f t="shared" si="2"/>
        <v>0</v>
      </c>
      <c r="L21" s="1730"/>
    </row>
    <row r="22" spans="1:12" ht="12" customHeight="1">
      <c r="A22" s="1731">
        <v>9</v>
      </c>
      <c r="B22" s="1732" t="str">
        <f>'Chấm công công nhân'!L21</f>
        <v>Thảo Cợt</v>
      </c>
      <c r="C22" s="1726" t="s">
        <v>1272</v>
      </c>
      <c r="D22" s="4635"/>
      <c r="E22" s="1728" t="s">
        <v>1030</v>
      </c>
      <c r="F22" s="1728"/>
      <c r="G22" s="1729">
        <f t="shared" si="0"/>
        <v>0.33333333333333331</v>
      </c>
      <c r="H22" s="1729">
        <f t="shared" si="1"/>
        <v>0</v>
      </c>
      <c r="I22" s="1733">
        <v>25000</v>
      </c>
      <c r="J22" s="1731"/>
      <c r="K22" s="1733">
        <f t="shared" si="2"/>
        <v>0</v>
      </c>
      <c r="L22" s="1730"/>
    </row>
    <row r="23" spans="1:12" ht="12" customHeight="1">
      <c r="A23" s="1731">
        <v>10</v>
      </c>
      <c r="B23" s="1732" t="str">
        <f>'Chấm công công nhân'!L22</f>
        <v>Thảo Mi</v>
      </c>
      <c r="C23" s="1726" t="s">
        <v>1272</v>
      </c>
      <c r="D23" s="4635"/>
      <c r="E23" s="1728" t="s">
        <v>1030</v>
      </c>
      <c r="F23" s="1728"/>
      <c r="G23" s="1729">
        <f t="shared" si="0"/>
        <v>0.33333333333333331</v>
      </c>
      <c r="H23" s="1729">
        <f t="shared" si="1"/>
        <v>0</v>
      </c>
      <c r="I23" s="1733">
        <v>25000</v>
      </c>
      <c r="J23" s="1728"/>
      <c r="K23" s="1733">
        <f t="shared" si="2"/>
        <v>0</v>
      </c>
      <c r="L23" s="1730"/>
    </row>
    <row r="24" spans="1:12" ht="12" customHeight="1">
      <c r="A24" s="1731">
        <v>11</v>
      </c>
      <c r="B24" s="1732" t="str">
        <f>'Chấm công công nhân'!L23</f>
        <v>Thảo Phét</v>
      </c>
      <c r="C24" s="1726" t="s">
        <v>1272</v>
      </c>
      <c r="D24" s="4635"/>
      <c r="E24" s="1728" t="s">
        <v>1030</v>
      </c>
      <c r="F24" s="1728"/>
      <c r="G24" s="1729">
        <f t="shared" si="0"/>
        <v>0.33333333333333331</v>
      </c>
      <c r="H24" s="1729">
        <f t="shared" si="1"/>
        <v>0</v>
      </c>
      <c r="I24" s="1733">
        <v>25000</v>
      </c>
      <c r="J24" s="1728"/>
      <c r="K24" s="1733">
        <f t="shared" si="2"/>
        <v>0</v>
      </c>
      <c r="L24" s="1730"/>
    </row>
    <row r="25" spans="1:12" ht="12" customHeight="1">
      <c r="A25" s="1731">
        <v>12</v>
      </c>
      <c r="B25" s="1732" t="str">
        <f>'Chấm công công nhân'!L24</f>
        <v>Thảo Hăm</v>
      </c>
      <c r="C25" s="1726" t="s">
        <v>1272</v>
      </c>
      <c r="D25" s="4635"/>
      <c r="E25" s="1728" t="s">
        <v>1030</v>
      </c>
      <c r="F25" s="1728"/>
      <c r="G25" s="1729">
        <f t="shared" si="0"/>
        <v>0.33333333333333331</v>
      </c>
      <c r="H25" s="1729">
        <f t="shared" si="1"/>
        <v>0</v>
      </c>
      <c r="I25" s="1733">
        <v>25000</v>
      </c>
      <c r="J25" s="1731"/>
      <c r="K25" s="1733">
        <f t="shared" si="2"/>
        <v>0</v>
      </c>
      <c r="L25" s="1730"/>
    </row>
    <row r="26" spans="1:12" ht="12" customHeight="1">
      <c r="A26" s="1731">
        <v>13</v>
      </c>
      <c r="B26" s="1732" t="str">
        <f>'Chấm công công nhân'!L25</f>
        <v>Nang Lon</v>
      </c>
      <c r="C26" s="1726" t="s">
        <v>1272</v>
      </c>
      <c r="D26" s="4635"/>
      <c r="E26" s="1728" t="s">
        <v>1030</v>
      </c>
      <c r="F26" s="1728"/>
      <c r="G26" s="1729">
        <f t="shared" si="0"/>
        <v>0.33333333333333331</v>
      </c>
      <c r="H26" s="1729">
        <f t="shared" si="1"/>
        <v>0</v>
      </c>
      <c r="I26" s="1733">
        <v>25000</v>
      </c>
      <c r="J26" s="1731"/>
      <c r="K26" s="1733">
        <f t="shared" si="2"/>
        <v>0</v>
      </c>
      <c r="L26" s="1730"/>
    </row>
    <row r="27" spans="1:12" ht="12" customHeight="1">
      <c r="A27" s="1731">
        <v>14</v>
      </c>
      <c r="B27" s="1732" t="str">
        <f>'Chấm công công nhân'!L26</f>
        <v>Thảo Phết</v>
      </c>
      <c r="C27" s="1726" t="s">
        <v>1272</v>
      </c>
      <c r="D27" s="4635"/>
      <c r="E27" s="1728" t="s">
        <v>1030</v>
      </c>
      <c r="F27" s="1728"/>
      <c r="G27" s="1729">
        <f t="shared" si="0"/>
        <v>0.33333333333333331</v>
      </c>
      <c r="H27" s="1729">
        <f t="shared" si="1"/>
        <v>0</v>
      </c>
      <c r="I27" s="1733">
        <v>25000</v>
      </c>
      <c r="J27" s="1731"/>
      <c r="K27" s="1733">
        <f t="shared" si="2"/>
        <v>0</v>
      </c>
      <c r="L27" s="1730"/>
    </row>
    <row r="28" spans="1:12" ht="12" customHeight="1">
      <c r="A28" s="1731">
        <v>15</v>
      </c>
      <c r="B28" s="1732" t="str">
        <f>'Chấm công công nhân'!L27</f>
        <v>Vĩ Lay</v>
      </c>
      <c r="C28" s="1726" t="s">
        <v>1272</v>
      </c>
      <c r="D28" s="4635"/>
      <c r="E28" s="1728" t="s">
        <v>1030</v>
      </c>
      <c r="F28" s="1728"/>
      <c r="G28" s="1729">
        <f t="shared" si="0"/>
        <v>0.33333333333333331</v>
      </c>
      <c r="H28" s="1729">
        <f t="shared" si="1"/>
        <v>0</v>
      </c>
      <c r="I28" s="1733">
        <v>25000</v>
      </c>
      <c r="J28" s="1728"/>
      <c r="K28" s="1733">
        <f t="shared" si="2"/>
        <v>0</v>
      </c>
      <c r="L28" s="1730"/>
    </row>
    <row r="29" spans="1:12" ht="12" customHeight="1">
      <c r="A29" s="1731">
        <v>16</v>
      </c>
      <c r="B29" s="1732" t="str">
        <f>'Chấm công công nhân'!L28</f>
        <v>Pha Xúc</v>
      </c>
      <c r="C29" s="1726"/>
      <c r="D29" s="4635"/>
      <c r="E29" s="1728" t="s">
        <v>1030</v>
      </c>
      <c r="F29" s="1728"/>
      <c r="G29" s="1729">
        <f t="shared" si="0"/>
        <v>0.33333333333333331</v>
      </c>
      <c r="H29" s="1729">
        <f t="shared" si="1"/>
        <v>0</v>
      </c>
      <c r="I29" s="1733">
        <v>25000</v>
      </c>
      <c r="J29" s="1728"/>
      <c r="K29" s="1733">
        <f t="shared" si="2"/>
        <v>0</v>
      </c>
      <c r="L29" s="1730"/>
    </row>
    <row r="30" spans="1:12" ht="12" customHeight="1">
      <c r="A30" s="1731">
        <v>17</v>
      </c>
      <c r="B30" s="1732" t="str">
        <f>'Chấm công công nhân'!L29</f>
        <v>Nàng Đao</v>
      </c>
      <c r="C30" s="1726" t="s">
        <v>1272</v>
      </c>
      <c r="D30" s="4635"/>
      <c r="E30" s="1728" t="s">
        <v>1030</v>
      </c>
      <c r="F30" s="1728"/>
      <c r="G30" s="1729">
        <f t="shared" si="0"/>
        <v>0.33333333333333331</v>
      </c>
      <c r="H30" s="1729">
        <f t="shared" si="1"/>
        <v>0</v>
      </c>
      <c r="I30" s="1733">
        <v>25000</v>
      </c>
      <c r="J30" s="1731"/>
      <c r="K30" s="1733">
        <f t="shared" si="2"/>
        <v>0</v>
      </c>
      <c r="L30" s="1730"/>
    </row>
    <row r="31" spans="1:12" ht="12" customHeight="1">
      <c r="A31" s="1731">
        <v>18</v>
      </c>
      <c r="B31" s="1732" t="str">
        <f>'Chấm công công nhân'!L30</f>
        <v>Nàng Kiên</v>
      </c>
      <c r="C31" s="1726" t="s">
        <v>1272</v>
      </c>
      <c r="D31" s="4635"/>
      <c r="E31" s="1728" t="s">
        <v>1030</v>
      </c>
      <c r="F31" s="1728"/>
      <c r="G31" s="1729">
        <f t="shared" si="0"/>
        <v>0.33333333333333331</v>
      </c>
      <c r="H31" s="1729">
        <f t="shared" si="1"/>
        <v>0</v>
      </c>
      <c r="I31" s="1733">
        <v>25000</v>
      </c>
      <c r="J31" s="1731"/>
      <c r="K31" s="1733">
        <f t="shared" si="2"/>
        <v>0</v>
      </c>
      <c r="L31" s="1730"/>
    </row>
    <row r="32" spans="1:12" ht="12" customHeight="1">
      <c r="A32" s="1731">
        <v>19</v>
      </c>
      <c r="B32" s="1732" t="str">
        <f>'Chấm công công nhân'!L31</f>
        <v>Nàng Túc 2</v>
      </c>
      <c r="C32" s="1726" t="s">
        <v>1272</v>
      </c>
      <c r="D32" s="4635"/>
      <c r="E32" s="1728" t="s">
        <v>1030</v>
      </c>
      <c r="F32" s="1728"/>
      <c r="G32" s="1729">
        <f t="shared" si="0"/>
        <v>0.33333333333333331</v>
      </c>
      <c r="H32" s="1729">
        <f t="shared" si="1"/>
        <v>0</v>
      </c>
      <c r="I32" s="1733">
        <v>25000</v>
      </c>
      <c r="J32" s="1731"/>
      <c r="K32" s="1733">
        <f t="shared" si="2"/>
        <v>0</v>
      </c>
      <c r="L32" s="1730"/>
    </row>
    <row r="33" spans="1:12" ht="12" customHeight="1">
      <c r="A33" s="1731">
        <v>20</v>
      </c>
      <c r="B33" s="1732" t="str">
        <f>'Chấm công công nhân'!L32</f>
        <v>Nàng Phon</v>
      </c>
      <c r="C33" s="1726" t="s">
        <v>1272</v>
      </c>
      <c r="D33" s="4635"/>
      <c r="E33" s="1728" t="s">
        <v>1030</v>
      </c>
      <c r="F33" s="1728"/>
      <c r="G33" s="1729">
        <f t="shared" si="0"/>
        <v>0.33333333333333331</v>
      </c>
      <c r="H33" s="1729">
        <f t="shared" si="1"/>
        <v>0</v>
      </c>
      <c r="I33" s="1733">
        <v>25000</v>
      </c>
      <c r="J33" s="1728"/>
      <c r="K33" s="1733">
        <f t="shared" si="2"/>
        <v>0</v>
      </c>
      <c r="L33" s="1730"/>
    </row>
    <row r="34" spans="1:12" ht="12" customHeight="1">
      <c r="A34" s="1731">
        <v>21</v>
      </c>
      <c r="B34" s="1732" t="str">
        <f>'Chấm công công nhân'!L33</f>
        <v>Thảo Chòi</v>
      </c>
      <c r="C34" s="1726" t="s">
        <v>1272</v>
      </c>
      <c r="D34" s="4635"/>
      <c r="E34" s="1728" t="s">
        <v>1030</v>
      </c>
      <c r="F34" s="1728"/>
      <c r="G34" s="1729">
        <f t="shared" si="0"/>
        <v>0.33333333333333331</v>
      </c>
      <c r="H34" s="1729">
        <f t="shared" si="1"/>
        <v>0</v>
      </c>
      <c r="I34" s="1733">
        <v>25000</v>
      </c>
      <c r="J34" s="1728"/>
      <c r="K34" s="1733">
        <f t="shared" si="2"/>
        <v>0</v>
      </c>
      <c r="L34" s="1730"/>
    </row>
    <row r="35" spans="1:12" ht="12" customHeight="1">
      <c r="A35" s="1731">
        <v>22</v>
      </c>
      <c r="B35" s="1732" t="str">
        <f>'Chấm công công nhân'!L34</f>
        <v>Thong La</v>
      </c>
      <c r="C35" s="1726" t="s">
        <v>1272</v>
      </c>
      <c r="D35" s="4635"/>
      <c r="E35" s="1728" t="s">
        <v>1030</v>
      </c>
      <c r="F35" s="1728"/>
      <c r="G35" s="1729">
        <f t="shared" si="0"/>
        <v>0.33333333333333331</v>
      </c>
      <c r="H35" s="1729">
        <f t="shared" si="1"/>
        <v>0</v>
      </c>
      <c r="I35" s="1733">
        <v>25000</v>
      </c>
      <c r="J35" s="1731"/>
      <c r="K35" s="1733">
        <f t="shared" si="2"/>
        <v>0</v>
      </c>
      <c r="L35" s="1730"/>
    </row>
    <row r="36" spans="1:12" ht="12" customHeight="1">
      <c r="A36" s="1731">
        <v>23</v>
      </c>
      <c r="B36" s="1732" t="str">
        <f>'Chấm công công nhân'!L35</f>
        <v>Thảo kok</v>
      </c>
      <c r="C36" s="1726" t="s">
        <v>1272</v>
      </c>
      <c r="D36" s="4635"/>
      <c r="E36" s="1728" t="s">
        <v>1030</v>
      </c>
      <c r="F36" s="1728"/>
      <c r="G36" s="1729">
        <f t="shared" si="0"/>
        <v>0.33333333333333331</v>
      </c>
      <c r="H36" s="1729">
        <f t="shared" si="1"/>
        <v>0</v>
      </c>
      <c r="I36" s="1733">
        <v>25000</v>
      </c>
      <c r="J36" s="1731"/>
      <c r="K36" s="1733">
        <f t="shared" si="2"/>
        <v>0</v>
      </c>
      <c r="L36" s="1730"/>
    </row>
    <row r="37" spans="1:12" ht="12" customHeight="1">
      <c r="A37" s="1731">
        <v>24</v>
      </c>
      <c r="B37" s="1732" t="str">
        <f>'Chấm công công nhân'!L36</f>
        <v>Thảo Hôm</v>
      </c>
      <c r="C37" s="1726" t="s">
        <v>1272</v>
      </c>
      <c r="D37" s="4635"/>
      <c r="E37" s="1728" t="s">
        <v>1030</v>
      </c>
      <c r="F37" s="1728"/>
      <c r="G37" s="1729">
        <f t="shared" si="0"/>
        <v>0.33333333333333331</v>
      </c>
      <c r="H37" s="1729">
        <f t="shared" si="1"/>
        <v>0</v>
      </c>
      <c r="I37" s="1733">
        <v>25000</v>
      </c>
      <c r="J37" s="1731"/>
      <c r="K37" s="1733">
        <f t="shared" si="2"/>
        <v>0</v>
      </c>
      <c r="L37" s="1730"/>
    </row>
    <row r="38" spans="1:12" ht="12" customHeight="1">
      <c r="A38" s="1731">
        <v>25</v>
      </c>
      <c r="B38" s="1732" t="str">
        <f>'Chấm công công nhân'!L37</f>
        <v>Nàng Lam</v>
      </c>
      <c r="C38" s="1726" t="s">
        <v>1272</v>
      </c>
      <c r="D38" s="4635"/>
      <c r="E38" s="1728" t="s">
        <v>1030</v>
      </c>
      <c r="F38" s="1728"/>
      <c r="G38" s="1729">
        <f t="shared" si="0"/>
        <v>0.33333333333333331</v>
      </c>
      <c r="H38" s="1729">
        <f t="shared" si="1"/>
        <v>0</v>
      </c>
      <c r="I38" s="1733">
        <v>25000</v>
      </c>
      <c r="J38" s="1728"/>
      <c r="K38" s="1733">
        <f t="shared" si="2"/>
        <v>0</v>
      </c>
      <c r="L38" s="1730"/>
    </row>
    <row r="39" spans="1:12" ht="12" customHeight="1">
      <c r="A39" s="1731">
        <v>26</v>
      </c>
      <c r="B39" s="1732" t="str">
        <f>'Chấm công công nhân'!L38</f>
        <v>Thảo Hơ Phơ</v>
      </c>
      <c r="C39" s="1726" t="s">
        <v>1272</v>
      </c>
      <c r="D39" s="4635"/>
      <c r="E39" s="1728" t="s">
        <v>1030</v>
      </c>
      <c r="F39" s="1728"/>
      <c r="G39" s="1729">
        <f t="shared" si="0"/>
        <v>0.33333333333333331</v>
      </c>
      <c r="H39" s="1729">
        <f t="shared" si="1"/>
        <v>0</v>
      </c>
      <c r="I39" s="1733">
        <v>25000</v>
      </c>
      <c r="J39" s="1728"/>
      <c r="K39" s="1733">
        <f t="shared" si="2"/>
        <v>0</v>
      </c>
      <c r="L39" s="1730"/>
    </row>
    <row r="40" spans="1:12" ht="12" customHeight="1">
      <c r="A40" s="1731">
        <v>27</v>
      </c>
      <c r="B40" s="1732" t="str">
        <f>'Chấm công công nhân'!L39</f>
        <v>Thảo Lay</v>
      </c>
      <c r="C40" s="1726" t="s">
        <v>1272</v>
      </c>
      <c r="D40" s="4635"/>
      <c r="E40" s="1728" t="s">
        <v>1030</v>
      </c>
      <c r="F40" s="1728"/>
      <c r="G40" s="1729">
        <f t="shared" si="0"/>
        <v>0.33333333333333331</v>
      </c>
      <c r="H40" s="1729">
        <f t="shared" si="1"/>
        <v>0</v>
      </c>
      <c r="I40" s="1733">
        <v>25000</v>
      </c>
      <c r="J40" s="1731"/>
      <c r="K40" s="1733">
        <f t="shared" si="2"/>
        <v>0</v>
      </c>
      <c r="L40" s="1730"/>
    </row>
    <row r="41" spans="1:12" ht="12" customHeight="1">
      <c r="A41" s="1731">
        <v>28</v>
      </c>
      <c r="B41" s="1732" t="str">
        <f>'Chấm công công nhân'!L40</f>
        <v>Thảo Khốc</v>
      </c>
      <c r="C41" s="1726" t="s">
        <v>1272</v>
      </c>
      <c r="D41" s="4635"/>
      <c r="E41" s="1728" t="s">
        <v>1030</v>
      </c>
      <c r="F41" s="1728"/>
      <c r="G41" s="1729">
        <f t="shared" si="0"/>
        <v>0.33333333333333331</v>
      </c>
      <c r="H41" s="1729">
        <f t="shared" si="1"/>
        <v>0</v>
      </c>
      <c r="I41" s="1733">
        <v>25000</v>
      </c>
      <c r="J41" s="1731"/>
      <c r="K41" s="1733">
        <f t="shared" si="2"/>
        <v>0</v>
      </c>
      <c r="L41" s="1730"/>
    </row>
    <row r="42" spans="1:12" ht="12" customHeight="1">
      <c r="A42" s="1731">
        <v>29</v>
      </c>
      <c r="B42" s="1732" t="str">
        <f>'Chấm công công nhân'!L41</f>
        <v>Thảo Sợt</v>
      </c>
      <c r="C42" s="1726" t="s">
        <v>1272</v>
      </c>
      <c r="D42" s="4635"/>
      <c r="E42" s="1728" t="s">
        <v>1030</v>
      </c>
      <c r="F42" s="1728"/>
      <c r="G42" s="1729">
        <f t="shared" si="0"/>
        <v>0.33333333333333331</v>
      </c>
      <c r="H42" s="1729">
        <f t="shared" si="1"/>
        <v>0</v>
      </c>
      <c r="I42" s="1733">
        <v>25000</v>
      </c>
      <c r="J42" s="1731"/>
      <c r="K42" s="1733">
        <f t="shared" si="2"/>
        <v>0</v>
      </c>
      <c r="L42" s="1730"/>
    </row>
    <row r="43" spans="1:12" ht="12" customHeight="1">
      <c r="A43" s="1731">
        <v>30</v>
      </c>
      <c r="B43" s="1732" t="str">
        <f>'Chấm công công nhân'!L42</f>
        <v>Thảo Văn</v>
      </c>
      <c r="C43" s="1726" t="s">
        <v>1272</v>
      </c>
      <c r="D43" s="4635"/>
      <c r="E43" s="1728" t="s">
        <v>1030</v>
      </c>
      <c r="F43" s="1728"/>
      <c r="G43" s="1729">
        <f t="shared" si="0"/>
        <v>0.33333333333333331</v>
      </c>
      <c r="H43" s="1729">
        <f t="shared" si="1"/>
        <v>0</v>
      </c>
      <c r="I43" s="1733">
        <v>25000</v>
      </c>
      <c r="J43" s="1728"/>
      <c r="K43" s="1733">
        <f t="shared" si="2"/>
        <v>0</v>
      </c>
      <c r="L43" s="1730"/>
    </row>
    <row r="44" spans="1:12" ht="12" customHeight="1">
      <c r="A44" s="1731">
        <v>31</v>
      </c>
      <c r="B44" s="1732" t="str">
        <f>'Chấm công công nhân'!L43</f>
        <v>Thảo Thong</v>
      </c>
      <c r="C44" s="1726" t="s">
        <v>1272</v>
      </c>
      <c r="D44" s="4635"/>
      <c r="E44" s="1728" t="s">
        <v>1030</v>
      </c>
      <c r="F44" s="1728"/>
      <c r="G44" s="1729">
        <f t="shared" si="0"/>
        <v>0.33333333333333331</v>
      </c>
      <c r="H44" s="1729">
        <f t="shared" si="1"/>
        <v>0</v>
      </c>
      <c r="I44" s="1733">
        <v>25000</v>
      </c>
      <c r="J44" s="1728"/>
      <c r="K44" s="1733">
        <f t="shared" si="2"/>
        <v>0</v>
      </c>
      <c r="L44" s="1730"/>
    </row>
    <row r="45" spans="1:12" ht="12" customHeight="1">
      <c r="A45" s="1731">
        <v>32</v>
      </c>
      <c r="B45" s="1732" t="str">
        <f>'Chấm công công nhân'!L44</f>
        <v xml:space="preserve"> Nàng Ngột</v>
      </c>
      <c r="C45" s="1726" t="s">
        <v>1272</v>
      </c>
      <c r="D45" s="4635"/>
      <c r="E45" s="1728" t="s">
        <v>1030</v>
      </c>
      <c r="F45" s="1728"/>
      <c r="G45" s="1729">
        <f t="shared" si="0"/>
        <v>0.33333333333333331</v>
      </c>
      <c r="H45" s="1729">
        <f t="shared" si="1"/>
        <v>0</v>
      </c>
      <c r="I45" s="1733">
        <v>25000</v>
      </c>
      <c r="J45" s="1728"/>
      <c r="K45" s="1733">
        <f t="shared" si="2"/>
        <v>0</v>
      </c>
      <c r="L45" s="1730"/>
    </row>
    <row r="46" spans="1:12" ht="12" customHeight="1">
      <c r="A46" s="1731">
        <v>33</v>
      </c>
      <c r="B46" s="1732" t="str">
        <f>'Chấm công công nhân'!L45</f>
        <v>Nàng Chon</v>
      </c>
      <c r="C46" s="1726" t="s">
        <v>1272</v>
      </c>
      <c r="D46" s="4635"/>
      <c r="E46" s="1728" t="s">
        <v>1030</v>
      </c>
      <c r="F46" s="1728"/>
      <c r="G46" s="1729">
        <f t="shared" si="0"/>
        <v>0.33333333333333331</v>
      </c>
      <c r="H46" s="1729">
        <f t="shared" si="1"/>
        <v>0</v>
      </c>
      <c r="I46" s="1733">
        <v>25000</v>
      </c>
      <c r="J46" s="1728"/>
      <c r="K46" s="1733">
        <f t="shared" si="2"/>
        <v>0</v>
      </c>
      <c r="L46" s="1730"/>
    </row>
    <row r="47" spans="1:12" ht="12" customHeight="1">
      <c r="A47" s="1731">
        <v>34</v>
      </c>
      <c r="B47" s="1732" t="str">
        <f>'Chấm công công nhân'!L46</f>
        <v>Bun han</v>
      </c>
      <c r="C47" s="1726" t="s">
        <v>1272</v>
      </c>
      <c r="D47" s="4635"/>
      <c r="E47" s="1728" t="s">
        <v>1030</v>
      </c>
      <c r="F47" s="1728"/>
      <c r="G47" s="1729">
        <f t="shared" si="0"/>
        <v>0.33333333333333331</v>
      </c>
      <c r="H47" s="1729">
        <f t="shared" si="1"/>
        <v>0</v>
      </c>
      <c r="I47" s="1733">
        <v>25000</v>
      </c>
      <c r="J47" s="1728"/>
      <c r="K47" s="1733">
        <f t="shared" si="2"/>
        <v>0</v>
      </c>
      <c r="L47" s="1730"/>
    </row>
    <row r="48" spans="1:12" ht="12" customHeight="1">
      <c r="A48" s="1731">
        <v>35</v>
      </c>
      <c r="B48" s="1732" t="str">
        <f>'Chấm công công nhân'!L47</f>
        <v>Hăn</v>
      </c>
      <c r="C48" s="1726" t="s">
        <v>1272</v>
      </c>
      <c r="D48" s="4635"/>
      <c r="E48" s="1728" t="s">
        <v>1030</v>
      </c>
      <c r="F48" s="1728"/>
      <c r="G48" s="1729">
        <f t="shared" si="0"/>
        <v>0.33333333333333331</v>
      </c>
      <c r="H48" s="1729">
        <f t="shared" si="1"/>
        <v>0</v>
      </c>
      <c r="I48" s="1733">
        <v>25000</v>
      </c>
      <c r="J48" s="1728"/>
      <c r="K48" s="1733">
        <f t="shared" si="2"/>
        <v>0</v>
      </c>
      <c r="L48" s="1730"/>
    </row>
    <row r="49" spans="1:12" ht="12" customHeight="1">
      <c r="A49" s="1731">
        <v>36</v>
      </c>
      <c r="B49" s="1732" t="str">
        <f>'Chấm công công nhân'!L48</f>
        <v>Thảo Tuỳ</v>
      </c>
      <c r="C49" s="1726" t="s">
        <v>1272</v>
      </c>
      <c r="D49" s="4635"/>
      <c r="E49" s="1728" t="s">
        <v>1030</v>
      </c>
      <c r="F49" s="1728"/>
      <c r="G49" s="1729">
        <f t="shared" si="0"/>
        <v>0.33333333333333331</v>
      </c>
      <c r="H49" s="1729">
        <f t="shared" si="1"/>
        <v>0</v>
      </c>
      <c r="I49" s="1733">
        <v>25000</v>
      </c>
      <c r="J49" s="1728"/>
      <c r="K49" s="1733">
        <f t="shared" si="2"/>
        <v>0</v>
      </c>
      <c r="L49" s="1730"/>
    </row>
    <row r="50" spans="1:12">
      <c r="A50" s="4628"/>
      <c r="B50" s="4628"/>
      <c r="C50" s="4628"/>
      <c r="D50" s="4628"/>
      <c r="E50" s="1730"/>
      <c r="F50" s="2482">
        <f>SUM(F14:F49)</f>
        <v>0</v>
      </c>
      <c r="G50" s="2482"/>
      <c r="H50" s="2303">
        <f>SUM(H14:H49)</f>
        <v>0</v>
      </c>
      <c r="I50" s="2482"/>
      <c r="J50" s="2482">
        <f>SUM(J14:J49)</f>
        <v>0</v>
      </c>
      <c r="K50" s="1736">
        <f>SUM(K14:K49)</f>
        <v>0</v>
      </c>
      <c r="L50" s="2482"/>
    </row>
    <row r="51" spans="1:12" ht="15.75">
      <c r="A51" s="1737" t="s">
        <v>1031</v>
      </c>
      <c r="B51" s="1738"/>
    </row>
    <row r="52" spans="1:12" ht="15.75">
      <c r="A52" s="1739" t="s">
        <v>1032</v>
      </c>
      <c r="B52" s="1740"/>
    </row>
    <row r="53" spans="1:12" ht="15.75">
      <c r="A53" s="1739" t="s">
        <v>1033</v>
      </c>
      <c r="B53" s="1740"/>
    </row>
    <row r="54" spans="1:12" ht="15.75">
      <c r="B54" s="3671" t="s">
        <v>162</v>
      </c>
      <c r="C54" s="3671"/>
      <c r="D54" s="1741"/>
      <c r="E54" s="1741"/>
      <c r="F54" s="1742" t="s">
        <v>1034</v>
      </c>
      <c r="I54" s="1742"/>
      <c r="J54" s="1742"/>
    </row>
    <row r="58" spans="1:12">
      <c r="B58" s="4629"/>
      <c r="C58" s="4629"/>
    </row>
  </sheetData>
  <mergeCells count="9">
    <mergeCell ref="A50:D50"/>
    <mergeCell ref="B54:C54"/>
    <mergeCell ref="B58:C58"/>
    <mergeCell ref="A1:L1"/>
    <mergeCell ref="A2:L2"/>
    <mergeCell ref="A3:G3"/>
    <mergeCell ref="A4:G4"/>
    <mergeCell ref="B6:L6"/>
    <mergeCell ref="D14:D49"/>
  </mergeCells>
  <pageMargins left="0.7" right="0.7" top="0.75" bottom="0.75" header="0.3" footer="0.3"/>
  <pageSetup paperSize="9" orientation="portrait" r:id="rId1"/>
  <legacy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58"/>
  <sheetViews>
    <sheetView topLeftCell="A13" workbookViewId="0">
      <selection activeCell="N22" sqref="N22"/>
    </sheetView>
  </sheetViews>
  <sheetFormatPr defaultRowHeight="14.25"/>
  <cols>
    <col min="1" max="1" width="5.125" customWidth="1"/>
    <col min="2" max="2" width="9.25" style="1716" customWidth="1"/>
    <col min="3" max="3" width="13.875" style="1716" customWidth="1"/>
    <col min="4" max="4" width="5.75" customWidth="1"/>
    <col min="5" max="5" width="4.25" customWidth="1"/>
    <col min="6" max="6" width="5" style="1712" customWidth="1"/>
    <col min="7" max="7" width="4.75" customWidth="1"/>
    <col min="8" max="8" width="5.375" style="1714" customWidth="1"/>
    <col min="9" max="9" width="7.375" customWidth="1"/>
    <col min="10" max="10" width="5" hidden="1" customWidth="1"/>
    <col min="11" max="11" width="12.625" style="1715" customWidth="1"/>
    <col min="12" max="12" width="7" customWidth="1"/>
  </cols>
  <sheetData>
    <row r="1" spans="1:12" ht="15.75">
      <c r="A1" s="3751" t="s">
        <v>165</v>
      </c>
      <c r="B1" s="3751"/>
      <c r="C1" s="3751"/>
      <c r="D1" s="3751"/>
      <c r="E1" s="3751"/>
      <c r="F1" s="3751"/>
      <c r="G1" s="3751"/>
      <c r="H1" s="3751"/>
      <c r="I1" s="3751"/>
      <c r="J1" s="3751"/>
      <c r="K1" s="3751"/>
      <c r="L1" s="3751"/>
    </row>
    <row r="2" spans="1:12" ht="15.75">
      <c r="A2" s="4130" t="s">
        <v>1015</v>
      </c>
      <c r="B2" s="4130"/>
      <c r="C2" s="4130"/>
      <c r="D2" s="4130"/>
      <c r="E2" s="4130"/>
      <c r="F2" s="4130"/>
      <c r="G2" s="4130"/>
      <c r="H2" s="4130"/>
      <c r="I2" s="4130"/>
      <c r="J2" s="4130"/>
      <c r="K2" s="4130"/>
      <c r="L2" s="4130"/>
    </row>
    <row r="3" spans="1:12" ht="15.75">
      <c r="A3" s="4417" t="s">
        <v>1016</v>
      </c>
      <c r="B3" s="4417"/>
      <c r="C3" s="4417"/>
      <c r="D3" s="4417"/>
      <c r="E3" s="4417"/>
      <c r="F3" s="4417"/>
      <c r="G3" s="4417"/>
      <c r="H3" s="1711"/>
      <c r="I3" s="1712"/>
      <c r="J3" s="1712"/>
      <c r="K3" s="1713"/>
      <c r="L3" s="1712"/>
    </row>
    <row r="4" spans="1:12" ht="15.75">
      <c r="A4" s="4130" t="s">
        <v>541</v>
      </c>
      <c r="B4" s="4130"/>
      <c r="C4" s="4130"/>
      <c r="D4" s="4130"/>
      <c r="E4" s="4130"/>
      <c r="F4" s="4130"/>
      <c r="G4" s="4130"/>
    </row>
    <row r="5" spans="1:12" ht="21.75">
      <c r="B5" s="4637" t="s">
        <v>1017</v>
      </c>
      <c r="C5" s="4637"/>
      <c r="D5" s="4637"/>
      <c r="E5" s="4637"/>
      <c r="F5" s="4637"/>
      <c r="G5" s="4637"/>
      <c r="H5" s="4637"/>
      <c r="I5" s="4637"/>
      <c r="J5" s="4637"/>
      <c r="K5" s="4637"/>
    </row>
    <row r="6" spans="1:12">
      <c r="A6" s="1718"/>
      <c r="B6" s="4630" t="s">
        <v>1592</v>
      </c>
      <c r="C6" s="4630"/>
      <c r="D6" s="4630"/>
      <c r="E6" s="4630"/>
      <c r="F6" s="4630"/>
      <c r="G6" s="4630"/>
      <c r="H6" s="4630"/>
      <c r="I6" s="4630"/>
      <c r="J6" s="4630"/>
      <c r="K6" s="4630"/>
      <c r="L6" s="4630"/>
    </row>
    <row r="7" spans="1:12">
      <c r="A7" s="1718"/>
      <c r="B7" s="1719" t="s">
        <v>1018</v>
      </c>
      <c r="C7" s="1719"/>
      <c r="D7" s="1720"/>
      <c r="E7" s="1720"/>
      <c r="G7" s="1718"/>
      <c r="H7" s="1721"/>
      <c r="I7" s="1718"/>
      <c r="J7" s="1718"/>
      <c r="K7" s="1722"/>
      <c r="L7" s="1718"/>
    </row>
    <row r="8" spans="1:12">
      <c r="A8" s="1718"/>
      <c r="B8" s="1719" t="s">
        <v>1270</v>
      </c>
      <c r="C8" s="1719"/>
      <c r="D8" s="1720"/>
      <c r="E8" s="1718"/>
      <c r="G8" s="1718"/>
      <c r="H8" s="1723" t="s">
        <v>1019</v>
      </c>
      <c r="I8" s="1720"/>
      <c r="J8" s="1720"/>
      <c r="K8" s="1722"/>
      <c r="L8" s="1718"/>
    </row>
    <row r="9" spans="1:12">
      <c r="A9" s="1718"/>
      <c r="B9" s="1719" t="s">
        <v>1035</v>
      </c>
      <c r="C9" s="1719"/>
      <c r="D9" s="1720"/>
      <c r="E9" s="1718"/>
      <c r="G9" s="1718"/>
      <c r="H9" s="1723" t="s">
        <v>1020</v>
      </c>
      <c r="I9" s="1720"/>
      <c r="J9" s="1720"/>
      <c r="K9" s="1722"/>
      <c r="L9" s="1718"/>
    </row>
    <row r="10" spans="1:12">
      <c r="A10" s="1718"/>
      <c r="B10" s="1296" t="s">
        <v>1209</v>
      </c>
      <c r="D10" s="1718"/>
      <c r="E10" s="1718"/>
      <c r="G10" s="1718"/>
      <c r="H10" s="1721"/>
      <c r="I10" s="1718"/>
      <c r="J10" s="1718"/>
      <c r="K10" s="1722"/>
      <c r="L10" s="1718"/>
    </row>
    <row r="11" spans="1:12">
      <c r="A11" s="1718" t="s">
        <v>1022</v>
      </c>
      <c r="D11" s="1718"/>
      <c r="E11" s="1718"/>
      <c r="G11" s="1718"/>
      <c r="H11" s="1721"/>
      <c r="I11" s="1718"/>
      <c r="J11" s="1718"/>
      <c r="K11" s="1722"/>
      <c r="L11" s="1718"/>
    </row>
    <row r="12" spans="1:12" ht="61.5" customHeight="1">
      <c r="A12" s="1724" t="s">
        <v>1</v>
      </c>
      <c r="B12" s="1724" t="s">
        <v>20</v>
      </c>
      <c r="C12" s="1724" t="s">
        <v>1023</v>
      </c>
      <c r="D12" s="1724" t="s">
        <v>810</v>
      </c>
      <c r="E12" s="1724" t="s">
        <v>7</v>
      </c>
      <c r="F12" s="1724" t="s">
        <v>1024</v>
      </c>
      <c r="G12" s="1724" t="s">
        <v>361</v>
      </c>
      <c r="H12" s="1725" t="s">
        <v>47</v>
      </c>
      <c r="I12" s="1724" t="s">
        <v>1025</v>
      </c>
      <c r="J12" s="1724" t="s">
        <v>1026</v>
      </c>
      <c r="K12" s="1724" t="s">
        <v>1027</v>
      </c>
      <c r="L12" s="1727" t="s">
        <v>9</v>
      </c>
    </row>
    <row r="13" spans="1:12" ht="15.75" customHeight="1">
      <c r="A13" s="1728">
        <v>1</v>
      </c>
      <c r="B13" s="1726">
        <v>2</v>
      </c>
      <c r="C13" s="1726">
        <v>3</v>
      </c>
      <c r="D13" s="1728">
        <v>4</v>
      </c>
      <c r="E13" s="1728">
        <v>5</v>
      </c>
      <c r="F13" s="1728">
        <v>6</v>
      </c>
      <c r="G13" s="1728">
        <v>7</v>
      </c>
      <c r="H13" s="1729" t="s">
        <v>1211</v>
      </c>
      <c r="I13" s="1728">
        <v>9</v>
      </c>
      <c r="J13" s="1728">
        <v>9</v>
      </c>
      <c r="K13" s="1728" t="s">
        <v>1029</v>
      </c>
      <c r="L13" s="1730"/>
    </row>
    <row r="14" spans="1:12" ht="12" customHeight="1">
      <c r="A14" s="1731">
        <v>1</v>
      </c>
      <c r="B14" s="1732" t="str">
        <f>'Chấm công công nhân'!L13</f>
        <v>Vắt Đi</v>
      </c>
      <c r="C14" s="1726" t="s">
        <v>1593</v>
      </c>
      <c r="D14" s="4365" t="s">
        <v>204</v>
      </c>
      <c r="E14" s="1728" t="s">
        <v>1030</v>
      </c>
      <c r="F14" s="1728"/>
      <c r="G14" s="1729">
        <v>1.25</v>
      </c>
      <c r="H14" s="1729">
        <f>F14/G14</f>
        <v>0</v>
      </c>
      <c r="I14" s="1733">
        <v>25000</v>
      </c>
      <c r="J14" s="1728"/>
      <c r="K14" s="1733">
        <f>I14*H14</f>
        <v>0</v>
      </c>
      <c r="L14" s="1730"/>
    </row>
    <row r="15" spans="1:12" ht="12" customHeight="1">
      <c r="A15" s="1731">
        <v>2</v>
      </c>
      <c r="B15" s="1732" t="str">
        <f>'Chấm công công nhân'!L14</f>
        <v>T Ô Vên</v>
      </c>
      <c r="C15" s="1726" t="s">
        <v>1593</v>
      </c>
      <c r="D15" s="4635"/>
      <c r="E15" s="1728" t="s">
        <v>1030</v>
      </c>
      <c r="F15" s="1728"/>
      <c r="G15" s="1729">
        <v>1.25</v>
      </c>
      <c r="H15" s="1729">
        <f t="shared" ref="H15:H49" si="0">F15/G15</f>
        <v>0</v>
      </c>
      <c r="I15" s="1733">
        <v>25000</v>
      </c>
      <c r="J15" s="1731"/>
      <c r="K15" s="1733">
        <f t="shared" ref="K15:K49" si="1">I15*H15</f>
        <v>0</v>
      </c>
      <c r="L15" s="1730"/>
    </row>
    <row r="16" spans="1:12" ht="12" customHeight="1">
      <c r="A16" s="1731">
        <v>3</v>
      </c>
      <c r="B16" s="1732" t="str">
        <f>'Chấm công công nhân'!L15</f>
        <v>Nàng Túc</v>
      </c>
      <c r="C16" s="1726" t="s">
        <v>1593</v>
      </c>
      <c r="D16" s="4635"/>
      <c r="E16" s="1728" t="s">
        <v>1030</v>
      </c>
      <c r="F16" s="1728"/>
      <c r="G16" s="1729">
        <v>1.25</v>
      </c>
      <c r="H16" s="1729">
        <f t="shared" si="0"/>
        <v>0</v>
      </c>
      <c r="I16" s="1733">
        <v>25000</v>
      </c>
      <c r="J16" s="1731"/>
      <c r="K16" s="1733">
        <f t="shared" si="1"/>
        <v>0</v>
      </c>
      <c r="L16" s="1730"/>
    </row>
    <row r="17" spans="1:12" ht="12" customHeight="1">
      <c r="A17" s="1731">
        <v>4</v>
      </c>
      <c r="B17" s="1732" t="str">
        <f>'Chấm công công nhân'!L16</f>
        <v>Thảo Say</v>
      </c>
      <c r="C17" s="1726" t="s">
        <v>1593</v>
      </c>
      <c r="D17" s="4635"/>
      <c r="E17" s="1728" t="s">
        <v>1030</v>
      </c>
      <c r="F17" s="1728"/>
      <c r="G17" s="1729">
        <v>1.25</v>
      </c>
      <c r="H17" s="1729">
        <f t="shared" si="0"/>
        <v>0</v>
      </c>
      <c r="I17" s="1733">
        <v>25000</v>
      </c>
      <c r="J17" s="1731"/>
      <c r="K17" s="1733">
        <f t="shared" si="1"/>
        <v>0</v>
      </c>
      <c r="L17" s="1730"/>
    </row>
    <row r="18" spans="1:12" ht="12" customHeight="1">
      <c r="A18" s="1731">
        <v>5</v>
      </c>
      <c r="B18" s="1732" t="str">
        <f>'Chấm công công nhân'!L17</f>
        <v>Thảo Pheng</v>
      </c>
      <c r="C18" s="1726" t="s">
        <v>1593</v>
      </c>
      <c r="D18" s="4635"/>
      <c r="E18" s="1728" t="s">
        <v>1030</v>
      </c>
      <c r="F18" s="1728"/>
      <c r="G18" s="1729">
        <v>1.25</v>
      </c>
      <c r="H18" s="1729">
        <f t="shared" si="0"/>
        <v>0</v>
      </c>
      <c r="I18" s="1733">
        <v>25000</v>
      </c>
      <c r="J18" s="1728"/>
      <c r="K18" s="1733">
        <f t="shared" si="1"/>
        <v>0</v>
      </c>
      <c r="L18" s="1730"/>
    </row>
    <row r="19" spans="1:12" ht="12" customHeight="1">
      <c r="A19" s="1731">
        <v>6</v>
      </c>
      <c r="B19" s="1732" t="str">
        <f>'Chấm công công nhân'!L18</f>
        <v>Nàng Chay</v>
      </c>
      <c r="C19" s="1726" t="s">
        <v>1593</v>
      </c>
      <c r="D19" s="4635"/>
      <c r="E19" s="1728" t="s">
        <v>1030</v>
      </c>
      <c r="F19" s="1728"/>
      <c r="G19" s="1729">
        <v>1.25</v>
      </c>
      <c r="H19" s="1729">
        <f t="shared" si="0"/>
        <v>0</v>
      </c>
      <c r="I19" s="1733">
        <v>25000</v>
      </c>
      <c r="J19" s="1728"/>
      <c r="K19" s="1733">
        <f t="shared" si="1"/>
        <v>0</v>
      </c>
      <c r="L19" s="1730"/>
    </row>
    <row r="20" spans="1:12" ht="12" customHeight="1">
      <c r="A20" s="1731">
        <v>7</v>
      </c>
      <c r="B20" s="1732" t="str">
        <f>'Chấm công công nhân'!L19</f>
        <v>Nàng Hđao</v>
      </c>
      <c r="C20" s="1726" t="s">
        <v>1593</v>
      </c>
      <c r="D20" s="4635"/>
      <c r="E20" s="1728" t="s">
        <v>1030</v>
      </c>
      <c r="F20" s="1728"/>
      <c r="G20" s="1729">
        <v>1.25</v>
      </c>
      <c r="H20" s="1729">
        <f t="shared" si="0"/>
        <v>0</v>
      </c>
      <c r="I20" s="1733">
        <v>25000</v>
      </c>
      <c r="J20" s="1731"/>
      <c r="K20" s="1733">
        <f t="shared" si="1"/>
        <v>0</v>
      </c>
      <c r="L20" s="1730"/>
    </row>
    <row r="21" spans="1:12" ht="12" customHeight="1">
      <c r="A21" s="1731">
        <v>8</v>
      </c>
      <c r="B21" s="1732" t="str">
        <f>'Chấm công công nhân'!L20</f>
        <v xml:space="preserve">Thảo Ken </v>
      </c>
      <c r="C21" s="1726" t="s">
        <v>1593</v>
      </c>
      <c r="D21" s="4635"/>
      <c r="E21" s="1728" t="s">
        <v>1030</v>
      </c>
      <c r="F21" s="1728"/>
      <c r="G21" s="1729">
        <v>1.25</v>
      </c>
      <c r="H21" s="1729">
        <f t="shared" si="0"/>
        <v>0</v>
      </c>
      <c r="I21" s="1733">
        <v>25000</v>
      </c>
      <c r="J21" s="1731"/>
      <c r="K21" s="1733">
        <f t="shared" si="1"/>
        <v>0</v>
      </c>
      <c r="L21" s="1730"/>
    </row>
    <row r="22" spans="1:12" ht="12" customHeight="1">
      <c r="A22" s="1731">
        <v>9</v>
      </c>
      <c r="B22" s="1732" t="str">
        <f>'Chấm công công nhân'!L21</f>
        <v>Thảo Cợt</v>
      </c>
      <c r="C22" s="1726" t="s">
        <v>1593</v>
      </c>
      <c r="D22" s="4635"/>
      <c r="E22" s="1728" t="s">
        <v>1030</v>
      </c>
      <c r="F22" s="1728"/>
      <c r="G22" s="1729">
        <v>1.25</v>
      </c>
      <c r="H22" s="1729">
        <f t="shared" si="0"/>
        <v>0</v>
      </c>
      <c r="I22" s="1733">
        <v>25000</v>
      </c>
      <c r="J22" s="1731"/>
      <c r="K22" s="1733">
        <f t="shared" si="1"/>
        <v>0</v>
      </c>
      <c r="L22" s="1730"/>
    </row>
    <row r="23" spans="1:12" ht="12" customHeight="1">
      <c r="A23" s="1731">
        <v>10</v>
      </c>
      <c r="B23" s="1732" t="str">
        <f>'Chấm công công nhân'!L22</f>
        <v>Thảo Mi</v>
      </c>
      <c r="C23" s="1726" t="s">
        <v>1593</v>
      </c>
      <c r="D23" s="4635"/>
      <c r="E23" s="1728" t="s">
        <v>1030</v>
      </c>
      <c r="F23" s="1728"/>
      <c r="G23" s="1729">
        <v>1.25</v>
      </c>
      <c r="H23" s="1729">
        <f t="shared" si="0"/>
        <v>0</v>
      </c>
      <c r="I23" s="1733">
        <v>25000</v>
      </c>
      <c r="J23" s="1728"/>
      <c r="K23" s="1733">
        <f t="shared" si="1"/>
        <v>0</v>
      </c>
      <c r="L23" s="1730"/>
    </row>
    <row r="24" spans="1:12" ht="12" customHeight="1">
      <c r="A24" s="1731">
        <v>11</v>
      </c>
      <c r="B24" s="1732" t="str">
        <f>'Chấm công công nhân'!L23</f>
        <v>Thảo Phét</v>
      </c>
      <c r="C24" s="1726" t="s">
        <v>1593</v>
      </c>
      <c r="D24" s="4635"/>
      <c r="E24" s="1728" t="s">
        <v>1030</v>
      </c>
      <c r="F24" s="1728"/>
      <c r="G24" s="1729">
        <v>1.25</v>
      </c>
      <c r="H24" s="1729">
        <f t="shared" si="0"/>
        <v>0</v>
      </c>
      <c r="I24" s="1733">
        <v>25000</v>
      </c>
      <c r="J24" s="1728"/>
      <c r="K24" s="1733">
        <f t="shared" si="1"/>
        <v>0</v>
      </c>
      <c r="L24" s="1730"/>
    </row>
    <row r="25" spans="1:12" ht="12" customHeight="1">
      <c r="A25" s="1731">
        <v>12</v>
      </c>
      <c r="B25" s="1732" t="str">
        <f>'Chấm công công nhân'!L24</f>
        <v>Thảo Hăm</v>
      </c>
      <c r="C25" s="1726" t="s">
        <v>1593</v>
      </c>
      <c r="D25" s="4635"/>
      <c r="E25" s="1728" t="s">
        <v>1030</v>
      </c>
      <c r="F25" s="1728"/>
      <c r="G25" s="1729">
        <v>1.25</v>
      </c>
      <c r="H25" s="1729">
        <f t="shared" si="0"/>
        <v>0</v>
      </c>
      <c r="I25" s="1733">
        <v>25000</v>
      </c>
      <c r="J25" s="1731"/>
      <c r="K25" s="1733">
        <f t="shared" si="1"/>
        <v>0</v>
      </c>
      <c r="L25" s="1730"/>
    </row>
    <row r="26" spans="1:12" ht="12" customHeight="1">
      <c r="A26" s="1731">
        <v>13</v>
      </c>
      <c r="B26" s="1732" t="str">
        <f>'Chấm công công nhân'!L25</f>
        <v>Nang Lon</v>
      </c>
      <c r="C26" s="1726" t="s">
        <v>1593</v>
      </c>
      <c r="D26" s="4635"/>
      <c r="E26" s="1728" t="s">
        <v>1030</v>
      </c>
      <c r="F26" s="1728"/>
      <c r="G26" s="1729">
        <v>1.25</v>
      </c>
      <c r="H26" s="1729">
        <f t="shared" si="0"/>
        <v>0</v>
      </c>
      <c r="I26" s="1733">
        <v>25000</v>
      </c>
      <c r="J26" s="1731"/>
      <c r="K26" s="1733">
        <f t="shared" si="1"/>
        <v>0</v>
      </c>
      <c r="L26" s="1730"/>
    </row>
    <row r="27" spans="1:12" ht="12" customHeight="1">
      <c r="A27" s="1731">
        <v>14</v>
      </c>
      <c r="B27" s="1732" t="str">
        <f>'Chấm công công nhân'!L26</f>
        <v>Thảo Phết</v>
      </c>
      <c r="C27" s="1726" t="s">
        <v>1593</v>
      </c>
      <c r="D27" s="4635"/>
      <c r="E27" s="1728" t="s">
        <v>1030</v>
      </c>
      <c r="F27" s="1728"/>
      <c r="G27" s="1729">
        <v>1.25</v>
      </c>
      <c r="H27" s="1729">
        <f t="shared" si="0"/>
        <v>0</v>
      </c>
      <c r="I27" s="1733">
        <v>25000</v>
      </c>
      <c r="J27" s="1731"/>
      <c r="K27" s="1733">
        <f t="shared" si="1"/>
        <v>0</v>
      </c>
      <c r="L27" s="1730"/>
    </row>
    <row r="28" spans="1:12" ht="12" customHeight="1">
      <c r="A28" s="1731">
        <v>15</v>
      </c>
      <c r="B28" s="1732" t="str">
        <f>'Chấm công công nhân'!L27</f>
        <v>Vĩ Lay</v>
      </c>
      <c r="C28" s="1726" t="s">
        <v>1593</v>
      </c>
      <c r="D28" s="4635"/>
      <c r="E28" s="1728" t="s">
        <v>1030</v>
      </c>
      <c r="F28" s="1728"/>
      <c r="G28" s="1729">
        <v>1.25</v>
      </c>
      <c r="H28" s="1729">
        <f t="shared" si="0"/>
        <v>0</v>
      </c>
      <c r="I28" s="1733">
        <v>25000</v>
      </c>
      <c r="J28" s="1728"/>
      <c r="K28" s="1733">
        <f t="shared" si="1"/>
        <v>0</v>
      </c>
      <c r="L28" s="1730"/>
    </row>
    <row r="29" spans="1:12" ht="12" customHeight="1">
      <c r="A29" s="1731">
        <v>16</v>
      </c>
      <c r="B29" s="1732" t="str">
        <f>'Chấm công công nhân'!L28</f>
        <v>Pha Xúc</v>
      </c>
      <c r="C29" s="1726" t="s">
        <v>1593</v>
      </c>
      <c r="D29" s="4635"/>
      <c r="E29" s="1728" t="s">
        <v>1030</v>
      </c>
      <c r="F29" s="1728"/>
      <c r="G29" s="1729">
        <v>1.25</v>
      </c>
      <c r="H29" s="1729">
        <f t="shared" si="0"/>
        <v>0</v>
      </c>
      <c r="I29" s="1733">
        <v>25000</v>
      </c>
      <c r="J29" s="1728"/>
      <c r="K29" s="1733">
        <f t="shared" si="1"/>
        <v>0</v>
      </c>
      <c r="L29" s="1730"/>
    </row>
    <row r="30" spans="1:12" ht="12" customHeight="1">
      <c r="A30" s="1731">
        <v>17</v>
      </c>
      <c r="B30" s="1732" t="str">
        <f>'Chấm công công nhân'!L29</f>
        <v>Nàng Đao</v>
      </c>
      <c r="C30" s="1726" t="s">
        <v>1593</v>
      </c>
      <c r="D30" s="4635"/>
      <c r="E30" s="1728" t="s">
        <v>1030</v>
      </c>
      <c r="F30" s="1728"/>
      <c r="G30" s="1729">
        <v>1.25</v>
      </c>
      <c r="H30" s="1729">
        <f t="shared" si="0"/>
        <v>0</v>
      </c>
      <c r="I30" s="1733">
        <v>25000</v>
      </c>
      <c r="J30" s="1731"/>
      <c r="K30" s="1733">
        <f t="shared" si="1"/>
        <v>0</v>
      </c>
      <c r="L30" s="1730"/>
    </row>
    <row r="31" spans="1:12" ht="12" customHeight="1">
      <c r="A31" s="1731">
        <v>18</v>
      </c>
      <c r="B31" s="1732" t="str">
        <f>'Chấm công công nhân'!L30</f>
        <v>Nàng Kiên</v>
      </c>
      <c r="C31" s="1726" t="s">
        <v>1593</v>
      </c>
      <c r="D31" s="4635"/>
      <c r="E31" s="1728" t="s">
        <v>1030</v>
      </c>
      <c r="F31" s="1728"/>
      <c r="G31" s="1729">
        <v>1.25</v>
      </c>
      <c r="H31" s="1729">
        <f t="shared" si="0"/>
        <v>0</v>
      </c>
      <c r="I31" s="1733">
        <v>25000</v>
      </c>
      <c r="J31" s="1731"/>
      <c r="K31" s="1733">
        <f t="shared" si="1"/>
        <v>0</v>
      </c>
      <c r="L31" s="1730"/>
    </row>
    <row r="32" spans="1:12" ht="12" customHeight="1">
      <c r="A32" s="1731">
        <v>19</v>
      </c>
      <c r="B32" s="1732" t="str">
        <f>'Chấm công công nhân'!L31</f>
        <v>Nàng Túc 2</v>
      </c>
      <c r="C32" s="1726" t="s">
        <v>1593</v>
      </c>
      <c r="D32" s="4635"/>
      <c r="E32" s="1728" t="s">
        <v>1030</v>
      </c>
      <c r="F32" s="1728"/>
      <c r="G32" s="1729">
        <v>1.25</v>
      </c>
      <c r="H32" s="1729">
        <f t="shared" si="0"/>
        <v>0</v>
      </c>
      <c r="I32" s="1733">
        <v>25000</v>
      </c>
      <c r="J32" s="1731"/>
      <c r="K32" s="1733">
        <f t="shared" si="1"/>
        <v>0</v>
      </c>
      <c r="L32" s="1730"/>
    </row>
    <row r="33" spans="1:12" ht="12" customHeight="1">
      <c r="A33" s="1731">
        <v>20</v>
      </c>
      <c r="B33" s="1732" t="str">
        <f>'Chấm công công nhân'!L32</f>
        <v>Nàng Phon</v>
      </c>
      <c r="C33" s="1726" t="s">
        <v>1593</v>
      </c>
      <c r="D33" s="4635"/>
      <c r="E33" s="1728" t="s">
        <v>1030</v>
      </c>
      <c r="F33" s="1728"/>
      <c r="G33" s="1729">
        <v>1.25</v>
      </c>
      <c r="H33" s="1729">
        <f t="shared" si="0"/>
        <v>0</v>
      </c>
      <c r="I33" s="1733">
        <v>25000</v>
      </c>
      <c r="J33" s="1728"/>
      <c r="K33" s="1733">
        <f t="shared" si="1"/>
        <v>0</v>
      </c>
      <c r="L33" s="1730"/>
    </row>
    <row r="34" spans="1:12" ht="12" customHeight="1">
      <c r="A34" s="1731">
        <v>21</v>
      </c>
      <c r="B34" s="1732" t="str">
        <f>'Chấm công công nhân'!L33</f>
        <v>Thảo Chòi</v>
      </c>
      <c r="C34" s="1726" t="s">
        <v>1593</v>
      </c>
      <c r="D34" s="4635"/>
      <c r="E34" s="1728" t="s">
        <v>1030</v>
      </c>
      <c r="F34" s="1728"/>
      <c r="G34" s="1729">
        <v>1.25</v>
      </c>
      <c r="H34" s="1729">
        <f t="shared" si="0"/>
        <v>0</v>
      </c>
      <c r="I34" s="1733">
        <v>25000</v>
      </c>
      <c r="J34" s="1728"/>
      <c r="K34" s="1733">
        <f t="shared" si="1"/>
        <v>0</v>
      </c>
      <c r="L34" s="1730"/>
    </row>
    <row r="35" spans="1:12" ht="12" customHeight="1">
      <c r="A35" s="1731">
        <v>22</v>
      </c>
      <c r="B35" s="1732" t="str">
        <f>'Chấm công công nhân'!L34</f>
        <v>Thong La</v>
      </c>
      <c r="C35" s="1726" t="s">
        <v>1593</v>
      </c>
      <c r="D35" s="4635"/>
      <c r="E35" s="1728" t="s">
        <v>1030</v>
      </c>
      <c r="F35" s="1728"/>
      <c r="G35" s="1729">
        <v>1.25</v>
      </c>
      <c r="H35" s="1729">
        <f t="shared" si="0"/>
        <v>0</v>
      </c>
      <c r="I35" s="1733">
        <v>25000</v>
      </c>
      <c r="J35" s="1731"/>
      <c r="K35" s="1733">
        <f t="shared" si="1"/>
        <v>0</v>
      </c>
      <c r="L35" s="1730"/>
    </row>
    <row r="36" spans="1:12" ht="12" customHeight="1">
      <c r="A36" s="1731">
        <v>23</v>
      </c>
      <c r="B36" s="1732" t="str">
        <f>'Chấm công công nhân'!L35</f>
        <v>Thảo kok</v>
      </c>
      <c r="C36" s="1726" t="s">
        <v>1593</v>
      </c>
      <c r="D36" s="4635"/>
      <c r="E36" s="1728" t="s">
        <v>1030</v>
      </c>
      <c r="F36" s="1728"/>
      <c r="G36" s="1729">
        <v>1.25</v>
      </c>
      <c r="H36" s="1729">
        <f t="shared" si="0"/>
        <v>0</v>
      </c>
      <c r="I36" s="1733">
        <v>25000</v>
      </c>
      <c r="J36" s="1731"/>
      <c r="K36" s="1733">
        <f t="shared" si="1"/>
        <v>0</v>
      </c>
      <c r="L36" s="1730"/>
    </row>
    <row r="37" spans="1:12" ht="12" customHeight="1">
      <c r="A37" s="1731">
        <v>24</v>
      </c>
      <c r="B37" s="1732" t="str">
        <f>'Chấm công công nhân'!L36</f>
        <v>Thảo Hôm</v>
      </c>
      <c r="C37" s="1726" t="s">
        <v>1593</v>
      </c>
      <c r="D37" s="4635"/>
      <c r="E37" s="1728" t="s">
        <v>1030</v>
      </c>
      <c r="F37" s="1728"/>
      <c r="G37" s="1729">
        <v>1.25</v>
      </c>
      <c r="H37" s="1729">
        <f t="shared" si="0"/>
        <v>0</v>
      </c>
      <c r="I37" s="1733">
        <v>25000</v>
      </c>
      <c r="J37" s="1731"/>
      <c r="K37" s="1733">
        <f t="shared" si="1"/>
        <v>0</v>
      </c>
      <c r="L37" s="1730"/>
    </row>
    <row r="38" spans="1:12" ht="12" customHeight="1">
      <c r="A38" s="1731">
        <v>25</v>
      </c>
      <c r="B38" s="1732" t="str">
        <f>'Chấm công công nhân'!L37</f>
        <v>Nàng Lam</v>
      </c>
      <c r="C38" s="1726" t="s">
        <v>1593</v>
      </c>
      <c r="D38" s="4635"/>
      <c r="E38" s="1728" t="s">
        <v>1030</v>
      </c>
      <c r="F38" s="1728"/>
      <c r="G38" s="1729">
        <v>1.25</v>
      </c>
      <c r="H38" s="1729">
        <f t="shared" si="0"/>
        <v>0</v>
      </c>
      <c r="I38" s="1733">
        <v>25000</v>
      </c>
      <c r="J38" s="1728"/>
      <c r="K38" s="1733">
        <f t="shared" si="1"/>
        <v>0</v>
      </c>
      <c r="L38" s="1730"/>
    </row>
    <row r="39" spans="1:12" ht="12" customHeight="1">
      <c r="A39" s="1731">
        <v>26</v>
      </c>
      <c r="B39" s="1732" t="str">
        <f>'Chấm công công nhân'!L38</f>
        <v>Thảo Hơ Phơ</v>
      </c>
      <c r="C39" s="1726" t="s">
        <v>1593</v>
      </c>
      <c r="D39" s="4635"/>
      <c r="E39" s="1728" t="s">
        <v>1030</v>
      </c>
      <c r="F39" s="1728"/>
      <c r="G39" s="1729">
        <v>1.25</v>
      </c>
      <c r="H39" s="1729">
        <f t="shared" si="0"/>
        <v>0</v>
      </c>
      <c r="I39" s="1733">
        <v>25000</v>
      </c>
      <c r="J39" s="1728"/>
      <c r="K39" s="1733">
        <f t="shared" si="1"/>
        <v>0</v>
      </c>
      <c r="L39" s="1730"/>
    </row>
    <row r="40" spans="1:12" ht="12" customHeight="1">
      <c r="A40" s="1731">
        <v>27</v>
      </c>
      <c r="B40" s="1732" t="str">
        <f>'Chấm công công nhân'!L39</f>
        <v>Thảo Lay</v>
      </c>
      <c r="C40" s="1726" t="s">
        <v>1593</v>
      </c>
      <c r="D40" s="4635"/>
      <c r="E40" s="1728" t="s">
        <v>1030</v>
      </c>
      <c r="F40" s="1728"/>
      <c r="G40" s="1729">
        <v>1.25</v>
      </c>
      <c r="H40" s="1729">
        <f t="shared" si="0"/>
        <v>0</v>
      </c>
      <c r="I40" s="1733">
        <v>25000</v>
      </c>
      <c r="J40" s="1731"/>
      <c r="K40" s="1733">
        <f t="shared" si="1"/>
        <v>0</v>
      </c>
      <c r="L40" s="1730"/>
    </row>
    <row r="41" spans="1:12" ht="12" customHeight="1">
      <c r="A41" s="1731">
        <v>28</v>
      </c>
      <c r="B41" s="1732" t="str">
        <f>'Chấm công công nhân'!L40</f>
        <v>Thảo Khốc</v>
      </c>
      <c r="C41" s="1726" t="s">
        <v>1593</v>
      </c>
      <c r="D41" s="4635"/>
      <c r="E41" s="1728" t="s">
        <v>1030</v>
      </c>
      <c r="F41" s="1728"/>
      <c r="G41" s="1729">
        <v>1.25</v>
      </c>
      <c r="H41" s="1729">
        <f t="shared" si="0"/>
        <v>0</v>
      </c>
      <c r="I41" s="1733">
        <v>25000</v>
      </c>
      <c r="J41" s="1731"/>
      <c r="K41" s="1733">
        <f t="shared" si="1"/>
        <v>0</v>
      </c>
      <c r="L41" s="1730"/>
    </row>
    <row r="42" spans="1:12" ht="12" customHeight="1">
      <c r="A42" s="1731">
        <v>29</v>
      </c>
      <c r="B42" s="1732" t="str">
        <f>'Chấm công công nhân'!L41</f>
        <v>Thảo Sợt</v>
      </c>
      <c r="C42" s="1726" t="s">
        <v>1593</v>
      </c>
      <c r="D42" s="4635"/>
      <c r="E42" s="1728" t="s">
        <v>1030</v>
      </c>
      <c r="F42" s="1728"/>
      <c r="G42" s="1729">
        <v>1.25</v>
      </c>
      <c r="H42" s="1729">
        <f t="shared" si="0"/>
        <v>0</v>
      </c>
      <c r="I42" s="1733">
        <v>25000</v>
      </c>
      <c r="J42" s="1731"/>
      <c r="K42" s="1733">
        <f t="shared" si="1"/>
        <v>0</v>
      </c>
      <c r="L42" s="1730"/>
    </row>
    <row r="43" spans="1:12" ht="13.5" customHeight="1">
      <c r="A43" s="1731">
        <v>30</v>
      </c>
      <c r="B43" s="1732" t="str">
        <f>'Chấm công công nhân'!L42</f>
        <v>Thảo Văn</v>
      </c>
      <c r="C43" s="1726" t="s">
        <v>1593</v>
      </c>
      <c r="D43" s="4635"/>
      <c r="E43" s="1728" t="s">
        <v>1030</v>
      </c>
      <c r="F43" s="1728"/>
      <c r="G43" s="1729">
        <v>1.25</v>
      </c>
      <c r="H43" s="1729">
        <f t="shared" si="0"/>
        <v>0</v>
      </c>
      <c r="I43" s="1733">
        <v>25000</v>
      </c>
      <c r="J43" s="1728"/>
      <c r="K43" s="1733">
        <f t="shared" si="1"/>
        <v>0</v>
      </c>
      <c r="L43" s="1730"/>
    </row>
    <row r="44" spans="1:12" ht="12" customHeight="1">
      <c r="A44" s="1731">
        <v>31</v>
      </c>
      <c r="B44" s="1732" t="str">
        <f>'Chấm công công nhân'!L43</f>
        <v>Thảo Thong</v>
      </c>
      <c r="C44" s="1726" t="s">
        <v>1593</v>
      </c>
      <c r="D44" s="4635"/>
      <c r="E44" s="1728" t="s">
        <v>1030</v>
      </c>
      <c r="F44" s="1728"/>
      <c r="G44" s="1729">
        <v>1.25</v>
      </c>
      <c r="H44" s="1729">
        <f t="shared" si="0"/>
        <v>0</v>
      </c>
      <c r="I44" s="1733">
        <v>25000</v>
      </c>
      <c r="J44" s="1728"/>
      <c r="K44" s="1733">
        <f t="shared" si="1"/>
        <v>0</v>
      </c>
      <c r="L44" s="1730"/>
    </row>
    <row r="45" spans="1:12" ht="12" customHeight="1">
      <c r="A45" s="1731">
        <v>32</v>
      </c>
      <c r="B45" s="1732" t="str">
        <f>'Chấm công công nhân'!L44</f>
        <v xml:space="preserve"> Nàng Ngột</v>
      </c>
      <c r="C45" s="1726" t="s">
        <v>1593</v>
      </c>
      <c r="D45" s="4635"/>
      <c r="E45" s="1728" t="s">
        <v>1030</v>
      </c>
      <c r="F45" s="1728"/>
      <c r="G45" s="1729">
        <v>1.25</v>
      </c>
      <c r="H45" s="1729">
        <f t="shared" si="0"/>
        <v>0</v>
      </c>
      <c r="I45" s="1733">
        <v>25000</v>
      </c>
      <c r="J45" s="1728"/>
      <c r="K45" s="1733">
        <f t="shared" si="1"/>
        <v>0</v>
      </c>
      <c r="L45" s="1730"/>
    </row>
    <row r="46" spans="1:12" ht="12" customHeight="1">
      <c r="A46" s="1731">
        <v>33</v>
      </c>
      <c r="B46" s="1732" t="str">
        <f>'Chấm công công nhân'!L45</f>
        <v>Nàng Chon</v>
      </c>
      <c r="C46" s="1726" t="s">
        <v>1593</v>
      </c>
      <c r="D46" s="4635"/>
      <c r="E46" s="1728" t="s">
        <v>1030</v>
      </c>
      <c r="F46" s="1728"/>
      <c r="G46" s="1729">
        <v>1.25</v>
      </c>
      <c r="H46" s="1729">
        <f t="shared" si="0"/>
        <v>0</v>
      </c>
      <c r="I46" s="1733">
        <v>25000</v>
      </c>
      <c r="J46" s="1728"/>
      <c r="K46" s="1733">
        <f t="shared" si="1"/>
        <v>0</v>
      </c>
      <c r="L46" s="1730"/>
    </row>
    <row r="47" spans="1:12" ht="12" customHeight="1">
      <c r="A47" s="1731">
        <v>34</v>
      </c>
      <c r="B47" s="1732" t="str">
        <f>'Chấm công công nhân'!L46</f>
        <v>Bun han</v>
      </c>
      <c r="C47" s="1726" t="s">
        <v>1593</v>
      </c>
      <c r="D47" s="4635"/>
      <c r="E47" s="1728" t="s">
        <v>1030</v>
      </c>
      <c r="F47" s="1728"/>
      <c r="G47" s="1729">
        <v>1.25</v>
      </c>
      <c r="H47" s="1729">
        <f t="shared" si="0"/>
        <v>0</v>
      </c>
      <c r="I47" s="1733">
        <v>25000</v>
      </c>
      <c r="J47" s="1728"/>
      <c r="K47" s="1733">
        <f t="shared" si="1"/>
        <v>0</v>
      </c>
      <c r="L47" s="1730"/>
    </row>
    <row r="48" spans="1:12" ht="12" customHeight="1">
      <c r="A48" s="1731">
        <v>35</v>
      </c>
      <c r="B48" s="1732" t="str">
        <f>'Chấm công công nhân'!L47</f>
        <v>Hăn</v>
      </c>
      <c r="C48" s="1726" t="s">
        <v>1593</v>
      </c>
      <c r="D48" s="4635"/>
      <c r="E48" s="1728" t="s">
        <v>1030</v>
      </c>
      <c r="F48" s="1728"/>
      <c r="G48" s="1729">
        <v>1.25</v>
      </c>
      <c r="H48" s="1729">
        <f t="shared" si="0"/>
        <v>0</v>
      </c>
      <c r="I48" s="1733">
        <v>25000</v>
      </c>
      <c r="J48" s="1728"/>
      <c r="K48" s="1733">
        <f t="shared" si="1"/>
        <v>0</v>
      </c>
      <c r="L48" s="1730"/>
    </row>
    <row r="49" spans="1:12" ht="12" customHeight="1">
      <c r="A49" s="1731">
        <v>36</v>
      </c>
      <c r="B49" s="1732" t="str">
        <f>'Chấm công công nhân'!L48</f>
        <v>Thảo Tuỳ</v>
      </c>
      <c r="C49" s="1726" t="s">
        <v>1593</v>
      </c>
      <c r="D49" s="4635"/>
      <c r="E49" s="1728" t="s">
        <v>1030</v>
      </c>
      <c r="F49" s="1728"/>
      <c r="G49" s="1729">
        <v>1.25</v>
      </c>
      <c r="H49" s="1729">
        <f t="shared" si="0"/>
        <v>0</v>
      </c>
      <c r="I49" s="1733">
        <v>25000</v>
      </c>
      <c r="J49" s="1728"/>
      <c r="K49" s="1733">
        <f t="shared" si="1"/>
        <v>0</v>
      </c>
      <c r="L49" s="1730"/>
    </row>
    <row r="50" spans="1:12">
      <c r="A50" s="4628"/>
      <c r="B50" s="4628"/>
      <c r="C50" s="4628"/>
      <c r="D50" s="4628"/>
      <c r="E50" s="1730"/>
      <c r="F50" s="1734">
        <f>SUM(F14:F49)</f>
        <v>0</v>
      </c>
      <c r="G50" s="1734"/>
      <c r="H50" s="3093">
        <f>SUM(H14:H49)</f>
        <v>0</v>
      </c>
      <c r="I50" s="1734"/>
      <c r="J50" s="1734">
        <f>SUM(J14:J49)</f>
        <v>0</v>
      </c>
      <c r="K50" s="1736">
        <f>SUM(K14:K49)</f>
        <v>0</v>
      </c>
      <c r="L50" s="1734"/>
    </row>
    <row r="51" spans="1:12" ht="15.75">
      <c r="A51" s="1737" t="s">
        <v>1031</v>
      </c>
      <c r="B51" s="1738"/>
    </row>
    <row r="52" spans="1:12" ht="15.75">
      <c r="A52" s="1739" t="s">
        <v>1032</v>
      </c>
      <c r="B52" s="1740"/>
    </row>
    <row r="53" spans="1:12" ht="15.75">
      <c r="A53" s="1739" t="s">
        <v>1033</v>
      </c>
      <c r="B53" s="1740"/>
    </row>
    <row r="54" spans="1:12" ht="15.75">
      <c r="B54" s="3671" t="s">
        <v>162</v>
      </c>
      <c r="C54" s="3671"/>
      <c r="D54" s="1741"/>
      <c r="E54" s="1741"/>
      <c r="F54" s="1742" t="s">
        <v>1034</v>
      </c>
      <c r="I54" s="1742"/>
      <c r="J54" s="1742"/>
    </row>
    <row r="58" spans="1:12">
      <c r="B58" s="4629"/>
      <c r="C58" s="4629"/>
    </row>
  </sheetData>
  <mergeCells count="10">
    <mergeCell ref="A50:D50"/>
    <mergeCell ref="B54:C54"/>
    <mergeCell ref="B58:C58"/>
    <mergeCell ref="A1:L1"/>
    <mergeCell ref="A2:L2"/>
    <mergeCell ref="A3:G3"/>
    <mergeCell ref="A4:G4"/>
    <mergeCell ref="B6:L6"/>
    <mergeCell ref="D14:D49"/>
    <mergeCell ref="B5:K5"/>
  </mergeCells>
  <pageMargins left="0.7" right="0.7" top="0.44" bottom="0.41" header="0.3" footer="0.3"/>
  <pageSetup paperSize="9" orientation="portrait" r:id="rId1"/>
  <legacy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7"/>
  <sheetViews>
    <sheetView topLeftCell="A4" workbookViewId="0">
      <selection activeCell="F14" sqref="F14:F28"/>
    </sheetView>
  </sheetViews>
  <sheetFormatPr defaultRowHeight="14.25"/>
  <cols>
    <col min="1" max="1" width="5.125" customWidth="1"/>
    <col min="2" max="2" width="10.375" style="1716" customWidth="1"/>
    <col min="3" max="3" width="13.125" style="1716" customWidth="1"/>
    <col min="4" max="4" width="5.75" customWidth="1"/>
    <col min="5" max="5" width="4.25" customWidth="1"/>
    <col min="6" max="6" width="4.75" style="1712" customWidth="1"/>
    <col min="7" max="7" width="5.75" customWidth="1"/>
    <col min="8" max="8" width="4.875" style="1714" customWidth="1"/>
    <col min="9" max="9" width="7.125" customWidth="1"/>
    <col min="10" max="10" width="10.875" style="1715" customWidth="1"/>
    <col min="11" max="11" width="8.125" customWidth="1"/>
  </cols>
  <sheetData>
    <row r="1" spans="1:11" ht="15.75">
      <c r="A1" s="3751" t="s">
        <v>165</v>
      </c>
      <c r="B1" s="3751"/>
      <c r="C1" s="3751"/>
      <c r="D1" s="3751"/>
      <c r="E1" s="3751"/>
      <c r="F1" s="3751"/>
      <c r="G1" s="3751"/>
      <c r="H1" s="3751"/>
      <c r="I1" s="3751"/>
      <c r="J1" s="3751"/>
      <c r="K1" s="3751"/>
    </row>
    <row r="2" spans="1:11" ht="15.75">
      <c r="A2" s="4130" t="s">
        <v>1015</v>
      </c>
      <c r="B2" s="4130"/>
      <c r="C2" s="4130"/>
      <c r="D2" s="4130"/>
      <c r="E2" s="4130"/>
      <c r="F2" s="4130"/>
      <c r="G2" s="4130"/>
      <c r="H2" s="4130"/>
      <c r="I2" s="4130"/>
      <c r="J2" s="4130"/>
      <c r="K2" s="4130"/>
    </row>
    <row r="3" spans="1:11" ht="15.75">
      <c r="A3" s="4417" t="s">
        <v>1016</v>
      </c>
      <c r="B3" s="4417"/>
      <c r="C3" s="4417"/>
      <c r="D3" s="4417"/>
      <c r="E3" s="4417"/>
      <c r="F3" s="4417"/>
      <c r="G3" s="4417"/>
      <c r="H3" s="1711"/>
      <c r="I3" s="1712"/>
      <c r="J3" s="1713"/>
      <c r="K3" s="1712"/>
    </row>
    <row r="4" spans="1:11" ht="15.75">
      <c r="A4" s="4130" t="s">
        <v>541</v>
      </c>
      <c r="B4" s="4130"/>
      <c r="C4" s="4130"/>
      <c r="D4" s="4130"/>
      <c r="E4" s="4130"/>
      <c r="F4" s="4130"/>
      <c r="G4" s="4130"/>
    </row>
    <row r="5" spans="1:11" ht="21.75">
      <c r="B5" s="4637" t="s">
        <v>1017</v>
      </c>
      <c r="C5" s="4637"/>
      <c r="D5" s="4637"/>
      <c r="E5" s="4637"/>
      <c r="F5" s="4637"/>
      <c r="G5" s="4637"/>
      <c r="H5" s="4637"/>
      <c r="I5" s="4637"/>
      <c r="J5" s="4637"/>
    </row>
    <row r="6" spans="1:11">
      <c r="A6" s="1718"/>
      <c r="B6" s="4630" t="s">
        <v>1592</v>
      </c>
      <c r="C6" s="4630"/>
      <c r="D6" s="4630"/>
      <c r="E6" s="4630"/>
      <c r="F6" s="4630"/>
      <c r="G6" s="4630"/>
      <c r="H6" s="4630"/>
      <c r="I6" s="4630"/>
      <c r="J6" s="4630"/>
      <c r="K6" s="4630"/>
    </row>
    <row r="7" spans="1:11">
      <c r="A7" s="1718"/>
      <c r="B7" s="1719" t="s">
        <v>1018</v>
      </c>
      <c r="C7" s="1719"/>
      <c r="D7" s="1720"/>
      <c r="E7" s="1720"/>
      <c r="G7" s="1718"/>
      <c r="H7" s="1721"/>
      <c r="I7" s="1718"/>
      <c r="J7" s="1722"/>
      <c r="K7" s="1718"/>
    </row>
    <row r="8" spans="1:11">
      <c r="A8" s="1718"/>
      <c r="B8" s="1719" t="s">
        <v>1273</v>
      </c>
      <c r="C8" s="1719"/>
      <c r="D8" s="1720"/>
      <c r="E8" s="1718"/>
      <c r="G8" s="1718"/>
      <c r="H8" s="1723" t="s">
        <v>1274</v>
      </c>
      <c r="I8" s="1720"/>
      <c r="J8" s="1722"/>
      <c r="K8" s="1718"/>
    </row>
    <row r="9" spans="1:11">
      <c r="A9" s="1718"/>
      <c r="B9" s="1719" t="s">
        <v>1035</v>
      </c>
      <c r="C9" s="1719"/>
      <c r="D9" s="1720"/>
      <c r="E9" s="1718"/>
      <c r="G9" s="1718"/>
      <c r="H9" s="1723" t="s">
        <v>1020</v>
      </c>
      <c r="I9" s="1720"/>
      <c r="J9" s="1722"/>
      <c r="K9" s="1718"/>
    </row>
    <row r="10" spans="1:11">
      <c r="A10" s="1718"/>
      <c r="B10" s="1296" t="s">
        <v>1209</v>
      </c>
      <c r="D10" s="1718"/>
      <c r="E10" s="1718"/>
      <c r="G10" s="1718"/>
      <c r="H10" s="1721"/>
      <c r="I10" s="1718"/>
      <c r="J10" s="1722"/>
      <c r="K10" s="1718"/>
    </row>
    <row r="11" spans="1:11">
      <c r="A11" s="1718" t="s">
        <v>1022</v>
      </c>
      <c r="D11" s="1718"/>
      <c r="E11" s="1718"/>
      <c r="G11" s="1718"/>
      <c r="H11" s="1721"/>
      <c r="I11" s="1718"/>
      <c r="J11" s="1722"/>
      <c r="K11" s="1718"/>
    </row>
    <row r="12" spans="1:11" ht="61.5" customHeight="1">
      <c r="A12" s="1724" t="s">
        <v>1</v>
      </c>
      <c r="B12" s="1724" t="s">
        <v>20</v>
      </c>
      <c r="C12" s="1724" t="s">
        <v>1023</v>
      </c>
      <c r="D12" s="1724" t="s">
        <v>810</v>
      </c>
      <c r="E12" s="1724" t="s">
        <v>7</v>
      </c>
      <c r="F12" s="1724" t="s">
        <v>1024</v>
      </c>
      <c r="G12" s="1724" t="s">
        <v>361</v>
      </c>
      <c r="H12" s="1725" t="s">
        <v>47</v>
      </c>
      <c r="I12" s="1724" t="s">
        <v>1025</v>
      </c>
      <c r="J12" s="1724" t="s">
        <v>1027</v>
      </c>
      <c r="K12" s="1727" t="s">
        <v>9</v>
      </c>
    </row>
    <row r="13" spans="1:11" ht="15.75" customHeight="1">
      <c r="A13" s="1728">
        <v>1</v>
      </c>
      <c r="B13" s="1726"/>
      <c r="C13" s="1726">
        <v>2</v>
      </c>
      <c r="D13" s="1728">
        <v>3</v>
      </c>
      <c r="E13" s="1728">
        <v>4</v>
      </c>
      <c r="F13" s="1728">
        <v>5</v>
      </c>
      <c r="G13" s="1728">
        <v>6</v>
      </c>
      <c r="H13" s="1729" t="s">
        <v>1028</v>
      </c>
      <c r="I13" s="1728">
        <v>8</v>
      </c>
      <c r="J13" s="1728" t="s">
        <v>1029</v>
      </c>
      <c r="K13" s="1730"/>
    </row>
    <row r="14" spans="1:11" ht="12" customHeight="1">
      <c r="A14" s="1731">
        <v>1</v>
      </c>
      <c r="B14" s="1744" t="str">
        <f>'Chấm công công nhân'!L50</f>
        <v>Thảo tít</v>
      </c>
      <c r="C14" s="1726" t="s">
        <v>1593</v>
      </c>
      <c r="D14" s="4365" t="s">
        <v>204</v>
      </c>
      <c r="E14" s="1728" t="s">
        <v>1030</v>
      </c>
      <c r="F14" s="1728"/>
      <c r="G14" s="1729">
        <v>1.25</v>
      </c>
      <c r="H14" s="1729">
        <f>F14/G14</f>
        <v>0</v>
      </c>
      <c r="I14" s="1733">
        <v>25000</v>
      </c>
      <c r="J14" s="1733">
        <f t="shared" ref="J14:J28" si="0">I14*H14</f>
        <v>0</v>
      </c>
      <c r="K14" s="1730"/>
    </row>
    <row r="15" spans="1:11" ht="12" customHeight="1">
      <c r="A15" s="1731">
        <v>2</v>
      </c>
      <c r="B15" s="1744" t="str">
        <f>'Chấm công công nhân'!L51</f>
        <v>Thảo ớt</v>
      </c>
      <c r="C15" s="1726" t="s">
        <v>1593</v>
      </c>
      <c r="D15" s="4635"/>
      <c r="E15" s="1728" t="s">
        <v>1030</v>
      </c>
      <c r="F15" s="1728"/>
      <c r="G15" s="1729">
        <v>1.25</v>
      </c>
      <c r="H15" s="1729">
        <f t="shared" ref="H15:H28" si="1">F15/G15</f>
        <v>0</v>
      </c>
      <c r="I15" s="1733">
        <v>25000</v>
      </c>
      <c r="J15" s="1733">
        <f t="shared" si="0"/>
        <v>0</v>
      </c>
      <c r="K15" s="1730"/>
    </row>
    <row r="16" spans="1:11" ht="12" customHeight="1">
      <c r="A16" s="1731">
        <v>3</v>
      </c>
      <c r="B16" s="1744" t="str">
        <f>'Chấm công công nhân'!L52</f>
        <v>Nàng Ọt</v>
      </c>
      <c r="C16" s="1726" t="s">
        <v>1593</v>
      </c>
      <c r="D16" s="4635"/>
      <c r="E16" s="1728" t="s">
        <v>1030</v>
      </c>
      <c r="F16" s="1728"/>
      <c r="G16" s="1729">
        <v>1.25</v>
      </c>
      <c r="H16" s="1729">
        <f t="shared" si="1"/>
        <v>0</v>
      </c>
      <c r="I16" s="1733">
        <v>25000</v>
      </c>
      <c r="J16" s="1733">
        <f t="shared" si="0"/>
        <v>0</v>
      </c>
      <c r="K16" s="1730"/>
    </row>
    <row r="17" spans="1:11" ht="12" customHeight="1">
      <c r="A17" s="1731">
        <v>4</v>
      </c>
      <c r="B17" s="1744" t="str">
        <f>'Chấm công công nhân'!L53</f>
        <v>Thào Tòng</v>
      </c>
      <c r="C17" s="1726" t="s">
        <v>1593</v>
      </c>
      <c r="D17" s="4635"/>
      <c r="E17" s="1728" t="s">
        <v>1030</v>
      </c>
      <c r="F17" s="1728"/>
      <c r="G17" s="1729">
        <v>1.25</v>
      </c>
      <c r="H17" s="1729">
        <f t="shared" si="1"/>
        <v>0</v>
      </c>
      <c r="I17" s="1733">
        <v>25000</v>
      </c>
      <c r="J17" s="1733">
        <f t="shared" si="0"/>
        <v>0</v>
      </c>
      <c r="K17" s="1730"/>
    </row>
    <row r="18" spans="1:11" ht="12" customHeight="1">
      <c r="A18" s="1731">
        <v>5</v>
      </c>
      <c r="B18" s="1744" t="str">
        <f>'Chấm công công nhân'!L54</f>
        <v>Nàng Nơm</v>
      </c>
      <c r="C18" s="1726" t="s">
        <v>1593</v>
      </c>
      <c r="D18" s="4635"/>
      <c r="E18" s="1728" t="s">
        <v>1030</v>
      </c>
      <c r="F18" s="1728"/>
      <c r="G18" s="1729">
        <v>1.25</v>
      </c>
      <c r="H18" s="1729">
        <f t="shared" si="1"/>
        <v>0</v>
      </c>
      <c r="I18" s="1733">
        <v>25000</v>
      </c>
      <c r="J18" s="1733">
        <f t="shared" si="0"/>
        <v>0</v>
      </c>
      <c r="K18" s="1730"/>
    </row>
    <row r="19" spans="1:11" ht="12" customHeight="1">
      <c r="A19" s="1731">
        <v>6</v>
      </c>
      <c r="B19" s="1744" t="str">
        <f>'Chấm công công nhân'!L55</f>
        <v>Thảo Ây</v>
      </c>
      <c r="C19" s="1726" t="s">
        <v>1593</v>
      </c>
      <c r="D19" s="4635"/>
      <c r="E19" s="1728" t="s">
        <v>1030</v>
      </c>
      <c r="F19" s="1728"/>
      <c r="G19" s="1729">
        <v>1.25</v>
      </c>
      <c r="H19" s="1729">
        <f t="shared" si="1"/>
        <v>0</v>
      </c>
      <c r="I19" s="1733">
        <v>25000</v>
      </c>
      <c r="J19" s="1733">
        <f t="shared" si="0"/>
        <v>0</v>
      </c>
      <c r="K19" s="1730"/>
    </row>
    <row r="20" spans="1:11" ht="12" customHeight="1">
      <c r="A20" s="1731">
        <v>7</v>
      </c>
      <c r="B20" s="3092" t="str">
        <f>'Chấm công công nhân'!L56</f>
        <v>Thảo Âm Thong</v>
      </c>
      <c r="C20" s="1726" t="s">
        <v>1593</v>
      </c>
      <c r="D20" s="4635"/>
      <c r="E20" s="1728" t="s">
        <v>1030</v>
      </c>
      <c r="F20" s="1728"/>
      <c r="G20" s="1729">
        <v>1.25</v>
      </c>
      <c r="H20" s="1729">
        <f t="shared" si="1"/>
        <v>0</v>
      </c>
      <c r="I20" s="1733">
        <v>25000</v>
      </c>
      <c r="J20" s="1733">
        <f t="shared" si="0"/>
        <v>0</v>
      </c>
      <c r="K20" s="1730"/>
    </row>
    <row r="21" spans="1:11" ht="12" customHeight="1">
      <c r="A21" s="1731">
        <v>8</v>
      </c>
      <c r="B21" s="1744" t="str">
        <f>'Chấm công công nhân'!L57</f>
        <v>Nàng phon</v>
      </c>
      <c r="C21" s="1726" t="s">
        <v>1593</v>
      </c>
      <c r="D21" s="4635"/>
      <c r="E21" s="1728" t="s">
        <v>1030</v>
      </c>
      <c r="F21" s="1728"/>
      <c r="G21" s="1729">
        <v>1.25</v>
      </c>
      <c r="H21" s="1729">
        <f t="shared" si="1"/>
        <v>0</v>
      </c>
      <c r="I21" s="1733">
        <v>25000</v>
      </c>
      <c r="J21" s="1733">
        <f t="shared" si="0"/>
        <v>0</v>
      </c>
      <c r="K21" s="1730"/>
    </row>
    <row r="22" spans="1:11" ht="12" customHeight="1">
      <c r="A22" s="1731">
        <v>9</v>
      </c>
      <c r="B22" s="1744" t="str">
        <f>'Chấm công công nhân'!L58</f>
        <v>Thảo phắt</v>
      </c>
      <c r="C22" s="1726" t="s">
        <v>1593</v>
      </c>
      <c r="D22" s="4635"/>
      <c r="E22" s="1728" t="s">
        <v>1030</v>
      </c>
      <c r="F22" s="1728"/>
      <c r="G22" s="1729">
        <v>1.25</v>
      </c>
      <c r="H22" s="1729">
        <f t="shared" si="1"/>
        <v>0</v>
      </c>
      <c r="I22" s="1733">
        <v>25000</v>
      </c>
      <c r="J22" s="1733">
        <f t="shared" si="0"/>
        <v>0</v>
      </c>
      <c r="K22" s="1730"/>
    </row>
    <row r="23" spans="1:11" ht="12" customHeight="1">
      <c r="A23" s="1731">
        <v>10</v>
      </c>
      <c r="B23" s="1744" t="str">
        <f>'Chấm công công nhân'!L59</f>
        <v>Thảo Phon Say</v>
      </c>
      <c r="C23" s="1726" t="s">
        <v>1593</v>
      </c>
      <c r="D23" s="4635"/>
      <c r="E23" s="1728" t="s">
        <v>1030</v>
      </c>
      <c r="F23" s="1728"/>
      <c r="G23" s="1729">
        <v>1.25</v>
      </c>
      <c r="H23" s="1729">
        <f t="shared" si="1"/>
        <v>0</v>
      </c>
      <c r="I23" s="1733">
        <v>25000</v>
      </c>
      <c r="J23" s="1733">
        <f t="shared" si="0"/>
        <v>0</v>
      </c>
      <c r="K23" s="1730"/>
    </row>
    <row r="24" spans="1:11" ht="12" customHeight="1">
      <c r="A24" s="1731">
        <v>11</v>
      </c>
      <c r="B24" s="1744" t="str">
        <f>'Chấm công công nhân'!L60</f>
        <v>Nàng Pít</v>
      </c>
      <c r="C24" s="1726" t="s">
        <v>1593</v>
      </c>
      <c r="D24" s="4635"/>
      <c r="E24" s="1728" t="s">
        <v>1030</v>
      </c>
      <c r="F24" s="1728"/>
      <c r="G24" s="1729">
        <v>1.25</v>
      </c>
      <c r="H24" s="1729">
        <f t="shared" si="1"/>
        <v>0</v>
      </c>
      <c r="I24" s="1733">
        <v>25000</v>
      </c>
      <c r="J24" s="1733">
        <f t="shared" si="0"/>
        <v>0</v>
      </c>
      <c r="K24" s="1730"/>
    </row>
    <row r="25" spans="1:11" ht="12" customHeight="1">
      <c r="A25" s="1731">
        <v>12</v>
      </c>
      <c r="B25" s="1744" t="str">
        <f>'Chấm công công nhân'!L61</f>
        <v>Thảo út</v>
      </c>
      <c r="C25" s="1726" t="s">
        <v>1593</v>
      </c>
      <c r="D25" s="4635"/>
      <c r="E25" s="1728" t="s">
        <v>1030</v>
      </c>
      <c r="F25" s="1728"/>
      <c r="G25" s="1729">
        <v>1.25</v>
      </c>
      <c r="H25" s="1729">
        <f t="shared" si="1"/>
        <v>0</v>
      </c>
      <c r="I25" s="1733">
        <v>25000</v>
      </c>
      <c r="J25" s="1733">
        <f t="shared" si="0"/>
        <v>0</v>
      </c>
      <c r="K25" s="1730"/>
    </row>
    <row r="26" spans="1:11" ht="12" customHeight="1">
      <c r="A26" s="1731">
        <v>13</v>
      </c>
      <c r="B26" s="1744" t="str">
        <f>'Chấm công công nhân'!L62</f>
        <v>Nàng ăm</v>
      </c>
      <c r="C26" s="1726" t="s">
        <v>1593</v>
      </c>
      <c r="D26" s="4635"/>
      <c r="E26" s="1728" t="s">
        <v>1030</v>
      </c>
      <c r="F26" s="1728"/>
      <c r="G26" s="1729">
        <v>1.25</v>
      </c>
      <c r="H26" s="1729">
        <f t="shared" si="1"/>
        <v>0</v>
      </c>
      <c r="I26" s="1733">
        <v>25000</v>
      </c>
      <c r="J26" s="1733">
        <f t="shared" si="0"/>
        <v>0</v>
      </c>
      <c r="K26" s="1730"/>
    </row>
    <row r="27" spans="1:11" ht="12" customHeight="1">
      <c r="A27" s="1731">
        <v>14</v>
      </c>
      <c r="B27" s="1744" t="str">
        <f>'Chấm công công nhân'!L63</f>
        <v>Nàng Phìn</v>
      </c>
      <c r="C27" s="1726" t="s">
        <v>1593</v>
      </c>
      <c r="D27" s="4635"/>
      <c r="E27" s="1728" t="s">
        <v>1030</v>
      </c>
      <c r="F27" s="1728"/>
      <c r="G27" s="1729">
        <v>1.25</v>
      </c>
      <c r="H27" s="1729">
        <f t="shared" si="1"/>
        <v>0</v>
      </c>
      <c r="I27" s="1733">
        <v>25000</v>
      </c>
      <c r="J27" s="1733">
        <f t="shared" si="0"/>
        <v>0</v>
      </c>
      <c r="K27" s="1730"/>
    </row>
    <row r="28" spans="1:11" ht="12" customHeight="1">
      <c r="A28" s="1731">
        <v>15</v>
      </c>
      <c r="B28" s="1744" t="str">
        <f>'Chấm công công nhân'!L64</f>
        <v>May</v>
      </c>
      <c r="C28" s="1726" t="s">
        <v>1593</v>
      </c>
      <c r="D28" s="4635"/>
      <c r="E28" s="1728" t="s">
        <v>1030</v>
      </c>
      <c r="F28" s="1728"/>
      <c r="G28" s="1729">
        <v>1.25</v>
      </c>
      <c r="H28" s="1729">
        <f t="shared" si="1"/>
        <v>0</v>
      </c>
      <c r="I28" s="1733">
        <v>25000</v>
      </c>
      <c r="J28" s="1733">
        <f t="shared" si="0"/>
        <v>0</v>
      </c>
      <c r="K28" s="1730"/>
    </row>
    <row r="29" spans="1:11">
      <c r="A29" s="4628"/>
      <c r="B29" s="4628"/>
      <c r="C29" s="4628"/>
      <c r="D29" s="4628"/>
      <c r="E29" s="1730"/>
      <c r="F29" s="1734">
        <f>SUM(F14:F28)</f>
        <v>0</v>
      </c>
      <c r="G29" s="1734"/>
      <c r="H29" s="1735">
        <f>SUM(H14:H28)</f>
        <v>0</v>
      </c>
      <c r="I29" s="1734"/>
      <c r="J29" s="1736">
        <f>SUM(J14:J28)</f>
        <v>0</v>
      </c>
      <c r="K29" s="1734"/>
    </row>
    <row r="30" spans="1:11" ht="15.75">
      <c r="A30" s="1737" t="s">
        <v>1031</v>
      </c>
      <c r="B30" s="1738"/>
    </row>
    <row r="31" spans="1:11" ht="15.75">
      <c r="A31" s="1739" t="s">
        <v>1032</v>
      </c>
      <c r="B31" s="1740"/>
    </row>
    <row r="32" spans="1:11" ht="15.75">
      <c r="A32" s="1739" t="s">
        <v>1033</v>
      </c>
      <c r="B32" s="1740"/>
    </row>
    <row r="33" spans="2:9" ht="15.75">
      <c r="B33" s="3671" t="s">
        <v>162</v>
      </c>
      <c r="C33" s="3671"/>
      <c r="D33" s="1741"/>
      <c r="E33" s="1741"/>
      <c r="F33" s="1742" t="s">
        <v>1034</v>
      </c>
      <c r="I33" s="1742"/>
    </row>
    <row r="37" spans="2:9">
      <c r="B37" s="4629"/>
      <c r="C37" s="4629"/>
    </row>
  </sheetData>
  <mergeCells count="10">
    <mergeCell ref="B37:C37"/>
    <mergeCell ref="A29:D29"/>
    <mergeCell ref="B33:C33"/>
    <mergeCell ref="A1:K1"/>
    <mergeCell ref="A2:K2"/>
    <mergeCell ref="A3:G3"/>
    <mergeCell ref="A4:G4"/>
    <mergeCell ref="B6:K6"/>
    <mergeCell ref="D14:D28"/>
    <mergeCell ref="B5:J5"/>
  </mergeCells>
  <pageMargins left="0.7" right="0.7" top="0.75" bottom="0.75" header="0.3" footer="0.3"/>
  <pageSetup paperSize="9" orientation="portrait" r:id="rId1"/>
  <legacy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8"/>
  <sheetViews>
    <sheetView topLeftCell="A7" workbookViewId="0">
      <selection activeCell="F14" sqref="F14:F27"/>
    </sheetView>
  </sheetViews>
  <sheetFormatPr defaultRowHeight="14.25"/>
  <cols>
    <col min="1" max="1" width="5.125" customWidth="1"/>
    <col min="2" max="2" width="11.75" style="1716" customWidth="1"/>
    <col min="3" max="3" width="13.875" style="1716" customWidth="1"/>
    <col min="4" max="4" width="5.75" customWidth="1"/>
    <col min="5" max="5" width="4.25" customWidth="1"/>
    <col min="6" max="6" width="5" style="1712" customWidth="1"/>
    <col min="7" max="7" width="5" customWidth="1"/>
    <col min="8" max="8" width="4.875" style="1714" customWidth="1"/>
    <col min="9" max="9" width="7.375" customWidth="1"/>
    <col min="10" max="10" width="5" hidden="1" customWidth="1"/>
    <col min="11" max="11" width="10.375" style="1715" customWidth="1"/>
  </cols>
  <sheetData>
    <row r="1" spans="1:12" ht="15.75">
      <c r="A1" s="3751" t="s">
        <v>165</v>
      </c>
      <c r="B1" s="3751"/>
      <c r="C1" s="3751"/>
      <c r="D1" s="3751"/>
      <c r="E1" s="3751"/>
      <c r="F1" s="3751"/>
      <c r="G1" s="3751"/>
      <c r="H1" s="3751"/>
      <c r="I1" s="3751"/>
      <c r="J1" s="3751"/>
      <c r="K1" s="3751"/>
      <c r="L1" s="3751"/>
    </row>
    <row r="2" spans="1:12" ht="15.75">
      <c r="A2" s="4130" t="s">
        <v>1015</v>
      </c>
      <c r="B2" s="4130"/>
      <c r="C2" s="4130"/>
      <c r="D2" s="4130"/>
      <c r="E2" s="4130"/>
      <c r="F2" s="4130"/>
      <c r="G2" s="4130"/>
      <c r="H2" s="4130"/>
      <c r="I2" s="4130"/>
      <c r="J2" s="4130"/>
      <c r="K2" s="4130"/>
      <c r="L2" s="4130"/>
    </row>
    <row r="3" spans="1:12" ht="15.75">
      <c r="A3" s="4417" t="s">
        <v>1016</v>
      </c>
      <c r="B3" s="4417"/>
      <c r="C3" s="4417"/>
      <c r="D3" s="4417"/>
      <c r="E3" s="4417"/>
      <c r="F3" s="4417"/>
      <c r="G3" s="4417"/>
      <c r="H3" s="1711"/>
      <c r="I3" s="1712"/>
      <c r="J3" s="1712"/>
      <c r="K3" s="1713"/>
      <c r="L3" s="1712"/>
    </row>
    <row r="4" spans="1:12" ht="15.75">
      <c r="A4" s="4130" t="s">
        <v>541</v>
      </c>
      <c r="B4" s="4130"/>
      <c r="C4" s="4130"/>
      <c r="D4" s="4130"/>
      <c r="E4" s="4130"/>
      <c r="F4" s="4130"/>
      <c r="G4" s="4130"/>
    </row>
    <row r="5" spans="1:12" ht="21.75">
      <c r="A5" s="4637" t="s">
        <v>1017</v>
      </c>
      <c r="B5" s="4637"/>
      <c r="C5" s="4637"/>
      <c r="D5" s="4637"/>
      <c r="E5" s="4637"/>
      <c r="F5" s="4637"/>
      <c r="G5" s="4637"/>
      <c r="H5" s="4637"/>
      <c r="I5" s="4637"/>
      <c r="J5" s="4637"/>
      <c r="K5" s="4637"/>
      <c r="L5" s="4637"/>
    </row>
    <row r="6" spans="1:12">
      <c r="A6" s="1718"/>
      <c r="B6" s="4630" t="s">
        <v>1592</v>
      </c>
      <c r="C6" s="4630"/>
      <c r="D6" s="4630"/>
      <c r="E6" s="4630"/>
      <c r="F6" s="4630"/>
      <c r="G6" s="4630"/>
      <c r="H6" s="4630"/>
      <c r="I6" s="4630"/>
      <c r="J6" s="4630"/>
      <c r="K6" s="4630"/>
      <c r="L6" s="4630"/>
    </row>
    <row r="7" spans="1:12">
      <c r="A7" s="1718"/>
      <c r="B7" s="1719" t="s">
        <v>1018</v>
      </c>
      <c r="C7" s="1719"/>
      <c r="D7" s="1720"/>
      <c r="E7" s="1720"/>
      <c r="G7" s="1718"/>
      <c r="H7" s="1721"/>
      <c r="I7" s="1718"/>
      <c r="J7" s="1718"/>
      <c r="K7" s="1722"/>
      <c r="L7" s="1718"/>
    </row>
    <row r="8" spans="1:12">
      <c r="A8" s="1718"/>
      <c r="B8" s="1719" t="s">
        <v>1275</v>
      </c>
      <c r="C8" s="1719"/>
      <c r="D8" s="1720"/>
      <c r="E8" s="1718"/>
      <c r="G8" s="1718"/>
      <c r="H8" s="1723" t="s">
        <v>1036</v>
      </c>
      <c r="I8" s="1720"/>
      <c r="J8" s="1720"/>
      <c r="K8" s="1722"/>
      <c r="L8" s="1718"/>
    </row>
    <row r="9" spans="1:12">
      <c r="A9" s="1718"/>
      <c r="B9" s="1719" t="s">
        <v>1035</v>
      </c>
      <c r="C9" s="1719"/>
      <c r="D9" s="1720"/>
      <c r="E9" s="1718"/>
      <c r="G9" s="1718"/>
      <c r="H9" s="1723" t="s">
        <v>1020</v>
      </c>
      <c r="I9" s="1720"/>
      <c r="J9" s="1720"/>
      <c r="K9" s="1722"/>
      <c r="L9" s="1718"/>
    </row>
    <row r="10" spans="1:12">
      <c r="A10" s="1718"/>
      <c r="B10" s="1296" t="s">
        <v>1209</v>
      </c>
      <c r="D10" s="1718"/>
      <c r="E10" s="1718"/>
      <c r="G10" s="1718"/>
      <c r="H10" s="1721"/>
      <c r="I10" s="1718"/>
      <c r="J10" s="1718"/>
      <c r="K10" s="1722"/>
      <c r="L10" s="1718"/>
    </row>
    <row r="11" spans="1:12">
      <c r="A11" s="1718" t="s">
        <v>1022</v>
      </c>
      <c r="D11" s="1718"/>
      <c r="E11" s="1718"/>
      <c r="G11" s="1718"/>
      <c r="H11" s="1721"/>
      <c r="I11" s="1718"/>
      <c r="J11" s="1718"/>
      <c r="K11" s="1722"/>
      <c r="L11" s="1718"/>
    </row>
    <row r="12" spans="1:12" ht="61.5" customHeight="1">
      <c r="A12" s="1724" t="s">
        <v>1</v>
      </c>
      <c r="B12" s="1724" t="s">
        <v>20</v>
      </c>
      <c r="C12" s="1724" t="s">
        <v>1023</v>
      </c>
      <c r="D12" s="1724" t="s">
        <v>810</v>
      </c>
      <c r="E12" s="1724" t="s">
        <v>7</v>
      </c>
      <c r="F12" s="1724" t="s">
        <v>1024</v>
      </c>
      <c r="G12" s="1724" t="s">
        <v>361</v>
      </c>
      <c r="H12" s="1725" t="s">
        <v>47</v>
      </c>
      <c r="I12" s="1724" t="s">
        <v>1025</v>
      </c>
      <c r="J12" s="1724" t="s">
        <v>1026</v>
      </c>
      <c r="K12" s="1726" t="s">
        <v>1027</v>
      </c>
      <c r="L12" s="1727" t="s">
        <v>9</v>
      </c>
    </row>
    <row r="13" spans="1:12" ht="15.75" customHeight="1">
      <c r="A13" s="1728">
        <v>1</v>
      </c>
      <c r="B13" s="1726"/>
      <c r="C13" s="1726">
        <v>2</v>
      </c>
      <c r="D13" s="1728">
        <v>3</v>
      </c>
      <c r="E13" s="1728">
        <v>4</v>
      </c>
      <c r="F13" s="1728">
        <v>5</v>
      </c>
      <c r="G13" s="1728">
        <v>6</v>
      </c>
      <c r="H13" s="1729" t="s">
        <v>1028</v>
      </c>
      <c r="I13" s="1728">
        <v>8</v>
      </c>
      <c r="J13" s="1728">
        <v>9</v>
      </c>
      <c r="K13" s="1728" t="s">
        <v>1029</v>
      </c>
      <c r="L13" s="1730"/>
    </row>
    <row r="14" spans="1:12" ht="12" customHeight="1">
      <c r="A14" s="1731">
        <v>1</v>
      </c>
      <c r="B14" s="1732" t="str">
        <f>'Chấm công công nhân'!L66</f>
        <v>Phò Đăm</v>
      </c>
      <c r="C14" s="1726" t="s">
        <v>1593</v>
      </c>
      <c r="D14" s="4365" t="s">
        <v>204</v>
      </c>
      <c r="E14" s="1728" t="s">
        <v>1030</v>
      </c>
      <c r="F14" s="1728"/>
      <c r="G14" s="1729">
        <v>1.25</v>
      </c>
      <c r="H14" s="1729">
        <f>F14/G14</f>
        <v>0</v>
      </c>
      <c r="I14" s="1733">
        <v>25000</v>
      </c>
      <c r="J14" s="1728"/>
      <c r="K14" s="1733">
        <f>I14*H14</f>
        <v>0</v>
      </c>
      <c r="L14" s="1730"/>
    </row>
    <row r="15" spans="1:12" ht="12" customHeight="1">
      <c r="A15" s="1731">
        <v>2</v>
      </c>
      <c r="B15" s="1732" t="str">
        <f>'Chấm công công nhân'!L67</f>
        <v>Thảo Mai</v>
      </c>
      <c r="C15" s="1726" t="s">
        <v>1593</v>
      </c>
      <c r="D15" s="4635"/>
      <c r="E15" s="1728" t="s">
        <v>1030</v>
      </c>
      <c r="F15" s="1728"/>
      <c r="G15" s="1729">
        <v>1.25</v>
      </c>
      <c r="H15" s="1729">
        <f t="shared" ref="H15:H29" si="0">F15/G15</f>
        <v>0</v>
      </c>
      <c r="I15" s="1733">
        <v>25000</v>
      </c>
      <c r="J15" s="1731"/>
      <c r="K15" s="1733">
        <f t="shared" ref="K15:K29" si="1">I15*H15</f>
        <v>0</v>
      </c>
      <c r="L15" s="1730"/>
    </row>
    <row r="16" spans="1:12" ht="12" customHeight="1">
      <c r="A16" s="1731">
        <v>3</v>
      </c>
      <c r="B16" s="1732" t="str">
        <f>'Chấm công công nhân'!L68</f>
        <v>Thảo Tưng</v>
      </c>
      <c r="C16" s="1726" t="s">
        <v>1593</v>
      </c>
      <c r="D16" s="4635"/>
      <c r="E16" s="1728" t="s">
        <v>1030</v>
      </c>
      <c r="F16" s="1728"/>
      <c r="G16" s="1729">
        <v>1.25</v>
      </c>
      <c r="H16" s="1729">
        <f t="shared" si="0"/>
        <v>0</v>
      </c>
      <c r="I16" s="1733">
        <v>25000</v>
      </c>
      <c r="J16" s="1731"/>
      <c r="K16" s="1733">
        <f t="shared" si="1"/>
        <v>0</v>
      </c>
      <c r="L16" s="1730"/>
    </row>
    <row r="17" spans="1:12" ht="12" customHeight="1">
      <c r="A17" s="1731">
        <v>4</v>
      </c>
      <c r="B17" s="1732" t="str">
        <f>'Chấm công công nhân'!L69</f>
        <v>Thảo Xay</v>
      </c>
      <c r="C17" s="1726" t="s">
        <v>1593</v>
      </c>
      <c r="D17" s="4635"/>
      <c r="E17" s="1728" t="s">
        <v>1030</v>
      </c>
      <c r="F17" s="1728"/>
      <c r="G17" s="1729">
        <v>1.25</v>
      </c>
      <c r="H17" s="1729">
        <f t="shared" si="0"/>
        <v>0</v>
      </c>
      <c r="I17" s="1733">
        <v>25000</v>
      </c>
      <c r="J17" s="1731"/>
      <c r="K17" s="1733">
        <f t="shared" si="1"/>
        <v>0</v>
      </c>
      <c r="L17" s="1730"/>
    </row>
    <row r="18" spans="1:12" ht="12" customHeight="1">
      <c r="A18" s="1731">
        <v>5</v>
      </c>
      <c r="B18" s="1732" t="str">
        <f>'Chấm công công nhân'!L70</f>
        <v>Nàng Nọi</v>
      </c>
      <c r="C18" s="1726" t="s">
        <v>1593</v>
      </c>
      <c r="D18" s="4635"/>
      <c r="E18" s="1728" t="s">
        <v>1030</v>
      </c>
      <c r="F18" s="1728"/>
      <c r="G18" s="1729">
        <v>1.25</v>
      </c>
      <c r="H18" s="1729">
        <f t="shared" si="0"/>
        <v>0</v>
      </c>
      <c r="I18" s="1733">
        <v>25000</v>
      </c>
      <c r="J18" s="1728"/>
      <c r="K18" s="1733">
        <f t="shared" si="1"/>
        <v>0</v>
      </c>
      <c r="L18" s="1730"/>
    </row>
    <row r="19" spans="1:12" ht="13.5" customHeight="1">
      <c r="A19" s="1731">
        <v>6</v>
      </c>
      <c r="B19" s="1732" t="str">
        <f>'Chấm công công nhân'!L71</f>
        <v>Thảo Đăm</v>
      </c>
      <c r="C19" s="1726" t="s">
        <v>1593</v>
      </c>
      <c r="D19" s="4635"/>
      <c r="E19" s="1728" t="s">
        <v>1030</v>
      </c>
      <c r="F19" s="1728"/>
      <c r="G19" s="1729">
        <v>1.25</v>
      </c>
      <c r="H19" s="1729">
        <f t="shared" si="0"/>
        <v>0</v>
      </c>
      <c r="I19" s="1733">
        <v>25000</v>
      </c>
      <c r="J19" s="1728"/>
      <c r="K19" s="1733">
        <f t="shared" si="1"/>
        <v>0</v>
      </c>
      <c r="L19" s="1730"/>
    </row>
    <row r="20" spans="1:12" ht="12" customHeight="1">
      <c r="A20" s="1731">
        <v>7</v>
      </c>
      <c r="B20" s="1732" t="str">
        <f>'Chấm công công nhân'!L72</f>
        <v>Thảo chăn</v>
      </c>
      <c r="C20" s="1726" t="s">
        <v>1593</v>
      </c>
      <c r="D20" s="4635"/>
      <c r="E20" s="1728" t="s">
        <v>1030</v>
      </c>
      <c r="F20" s="1728"/>
      <c r="G20" s="1729">
        <v>1.25</v>
      </c>
      <c r="H20" s="1729">
        <f t="shared" si="0"/>
        <v>0</v>
      </c>
      <c r="I20" s="1733">
        <v>25000</v>
      </c>
      <c r="J20" s="1731"/>
      <c r="K20" s="1733">
        <f t="shared" si="1"/>
        <v>0</v>
      </c>
      <c r="L20" s="1730"/>
    </row>
    <row r="21" spans="1:12" ht="12" customHeight="1">
      <c r="A21" s="1731">
        <v>8</v>
      </c>
      <c r="B21" s="1732" t="str">
        <f>'Chấm công công nhân'!L73</f>
        <v>Hồ Văn Tăng</v>
      </c>
      <c r="C21" s="1726" t="s">
        <v>1593</v>
      </c>
      <c r="D21" s="4635"/>
      <c r="E21" s="1728" t="s">
        <v>1030</v>
      </c>
      <c r="F21" s="1728"/>
      <c r="G21" s="1729">
        <v>1.25</v>
      </c>
      <c r="H21" s="1729">
        <f t="shared" si="0"/>
        <v>0</v>
      </c>
      <c r="I21" s="1733">
        <v>25000</v>
      </c>
      <c r="J21" s="1731"/>
      <c r="K21" s="1733">
        <f t="shared" si="1"/>
        <v>0</v>
      </c>
      <c r="L21" s="1730"/>
    </row>
    <row r="22" spans="1:12" ht="12" customHeight="1">
      <c r="A22" s="1731">
        <v>9</v>
      </c>
      <c r="B22" s="1732" t="str">
        <f>'Chấm công công nhân'!L74</f>
        <v>Hồ Văn Khoa</v>
      </c>
      <c r="C22" s="1726" t="s">
        <v>1593</v>
      </c>
      <c r="D22" s="4635"/>
      <c r="E22" s="1728" t="s">
        <v>1030</v>
      </c>
      <c r="F22" s="1728"/>
      <c r="G22" s="1729">
        <v>1.25</v>
      </c>
      <c r="H22" s="1729">
        <f t="shared" si="0"/>
        <v>0</v>
      </c>
      <c r="I22" s="1733">
        <v>25000</v>
      </c>
      <c r="J22" s="1731"/>
      <c r="K22" s="1733">
        <f t="shared" si="1"/>
        <v>0</v>
      </c>
      <c r="L22" s="1730"/>
    </row>
    <row r="23" spans="1:12" ht="12" customHeight="1">
      <c r="A23" s="1731">
        <v>10</v>
      </c>
      <c r="B23" s="1732" t="str">
        <f>'Chấm công công nhân'!L75</f>
        <v>Hồ Xa My</v>
      </c>
      <c r="C23" s="1726" t="s">
        <v>1593</v>
      </c>
      <c r="D23" s="4635"/>
      <c r="E23" s="1728" t="s">
        <v>1030</v>
      </c>
      <c r="F23" s="1728"/>
      <c r="G23" s="1729">
        <v>1.25</v>
      </c>
      <c r="H23" s="1729">
        <f t="shared" si="0"/>
        <v>0</v>
      </c>
      <c r="I23" s="1733">
        <v>25000</v>
      </c>
      <c r="J23" s="1728"/>
      <c r="K23" s="1733">
        <f t="shared" si="1"/>
        <v>0</v>
      </c>
      <c r="L23" s="1730"/>
    </row>
    <row r="24" spans="1:12" ht="12" customHeight="1">
      <c r="A24" s="1731">
        <v>11</v>
      </c>
      <c r="B24" s="1732" t="str">
        <f>'Chấm công công nhân'!L76</f>
        <v>Thảo lay</v>
      </c>
      <c r="C24" s="1726" t="s">
        <v>1593</v>
      </c>
      <c r="D24" s="4635"/>
      <c r="E24" s="1728" t="s">
        <v>1030</v>
      </c>
      <c r="F24" s="1728"/>
      <c r="G24" s="1729">
        <v>1.25</v>
      </c>
      <c r="H24" s="1729">
        <f t="shared" si="0"/>
        <v>0</v>
      </c>
      <c r="I24" s="1733">
        <v>25000</v>
      </c>
      <c r="J24" s="1728"/>
      <c r="K24" s="1733">
        <f t="shared" si="1"/>
        <v>0</v>
      </c>
      <c r="L24" s="1730"/>
    </row>
    <row r="25" spans="1:12" ht="12" customHeight="1">
      <c r="A25" s="1731">
        <v>12</v>
      </c>
      <c r="B25" s="1732" t="str">
        <f>'Chấm công công nhân'!L77</f>
        <v>Thảo khên</v>
      </c>
      <c r="C25" s="1726" t="s">
        <v>1593</v>
      </c>
      <c r="D25" s="4635"/>
      <c r="E25" s="1728" t="s">
        <v>1030</v>
      </c>
      <c r="F25" s="1728"/>
      <c r="G25" s="1729">
        <v>1.25</v>
      </c>
      <c r="H25" s="1729">
        <f t="shared" si="0"/>
        <v>0</v>
      </c>
      <c r="I25" s="1733">
        <v>25000</v>
      </c>
      <c r="J25" s="1731"/>
      <c r="K25" s="1733">
        <f t="shared" si="1"/>
        <v>0</v>
      </c>
      <c r="L25" s="1730"/>
    </row>
    <row r="26" spans="1:12" ht="12" customHeight="1">
      <c r="A26" s="1731">
        <v>13</v>
      </c>
      <c r="B26" s="1732" t="str">
        <f>'Chấm công công nhân'!L78</f>
        <v>Thảo khon</v>
      </c>
      <c r="C26" s="1726" t="s">
        <v>1593</v>
      </c>
      <c r="D26" s="4635"/>
      <c r="E26" s="1728" t="s">
        <v>1030</v>
      </c>
      <c r="F26" s="1728"/>
      <c r="G26" s="1729">
        <v>1.25</v>
      </c>
      <c r="H26" s="1729">
        <f t="shared" si="0"/>
        <v>0</v>
      </c>
      <c r="I26" s="1733">
        <v>25000</v>
      </c>
      <c r="J26" s="1731"/>
      <c r="K26" s="1733">
        <f t="shared" si="1"/>
        <v>0</v>
      </c>
      <c r="L26" s="1730"/>
    </row>
    <row r="27" spans="1:12" ht="12" customHeight="1">
      <c r="A27" s="1731">
        <v>14</v>
      </c>
      <c r="B27" s="1732" t="str">
        <f>'Chấm công công nhân'!L79</f>
        <v>Thảo nga</v>
      </c>
      <c r="C27" s="1726" t="s">
        <v>1593</v>
      </c>
      <c r="D27" s="4635"/>
      <c r="E27" s="1728" t="s">
        <v>1030</v>
      </c>
      <c r="F27" s="1728"/>
      <c r="G27" s="1729">
        <v>1.25</v>
      </c>
      <c r="H27" s="1729">
        <f t="shared" si="0"/>
        <v>0</v>
      </c>
      <c r="I27" s="1733">
        <v>25000</v>
      </c>
      <c r="J27" s="1731"/>
      <c r="K27" s="1733">
        <f t="shared" si="1"/>
        <v>0</v>
      </c>
      <c r="L27" s="1730"/>
    </row>
    <row r="28" spans="1:12" ht="12" customHeight="1">
      <c r="A28" s="1731">
        <v>15</v>
      </c>
      <c r="B28" s="1732" t="str">
        <f>'Chấm công công nhân'!L80</f>
        <v>Thảo lăm ma</v>
      </c>
      <c r="C28" s="1726" t="s">
        <v>1593</v>
      </c>
      <c r="D28" s="4635"/>
      <c r="E28" s="1728" t="s">
        <v>1030</v>
      </c>
      <c r="F28" s="1728"/>
      <c r="G28" s="1729">
        <v>1.25</v>
      </c>
      <c r="H28" s="1729">
        <f t="shared" si="0"/>
        <v>0</v>
      </c>
      <c r="I28" s="1733">
        <v>25000</v>
      </c>
      <c r="J28" s="1731"/>
      <c r="K28" s="1733">
        <f t="shared" si="1"/>
        <v>0</v>
      </c>
      <c r="L28" s="1730"/>
    </row>
    <row r="29" spans="1:12" ht="12" hidden="1" customHeight="1">
      <c r="A29" s="1731">
        <v>16</v>
      </c>
      <c r="B29" s="1732" t="str">
        <f>'Chấm công công nhân'!L81</f>
        <v>Thảo Hôm</v>
      </c>
      <c r="C29" s="1726" t="s">
        <v>1565</v>
      </c>
      <c r="D29" s="4635"/>
      <c r="E29" s="1728" t="s">
        <v>1030</v>
      </c>
      <c r="F29" s="1728"/>
      <c r="G29" s="1729">
        <v>1.25</v>
      </c>
      <c r="H29" s="1729">
        <f t="shared" si="0"/>
        <v>0</v>
      </c>
      <c r="I29" s="1733">
        <v>25000</v>
      </c>
      <c r="J29" s="1728"/>
      <c r="K29" s="1733">
        <f t="shared" si="1"/>
        <v>0</v>
      </c>
      <c r="L29" s="1730"/>
    </row>
    <row r="30" spans="1:12">
      <c r="A30" s="4628"/>
      <c r="B30" s="4628"/>
      <c r="C30" s="4628"/>
      <c r="D30" s="4628"/>
      <c r="E30" s="1730"/>
      <c r="F30" s="1734">
        <f>SUM(F14:F29)</f>
        <v>0</v>
      </c>
      <c r="G30" s="1734"/>
      <c r="H30" s="1735">
        <f>SUM(H14:H29)</f>
        <v>0</v>
      </c>
      <c r="I30" s="1734"/>
      <c r="J30" s="1734">
        <f>SUM(J14:J29)</f>
        <v>0</v>
      </c>
      <c r="K30" s="1736">
        <f>SUM(K14:K29)</f>
        <v>0</v>
      </c>
      <c r="L30" s="1734"/>
    </row>
    <row r="31" spans="1:12" ht="15.75">
      <c r="A31" s="1737" t="s">
        <v>1031</v>
      </c>
      <c r="B31" s="1738"/>
    </row>
    <row r="32" spans="1:12" ht="15.75">
      <c r="A32" s="1739" t="s">
        <v>1032</v>
      </c>
      <c r="B32" s="1740"/>
    </row>
    <row r="33" spans="1:10" ht="15.75">
      <c r="A33" s="1739" t="s">
        <v>1033</v>
      </c>
      <c r="B33" s="1740"/>
    </row>
    <row r="34" spans="1:10" ht="15.75">
      <c r="B34" s="3671" t="s">
        <v>162</v>
      </c>
      <c r="C34" s="3671"/>
      <c r="D34" s="1741"/>
      <c r="E34" s="1741"/>
      <c r="F34" s="1742" t="s">
        <v>1034</v>
      </c>
      <c r="I34" s="1742"/>
      <c r="J34" s="1742"/>
    </row>
    <row r="38" spans="1:10">
      <c r="B38" s="4629"/>
      <c r="C38" s="4629"/>
    </row>
  </sheetData>
  <mergeCells count="10">
    <mergeCell ref="A30:D30"/>
    <mergeCell ref="B34:C34"/>
    <mergeCell ref="B38:C38"/>
    <mergeCell ref="A1:L1"/>
    <mergeCell ref="A2:L2"/>
    <mergeCell ref="A3:G3"/>
    <mergeCell ref="A4:G4"/>
    <mergeCell ref="B6:L6"/>
    <mergeCell ref="D14:D29"/>
    <mergeCell ref="A5:L5"/>
  </mergeCells>
  <pageMargins left="0.64" right="0.5" top="0.75" bottom="0.75" header="0.33" footer="0.3"/>
  <pageSetup paperSize="9" orientation="portrait" r:id="rId1"/>
  <legacy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36"/>
  <sheetViews>
    <sheetView topLeftCell="A74" workbookViewId="0">
      <selection activeCell="A77" sqref="A1:XFD1048576"/>
    </sheetView>
  </sheetViews>
  <sheetFormatPr defaultColWidth="9.25" defaultRowHeight="12.75"/>
  <cols>
    <col min="1" max="1" width="4.125" style="1886" customWidth="1"/>
    <col min="2" max="2" width="12.625" style="1886" customWidth="1"/>
    <col min="3" max="5" width="2.375" style="1886" customWidth="1"/>
    <col min="6" max="6" width="4.25" style="1886" customWidth="1"/>
    <col min="7" max="7" width="4.625" style="1886" customWidth="1"/>
    <col min="8" max="8" width="4.25" style="1886" customWidth="1"/>
    <col min="9" max="9" width="5" style="1886" customWidth="1"/>
    <col min="10" max="10" width="3.75" style="1886" customWidth="1"/>
    <col min="11" max="13" width="4.875" style="1886" customWidth="1"/>
    <col min="14" max="14" width="5.375" style="1886" customWidth="1"/>
    <col min="15" max="18" width="4.875" style="1886" customWidth="1"/>
    <col min="19" max="20" width="5.375" style="1886" customWidth="1"/>
    <col min="21" max="21" width="6.625" style="1886" customWidth="1"/>
    <col min="22" max="22" width="9" style="1886" customWidth="1"/>
    <col min="23" max="23" width="8.125" style="1886" customWidth="1"/>
    <col min="24" max="16384" width="9.25" style="1886"/>
  </cols>
  <sheetData>
    <row r="1" spans="1:26" s="1885" customFormat="1" ht="15.75">
      <c r="A1" s="1884" t="s">
        <v>574</v>
      </c>
      <c r="B1" s="1884"/>
      <c r="C1" s="1884"/>
      <c r="D1" s="1884"/>
      <c r="E1" s="1884"/>
      <c r="F1" s="1884"/>
      <c r="G1" s="1884"/>
      <c r="P1" s="4638" t="s">
        <v>165</v>
      </c>
      <c r="Q1" s="4638"/>
      <c r="R1" s="4638"/>
      <c r="S1" s="4638"/>
      <c r="T1" s="4638"/>
      <c r="U1" s="4638"/>
      <c r="V1" s="4638"/>
      <c r="W1" s="4638"/>
    </row>
    <row r="2" spans="1:26" ht="15.75">
      <c r="A2" s="4638" t="s">
        <v>1108</v>
      </c>
      <c r="B2" s="4638"/>
      <c r="C2" s="4638"/>
      <c r="D2" s="4638"/>
      <c r="E2" s="4638"/>
      <c r="F2" s="4638"/>
      <c r="G2" s="4638"/>
      <c r="H2" s="4638"/>
      <c r="I2" s="4638"/>
      <c r="P2" s="4638" t="s">
        <v>171</v>
      </c>
      <c r="Q2" s="4638"/>
      <c r="R2" s="4638"/>
      <c r="S2" s="4638"/>
      <c r="T2" s="4638"/>
      <c r="U2" s="4638"/>
      <c r="V2" s="4638"/>
      <c r="W2" s="4638"/>
    </row>
    <row r="3" spans="1:26" ht="15.75">
      <c r="A3" s="4638" t="s">
        <v>321</v>
      </c>
      <c r="B3" s="4638"/>
      <c r="C3" s="4638"/>
      <c r="D3" s="4638"/>
      <c r="E3" s="4638"/>
      <c r="F3" s="4638"/>
      <c r="G3" s="4638"/>
    </row>
    <row r="4" spans="1:26" ht="9" customHeight="1">
      <c r="A4" s="1887"/>
      <c r="B4" s="1887"/>
      <c r="C4" s="1887"/>
      <c r="D4" s="1887"/>
      <c r="E4" s="1887"/>
    </row>
    <row r="5" spans="1:26" ht="18.75">
      <c r="A5" s="4639" t="s">
        <v>1118</v>
      </c>
      <c r="B5" s="4639"/>
      <c r="C5" s="4639"/>
      <c r="D5" s="4639"/>
      <c r="E5" s="4639"/>
      <c r="F5" s="4639"/>
      <c r="G5" s="4639"/>
      <c r="H5" s="4639"/>
      <c r="I5" s="4639"/>
      <c r="J5" s="4639"/>
      <c r="K5" s="4639"/>
      <c r="L5" s="4639"/>
      <c r="M5" s="4639"/>
      <c r="N5" s="4639"/>
      <c r="O5" s="4639"/>
      <c r="P5" s="4639"/>
      <c r="Q5" s="4639"/>
      <c r="R5" s="4639"/>
      <c r="S5" s="4639"/>
      <c r="T5" s="4639"/>
      <c r="U5" s="4639"/>
      <c r="V5" s="4639"/>
      <c r="W5" s="4639"/>
    </row>
    <row r="6" spans="1:26" ht="21" customHeight="1">
      <c r="V6" s="4640"/>
      <c r="W6" s="4640"/>
    </row>
    <row r="7" spans="1:26" ht="17.25" customHeight="1">
      <c r="A7" s="4655" t="s">
        <v>19</v>
      </c>
      <c r="B7" s="4655" t="s">
        <v>1110</v>
      </c>
      <c r="C7" s="4658" t="s">
        <v>116</v>
      </c>
      <c r="D7" s="4659"/>
      <c r="E7" s="4659"/>
      <c r="F7" s="4664" t="s">
        <v>117</v>
      </c>
      <c r="G7" s="4664"/>
      <c r="H7" s="4664"/>
      <c r="I7" s="4664"/>
      <c r="J7" s="4664"/>
      <c r="K7" s="4664"/>
      <c r="L7" s="4664"/>
      <c r="M7" s="4664"/>
      <c r="N7" s="4664"/>
      <c r="O7" s="4664"/>
      <c r="P7" s="4664"/>
      <c r="Q7" s="4664"/>
      <c r="R7" s="4664"/>
      <c r="S7" s="4664"/>
      <c r="T7" s="4664"/>
      <c r="U7" s="4664"/>
      <c r="V7" s="4665"/>
      <c r="W7" s="4647" t="s">
        <v>118</v>
      </c>
      <c r="Z7" s="1888"/>
    </row>
    <row r="8" spans="1:26" ht="16.5">
      <c r="A8" s="4656"/>
      <c r="B8" s="4656"/>
      <c r="C8" s="4660"/>
      <c r="D8" s="4661"/>
      <c r="E8" s="4661"/>
      <c r="F8" s="4650" t="s">
        <v>119</v>
      </c>
      <c r="G8" s="4651" t="s">
        <v>120</v>
      </c>
      <c r="H8" s="4651"/>
      <c r="I8" s="4651" t="s">
        <v>121</v>
      </c>
      <c r="J8" s="4651"/>
      <c r="K8" s="4651" t="s">
        <v>122</v>
      </c>
      <c r="L8" s="4651"/>
      <c r="M8" s="4651"/>
      <c r="N8" s="4651" t="s">
        <v>123</v>
      </c>
      <c r="O8" s="4651"/>
      <c r="P8" s="4651"/>
      <c r="Q8" s="4651"/>
      <c r="R8" s="4650" t="s">
        <v>124</v>
      </c>
      <c r="S8" s="4650" t="s">
        <v>125</v>
      </c>
      <c r="T8" s="4650" t="s">
        <v>126</v>
      </c>
      <c r="U8" s="4650" t="s">
        <v>127</v>
      </c>
      <c r="V8" s="4652" t="s">
        <v>128</v>
      </c>
      <c r="W8" s="4648"/>
      <c r="Z8" s="1889"/>
    </row>
    <row r="9" spans="1:26" ht="57.75" customHeight="1">
      <c r="A9" s="4656"/>
      <c r="B9" s="4656"/>
      <c r="C9" s="4660"/>
      <c r="D9" s="4661"/>
      <c r="E9" s="4661"/>
      <c r="F9" s="4650"/>
      <c r="G9" s="1890" t="s">
        <v>129</v>
      </c>
      <c r="H9" s="1890" t="s">
        <v>130</v>
      </c>
      <c r="I9" s="1891" t="s">
        <v>129</v>
      </c>
      <c r="J9" s="1890" t="s">
        <v>130</v>
      </c>
      <c r="K9" s="1890" t="s">
        <v>131</v>
      </c>
      <c r="L9" s="1890" t="s">
        <v>132</v>
      </c>
      <c r="M9" s="1890" t="s">
        <v>133</v>
      </c>
      <c r="N9" s="1890" t="s">
        <v>134</v>
      </c>
      <c r="O9" s="1891" t="s">
        <v>135</v>
      </c>
      <c r="P9" s="1890" t="s">
        <v>136</v>
      </c>
      <c r="Q9" s="1890" t="s">
        <v>137</v>
      </c>
      <c r="R9" s="4650"/>
      <c r="S9" s="4650"/>
      <c r="T9" s="4650"/>
      <c r="U9" s="4650"/>
      <c r="V9" s="4652"/>
      <c r="W9" s="4648"/>
      <c r="Z9" s="1892"/>
    </row>
    <row r="10" spans="1:26" ht="23.25" customHeight="1">
      <c r="A10" s="4657"/>
      <c r="B10" s="4657"/>
      <c r="C10" s="4662"/>
      <c r="D10" s="4663"/>
      <c r="E10" s="4663"/>
      <c r="F10" s="1914" t="s">
        <v>138</v>
      </c>
      <c r="G10" s="1915" t="s">
        <v>139</v>
      </c>
      <c r="H10" s="1915" t="s">
        <v>139</v>
      </c>
      <c r="I10" s="1915" t="s">
        <v>140</v>
      </c>
      <c r="J10" s="1915" t="s">
        <v>140</v>
      </c>
      <c r="K10" s="1915" t="s">
        <v>141</v>
      </c>
      <c r="L10" s="1914"/>
      <c r="M10" s="1914" t="s">
        <v>142</v>
      </c>
      <c r="N10" s="1916"/>
      <c r="O10" s="1917"/>
      <c r="P10" s="1918" t="s">
        <v>143</v>
      </c>
      <c r="Q10" s="1918"/>
      <c r="R10" s="1919" t="s">
        <v>144</v>
      </c>
      <c r="S10" s="1916"/>
      <c r="T10" s="1920" t="s">
        <v>145</v>
      </c>
      <c r="U10" s="1918"/>
      <c r="V10" s="1921"/>
      <c r="W10" s="4648"/>
    </row>
    <row r="11" spans="1:26" ht="18" customHeight="1">
      <c r="A11" s="4653" t="s">
        <v>146</v>
      </c>
      <c r="B11" s="4654"/>
      <c r="C11" s="1932" t="s">
        <v>147</v>
      </c>
      <c r="D11" s="1933" t="s">
        <v>148</v>
      </c>
      <c r="E11" s="1933" t="s">
        <v>149</v>
      </c>
      <c r="F11" s="1934">
        <v>1</v>
      </c>
      <c r="G11" s="1934">
        <v>4</v>
      </c>
      <c r="H11" s="1934">
        <v>2</v>
      </c>
      <c r="I11" s="1934">
        <v>5</v>
      </c>
      <c r="J11" s="1934">
        <v>3</v>
      </c>
      <c r="K11" s="1934">
        <v>3</v>
      </c>
      <c r="L11" s="1934">
        <v>2</v>
      </c>
      <c r="M11" s="1934">
        <v>5</v>
      </c>
      <c r="N11" s="1934">
        <v>1</v>
      </c>
      <c r="O11" s="1934">
        <v>2</v>
      </c>
      <c r="P11" s="1934">
        <v>1</v>
      </c>
      <c r="Q11" s="1934">
        <v>1</v>
      </c>
      <c r="R11" s="1934">
        <v>3</v>
      </c>
      <c r="S11" s="1934">
        <v>5</v>
      </c>
      <c r="T11" s="1934">
        <v>2</v>
      </c>
      <c r="U11" s="1934">
        <v>2</v>
      </c>
      <c r="V11" s="1935">
        <v>2</v>
      </c>
      <c r="W11" s="4649"/>
    </row>
    <row r="12" spans="1:26" ht="17.25" customHeight="1">
      <c r="A12" s="4641">
        <v>1</v>
      </c>
      <c r="B12" s="4641" t="str">
        <f>'kt1'!B14</f>
        <v>Vắt Đi</v>
      </c>
      <c r="C12" s="1929"/>
      <c r="D12" s="1910"/>
      <c r="E12" s="1910"/>
      <c r="F12" s="1911"/>
      <c r="G12" s="1911"/>
      <c r="H12" s="1911"/>
      <c r="I12" s="1911"/>
      <c r="J12" s="1911"/>
      <c r="K12" s="1911"/>
      <c r="L12" s="1911"/>
      <c r="M12" s="1911"/>
      <c r="N12" s="1911"/>
      <c r="O12" s="1911"/>
      <c r="P12" s="1911"/>
      <c r="Q12" s="1911"/>
      <c r="R12" s="1911"/>
      <c r="S12" s="1911"/>
      <c r="T12" s="1911"/>
      <c r="U12" s="1911"/>
      <c r="V12" s="1923"/>
      <c r="W12" s="4644"/>
    </row>
    <row r="13" spans="1:26" ht="17.25" customHeight="1">
      <c r="A13" s="4642"/>
      <c r="B13" s="4642"/>
      <c r="C13" s="1930"/>
      <c r="D13" s="1893"/>
      <c r="E13" s="1893"/>
      <c r="F13" s="1894"/>
      <c r="G13" s="1894"/>
      <c r="H13" s="1894"/>
      <c r="I13" s="1894"/>
      <c r="J13" s="1894"/>
      <c r="K13" s="1894"/>
      <c r="L13" s="1894"/>
      <c r="M13" s="1894"/>
      <c r="N13" s="1894"/>
      <c r="O13" s="1894"/>
      <c r="P13" s="1894"/>
      <c r="Q13" s="1894"/>
      <c r="R13" s="1894"/>
      <c r="S13" s="1894"/>
      <c r="T13" s="1894"/>
      <c r="U13" s="1894"/>
      <c r="V13" s="1924"/>
      <c r="W13" s="4645"/>
    </row>
    <row r="14" spans="1:26" ht="17.25" customHeight="1">
      <c r="A14" s="4642"/>
      <c r="B14" s="4642"/>
      <c r="C14" s="1930"/>
      <c r="D14" s="1893"/>
      <c r="E14" s="1893"/>
      <c r="F14" s="1894"/>
      <c r="G14" s="1894"/>
      <c r="H14" s="1894"/>
      <c r="I14" s="1894"/>
      <c r="J14" s="1894"/>
      <c r="K14" s="1894"/>
      <c r="L14" s="1894"/>
      <c r="M14" s="1894"/>
      <c r="N14" s="1894"/>
      <c r="O14" s="1894"/>
      <c r="P14" s="1894"/>
      <c r="Q14" s="1894"/>
      <c r="R14" s="1894"/>
      <c r="S14" s="1894"/>
      <c r="T14" s="1894"/>
      <c r="U14" s="1894"/>
      <c r="V14" s="1924"/>
      <c r="W14" s="4645"/>
    </row>
    <row r="15" spans="1:26" ht="17.25" customHeight="1">
      <c r="A15" s="4642"/>
      <c r="B15" s="4642"/>
      <c r="C15" s="1930"/>
      <c r="D15" s="1893"/>
      <c r="E15" s="1893"/>
      <c r="F15" s="1894"/>
      <c r="G15" s="1894"/>
      <c r="H15" s="1894"/>
      <c r="I15" s="1894"/>
      <c r="J15" s="1894"/>
      <c r="K15" s="1894"/>
      <c r="L15" s="1894"/>
      <c r="M15" s="1894"/>
      <c r="N15" s="1894"/>
      <c r="O15" s="1894"/>
      <c r="P15" s="1894"/>
      <c r="Q15" s="1894"/>
      <c r="R15" s="1894"/>
      <c r="S15" s="1894"/>
      <c r="T15" s="1894"/>
      <c r="U15" s="1894"/>
      <c r="V15" s="1924"/>
      <c r="W15" s="4645"/>
    </row>
    <row r="16" spans="1:26" ht="17.25" customHeight="1">
      <c r="A16" s="4643"/>
      <c r="B16" s="4643"/>
      <c r="C16" s="1931"/>
      <c r="D16" s="1908"/>
      <c r="E16" s="1908"/>
      <c r="F16" s="1909"/>
      <c r="G16" s="1909"/>
      <c r="H16" s="1909"/>
      <c r="I16" s="1909"/>
      <c r="J16" s="1909"/>
      <c r="K16" s="1909"/>
      <c r="L16" s="1909"/>
      <c r="M16" s="1909"/>
      <c r="N16" s="1909"/>
      <c r="O16" s="1909"/>
      <c r="P16" s="1909"/>
      <c r="Q16" s="1909"/>
      <c r="R16" s="1909"/>
      <c r="S16" s="1909"/>
      <c r="T16" s="1909"/>
      <c r="U16" s="1909"/>
      <c r="V16" s="1925"/>
      <c r="W16" s="4646"/>
    </row>
    <row r="17" spans="1:23" ht="17.25" customHeight="1">
      <c r="A17" s="4641">
        <v>2</v>
      </c>
      <c r="B17" s="4641" t="str">
        <f>'kt1'!B15</f>
        <v>T Ô Vên</v>
      </c>
      <c r="C17" s="1929"/>
      <c r="D17" s="1910"/>
      <c r="E17" s="1910"/>
      <c r="F17" s="1911"/>
      <c r="G17" s="1911"/>
      <c r="H17" s="1911"/>
      <c r="I17" s="1911"/>
      <c r="J17" s="1911"/>
      <c r="K17" s="1911"/>
      <c r="L17" s="1911"/>
      <c r="M17" s="1911"/>
      <c r="N17" s="1911"/>
      <c r="O17" s="1911"/>
      <c r="P17" s="1911"/>
      <c r="Q17" s="1911"/>
      <c r="R17" s="1911"/>
      <c r="S17" s="1911"/>
      <c r="T17" s="1911"/>
      <c r="U17" s="1911"/>
      <c r="V17" s="1923"/>
      <c r="W17" s="4644"/>
    </row>
    <row r="18" spans="1:23" ht="17.25" customHeight="1">
      <c r="A18" s="4642"/>
      <c r="B18" s="4642"/>
      <c r="C18" s="1930"/>
      <c r="D18" s="1893"/>
      <c r="E18" s="1893"/>
      <c r="F18" s="1894"/>
      <c r="G18" s="1894"/>
      <c r="H18" s="1894"/>
      <c r="I18" s="1894"/>
      <c r="J18" s="1894"/>
      <c r="K18" s="1894"/>
      <c r="L18" s="1894"/>
      <c r="M18" s="1894"/>
      <c r="N18" s="1894"/>
      <c r="O18" s="1894"/>
      <c r="P18" s="1894"/>
      <c r="Q18" s="1894"/>
      <c r="R18" s="1894"/>
      <c r="S18" s="1894"/>
      <c r="T18" s="1894"/>
      <c r="U18" s="1894"/>
      <c r="V18" s="1924"/>
      <c r="W18" s="4645"/>
    </row>
    <row r="19" spans="1:23" ht="17.25" customHeight="1">
      <c r="A19" s="4642"/>
      <c r="B19" s="4642"/>
      <c r="C19" s="1930"/>
      <c r="D19" s="1893"/>
      <c r="E19" s="1893"/>
      <c r="F19" s="1894"/>
      <c r="G19" s="1894"/>
      <c r="H19" s="1894"/>
      <c r="I19" s="1894"/>
      <c r="J19" s="1894"/>
      <c r="K19" s="1894"/>
      <c r="L19" s="1894"/>
      <c r="M19" s="1894"/>
      <c r="N19" s="1894"/>
      <c r="O19" s="1894"/>
      <c r="P19" s="1894"/>
      <c r="Q19" s="1894"/>
      <c r="R19" s="1894"/>
      <c r="S19" s="1894"/>
      <c r="T19" s="1894"/>
      <c r="U19" s="1894"/>
      <c r="V19" s="1924"/>
      <c r="W19" s="4645"/>
    </row>
    <row r="20" spans="1:23" ht="17.25" customHeight="1">
      <c r="A20" s="4642"/>
      <c r="B20" s="4642"/>
      <c r="C20" s="1930"/>
      <c r="D20" s="1893"/>
      <c r="E20" s="1893"/>
      <c r="F20" s="1894"/>
      <c r="G20" s="1894"/>
      <c r="H20" s="1894"/>
      <c r="I20" s="1894"/>
      <c r="J20" s="1894"/>
      <c r="K20" s="1894"/>
      <c r="L20" s="1894"/>
      <c r="M20" s="1894"/>
      <c r="N20" s="1894"/>
      <c r="O20" s="1894"/>
      <c r="P20" s="1894"/>
      <c r="Q20" s="1894"/>
      <c r="R20" s="1894"/>
      <c r="S20" s="1894"/>
      <c r="T20" s="1894"/>
      <c r="U20" s="1894"/>
      <c r="V20" s="1924"/>
      <c r="W20" s="4645"/>
    </row>
    <row r="21" spans="1:23" ht="17.25" customHeight="1">
      <c r="A21" s="4643"/>
      <c r="B21" s="4643"/>
      <c r="C21" s="1931"/>
      <c r="D21" s="1908"/>
      <c r="E21" s="1908"/>
      <c r="F21" s="1909"/>
      <c r="G21" s="1909"/>
      <c r="H21" s="1909"/>
      <c r="I21" s="1909"/>
      <c r="J21" s="1909"/>
      <c r="K21" s="1909"/>
      <c r="L21" s="1909"/>
      <c r="M21" s="1909"/>
      <c r="N21" s="1909"/>
      <c r="O21" s="1909"/>
      <c r="P21" s="1909"/>
      <c r="Q21" s="1909"/>
      <c r="R21" s="1909"/>
      <c r="S21" s="1909"/>
      <c r="T21" s="1909"/>
      <c r="U21" s="1909"/>
      <c r="V21" s="1925"/>
      <c r="W21" s="4646"/>
    </row>
    <row r="22" spans="1:23" ht="21" customHeight="1">
      <c r="A22" s="4641">
        <v>3</v>
      </c>
      <c r="B22" s="4641" t="str">
        <f>'kt1'!B16</f>
        <v>Nàng Túc</v>
      </c>
      <c r="C22" s="1929"/>
      <c r="D22" s="1910"/>
      <c r="E22" s="1910"/>
      <c r="F22" s="1911"/>
      <c r="G22" s="1911"/>
      <c r="H22" s="1911"/>
      <c r="I22" s="1911"/>
      <c r="J22" s="1911"/>
      <c r="K22" s="1911"/>
      <c r="L22" s="1911"/>
      <c r="M22" s="1911"/>
      <c r="N22" s="1911"/>
      <c r="O22" s="1911"/>
      <c r="P22" s="1911"/>
      <c r="Q22" s="1911"/>
      <c r="R22" s="1911"/>
      <c r="S22" s="1911"/>
      <c r="T22" s="1911"/>
      <c r="U22" s="1911"/>
      <c r="V22" s="1923"/>
      <c r="W22" s="4644"/>
    </row>
    <row r="23" spans="1:23" ht="21" customHeight="1">
      <c r="A23" s="4642"/>
      <c r="B23" s="4642"/>
      <c r="C23" s="1930"/>
      <c r="D23" s="1893"/>
      <c r="E23" s="1893"/>
      <c r="F23" s="1894"/>
      <c r="G23" s="1894"/>
      <c r="H23" s="1894"/>
      <c r="I23" s="1894"/>
      <c r="J23" s="1894"/>
      <c r="K23" s="1894"/>
      <c r="L23" s="1894"/>
      <c r="M23" s="1894"/>
      <c r="N23" s="1894"/>
      <c r="O23" s="1894"/>
      <c r="P23" s="1894"/>
      <c r="Q23" s="1894"/>
      <c r="R23" s="1894"/>
      <c r="S23" s="1894"/>
      <c r="T23" s="1894"/>
      <c r="U23" s="1894"/>
      <c r="V23" s="1924"/>
      <c r="W23" s="4645"/>
    </row>
    <row r="24" spans="1:23" ht="21" customHeight="1">
      <c r="A24" s="4642"/>
      <c r="B24" s="4642"/>
      <c r="C24" s="1930"/>
      <c r="D24" s="1893"/>
      <c r="E24" s="1893"/>
      <c r="F24" s="1894"/>
      <c r="G24" s="1894"/>
      <c r="H24" s="1894"/>
      <c r="I24" s="1894"/>
      <c r="J24" s="1894"/>
      <c r="K24" s="1894"/>
      <c r="L24" s="1894"/>
      <c r="M24" s="1894"/>
      <c r="N24" s="1894"/>
      <c r="O24" s="1894"/>
      <c r="P24" s="1894"/>
      <c r="Q24" s="1894"/>
      <c r="R24" s="1894"/>
      <c r="S24" s="1894"/>
      <c r="T24" s="1894"/>
      <c r="U24" s="1894"/>
      <c r="V24" s="1924"/>
      <c r="W24" s="4645"/>
    </row>
    <row r="25" spans="1:23" ht="21" customHeight="1">
      <c r="A25" s="4642"/>
      <c r="B25" s="4642"/>
      <c r="C25" s="1930"/>
      <c r="D25" s="1893"/>
      <c r="E25" s="1893"/>
      <c r="F25" s="1894"/>
      <c r="G25" s="1894"/>
      <c r="H25" s="1894"/>
      <c r="I25" s="1894"/>
      <c r="J25" s="1894"/>
      <c r="K25" s="1894"/>
      <c r="L25" s="1894"/>
      <c r="M25" s="1894"/>
      <c r="N25" s="1894"/>
      <c r="O25" s="1894"/>
      <c r="P25" s="1894"/>
      <c r="Q25" s="1894"/>
      <c r="R25" s="1894"/>
      <c r="S25" s="1894"/>
      <c r="T25" s="1894"/>
      <c r="U25" s="1894"/>
      <c r="V25" s="1924"/>
      <c r="W25" s="4645"/>
    </row>
    <row r="26" spans="1:23" ht="21" customHeight="1">
      <c r="A26" s="4643"/>
      <c r="B26" s="4643"/>
      <c r="C26" s="1931"/>
      <c r="D26" s="1908"/>
      <c r="E26" s="1908"/>
      <c r="F26" s="1909"/>
      <c r="G26" s="1909"/>
      <c r="H26" s="1909"/>
      <c r="I26" s="1909"/>
      <c r="J26" s="1909"/>
      <c r="K26" s="1909"/>
      <c r="L26" s="1909"/>
      <c r="M26" s="1909"/>
      <c r="N26" s="1909"/>
      <c r="O26" s="1909"/>
      <c r="P26" s="1909"/>
      <c r="Q26" s="1909"/>
      <c r="R26" s="1909"/>
      <c r="S26" s="1909"/>
      <c r="T26" s="1909"/>
      <c r="U26" s="1909"/>
      <c r="V26" s="1925"/>
      <c r="W26" s="4646"/>
    </row>
    <row r="27" spans="1:23" ht="19.5" hidden="1" customHeight="1">
      <c r="A27" s="4641">
        <v>4</v>
      </c>
      <c r="B27" s="4641" t="str">
        <f>'kt1'!B17</f>
        <v>Thảo Say</v>
      </c>
      <c r="C27" s="1929"/>
      <c r="D27" s="1910"/>
      <c r="E27" s="1910"/>
      <c r="F27" s="1911"/>
      <c r="G27" s="1911"/>
      <c r="H27" s="1911"/>
      <c r="I27" s="1911"/>
      <c r="J27" s="1911"/>
      <c r="K27" s="1911"/>
      <c r="L27" s="1911"/>
      <c r="M27" s="1911"/>
      <c r="N27" s="1911"/>
      <c r="O27" s="1911"/>
      <c r="P27" s="1911"/>
      <c r="Q27" s="1911"/>
      <c r="R27" s="1911"/>
      <c r="S27" s="1911"/>
      <c r="T27" s="1911"/>
      <c r="U27" s="1911"/>
      <c r="V27" s="1923"/>
      <c r="W27" s="4644"/>
    </row>
    <row r="28" spans="1:23" ht="19.5" hidden="1" customHeight="1">
      <c r="A28" s="4642"/>
      <c r="B28" s="4642"/>
      <c r="C28" s="1930"/>
      <c r="D28" s="1893"/>
      <c r="E28" s="1893"/>
      <c r="F28" s="1894"/>
      <c r="G28" s="1894"/>
      <c r="H28" s="1894"/>
      <c r="I28" s="1894"/>
      <c r="J28" s="1894"/>
      <c r="K28" s="1894"/>
      <c r="L28" s="1894"/>
      <c r="M28" s="1894"/>
      <c r="N28" s="1894"/>
      <c r="O28" s="1894"/>
      <c r="P28" s="1894"/>
      <c r="Q28" s="1894"/>
      <c r="R28" s="1894"/>
      <c r="S28" s="1894"/>
      <c r="T28" s="1894"/>
      <c r="U28" s="1894"/>
      <c r="V28" s="1924"/>
      <c r="W28" s="4645"/>
    </row>
    <row r="29" spans="1:23" ht="19.5" hidden="1" customHeight="1">
      <c r="A29" s="4642"/>
      <c r="B29" s="4642"/>
      <c r="C29" s="1930"/>
      <c r="D29" s="1893"/>
      <c r="E29" s="1893"/>
      <c r="F29" s="1894"/>
      <c r="G29" s="1894"/>
      <c r="H29" s="1894"/>
      <c r="I29" s="1894"/>
      <c r="J29" s="1894"/>
      <c r="K29" s="1894"/>
      <c r="L29" s="1894"/>
      <c r="M29" s="1894"/>
      <c r="N29" s="1894"/>
      <c r="O29" s="1894"/>
      <c r="P29" s="1894"/>
      <c r="Q29" s="1894"/>
      <c r="R29" s="1894"/>
      <c r="S29" s="1894"/>
      <c r="T29" s="1894"/>
      <c r="U29" s="1894"/>
      <c r="V29" s="1924"/>
      <c r="W29" s="4645"/>
    </row>
    <row r="30" spans="1:23" ht="19.5" hidden="1" customHeight="1">
      <c r="A30" s="4642"/>
      <c r="B30" s="4642"/>
      <c r="C30" s="1930"/>
      <c r="D30" s="1893"/>
      <c r="E30" s="1893"/>
      <c r="F30" s="1894"/>
      <c r="G30" s="1894"/>
      <c r="H30" s="1894"/>
      <c r="I30" s="1894"/>
      <c r="J30" s="1894"/>
      <c r="K30" s="1894"/>
      <c r="L30" s="1894"/>
      <c r="M30" s="1894"/>
      <c r="N30" s="1894"/>
      <c r="O30" s="1894"/>
      <c r="P30" s="1894"/>
      <c r="Q30" s="1894"/>
      <c r="R30" s="1894"/>
      <c r="S30" s="1894"/>
      <c r="T30" s="1894"/>
      <c r="U30" s="1894"/>
      <c r="V30" s="1924"/>
      <c r="W30" s="4645"/>
    </row>
    <row r="31" spans="1:23" ht="19.5" hidden="1" customHeight="1">
      <c r="A31" s="4643"/>
      <c r="B31" s="4643"/>
      <c r="C31" s="1931"/>
      <c r="D31" s="1908"/>
      <c r="E31" s="1908"/>
      <c r="F31" s="1909"/>
      <c r="G31" s="1909"/>
      <c r="H31" s="1909"/>
      <c r="I31" s="1909"/>
      <c r="J31" s="1909"/>
      <c r="K31" s="1909"/>
      <c r="L31" s="1909"/>
      <c r="M31" s="1909"/>
      <c r="N31" s="1909"/>
      <c r="O31" s="1909"/>
      <c r="P31" s="1909"/>
      <c r="Q31" s="1909"/>
      <c r="R31" s="1909"/>
      <c r="S31" s="1909"/>
      <c r="T31" s="1909"/>
      <c r="U31" s="1909"/>
      <c r="V31" s="1925"/>
      <c r="W31" s="4646"/>
    </row>
    <row r="32" spans="1:23" ht="17.25" customHeight="1">
      <c r="A32" s="4641">
        <v>5</v>
      </c>
      <c r="B32" s="4641" t="str">
        <f>'kt1'!B18</f>
        <v>Thảo Pheng</v>
      </c>
      <c r="C32" s="1929"/>
      <c r="D32" s="1910"/>
      <c r="E32" s="1910"/>
      <c r="F32" s="1911"/>
      <c r="G32" s="1911"/>
      <c r="H32" s="1911"/>
      <c r="I32" s="1911"/>
      <c r="J32" s="1911"/>
      <c r="K32" s="1911"/>
      <c r="L32" s="1911"/>
      <c r="M32" s="1911"/>
      <c r="N32" s="1911"/>
      <c r="O32" s="1911"/>
      <c r="P32" s="1911"/>
      <c r="Q32" s="1911"/>
      <c r="R32" s="1911"/>
      <c r="S32" s="1911"/>
      <c r="T32" s="1911"/>
      <c r="U32" s="1911"/>
      <c r="V32" s="1923"/>
      <c r="W32" s="4644"/>
    </row>
    <row r="33" spans="1:23" ht="17.25" customHeight="1">
      <c r="A33" s="4642"/>
      <c r="B33" s="4642"/>
      <c r="C33" s="1930"/>
      <c r="D33" s="1893"/>
      <c r="E33" s="1893"/>
      <c r="F33" s="1894"/>
      <c r="G33" s="1894"/>
      <c r="H33" s="1894"/>
      <c r="I33" s="1894"/>
      <c r="J33" s="1894"/>
      <c r="K33" s="1894"/>
      <c r="L33" s="1894"/>
      <c r="M33" s="1894"/>
      <c r="N33" s="1894"/>
      <c r="O33" s="1894"/>
      <c r="P33" s="1894"/>
      <c r="Q33" s="1894"/>
      <c r="R33" s="1894"/>
      <c r="S33" s="1894"/>
      <c r="T33" s="1894"/>
      <c r="U33" s="1894"/>
      <c r="V33" s="1924"/>
      <c r="W33" s="4645"/>
    </row>
    <row r="34" spans="1:23" ht="17.25" customHeight="1">
      <c r="A34" s="4642"/>
      <c r="B34" s="4642"/>
      <c r="C34" s="1930"/>
      <c r="D34" s="1893"/>
      <c r="E34" s="1893"/>
      <c r="F34" s="1894"/>
      <c r="G34" s="1894"/>
      <c r="H34" s="1894"/>
      <c r="I34" s="1894"/>
      <c r="J34" s="1894"/>
      <c r="K34" s="1894"/>
      <c r="L34" s="1894"/>
      <c r="M34" s="1894"/>
      <c r="N34" s="1894"/>
      <c r="O34" s="1894"/>
      <c r="P34" s="1894"/>
      <c r="Q34" s="1894"/>
      <c r="R34" s="1894"/>
      <c r="S34" s="1894"/>
      <c r="T34" s="1894"/>
      <c r="U34" s="1894"/>
      <c r="V34" s="1924"/>
      <c r="W34" s="4645"/>
    </row>
    <row r="35" spans="1:23" ht="17.25" customHeight="1">
      <c r="A35" s="4642"/>
      <c r="B35" s="4642"/>
      <c r="C35" s="1930"/>
      <c r="D35" s="1893"/>
      <c r="E35" s="1893"/>
      <c r="F35" s="1894"/>
      <c r="G35" s="1894"/>
      <c r="H35" s="1894"/>
      <c r="I35" s="1894"/>
      <c r="J35" s="1894"/>
      <c r="K35" s="1894"/>
      <c r="L35" s="1894"/>
      <c r="M35" s="1894"/>
      <c r="N35" s="1894"/>
      <c r="O35" s="1894"/>
      <c r="P35" s="1894"/>
      <c r="Q35" s="1894"/>
      <c r="R35" s="1894"/>
      <c r="S35" s="1894"/>
      <c r="T35" s="1894"/>
      <c r="U35" s="1894"/>
      <c r="V35" s="1924"/>
      <c r="W35" s="4645"/>
    </row>
    <row r="36" spans="1:23" ht="17.25" customHeight="1">
      <c r="A36" s="4643"/>
      <c r="B36" s="4643"/>
      <c r="C36" s="1931"/>
      <c r="D36" s="1908"/>
      <c r="E36" s="1908"/>
      <c r="F36" s="1909"/>
      <c r="G36" s="1909"/>
      <c r="H36" s="1909"/>
      <c r="I36" s="1909"/>
      <c r="J36" s="1909"/>
      <c r="K36" s="1909"/>
      <c r="L36" s="1909"/>
      <c r="M36" s="1909"/>
      <c r="N36" s="1909"/>
      <c r="O36" s="1909"/>
      <c r="P36" s="1909"/>
      <c r="Q36" s="1909"/>
      <c r="R36" s="1909"/>
      <c r="S36" s="1909"/>
      <c r="T36" s="1909"/>
      <c r="U36" s="1909"/>
      <c r="V36" s="1925"/>
      <c r="W36" s="4646"/>
    </row>
    <row r="37" spans="1:23" ht="18.75" customHeight="1">
      <c r="A37" s="4641">
        <v>6</v>
      </c>
      <c r="B37" s="4641" t="str">
        <f>'kt1'!B19</f>
        <v>Nàng Chay</v>
      </c>
      <c r="C37" s="1929"/>
      <c r="D37" s="1910"/>
      <c r="E37" s="1910"/>
      <c r="F37" s="1911"/>
      <c r="G37" s="1911"/>
      <c r="H37" s="1911"/>
      <c r="I37" s="1911"/>
      <c r="J37" s="1911"/>
      <c r="K37" s="1911"/>
      <c r="L37" s="1911"/>
      <c r="M37" s="1911"/>
      <c r="N37" s="1911"/>
      <c r="O37" s="1911"/>
      <c r="P37" s="1911"/>
      <c r="Q37" s="1911"/>
      <c r="R37" s="1911"/>
      <c r="S37" s="1911"/>
      <c r="T37" s="1911"/>
      <c r="U37" s="1911"/>
      <c r="V37" s="1926"/>
      <c r="W37" s="4644"/>
    </row>
    <row r="38" spans="1:23" ht="18.75" customHeight="1">
      <c r="A38" s="4642"/>
      <c r="B38" s="4642"/>
      <c r="C38" s="1930"/>
      <c r="D38" s="1893"/>
      <c r="E38" s="1893"/>
      <c r="F38" s="1894"/>
      <c r="G38" s="1894"/>
      <c r="H38" s="1894"/>
      <c r="I38" s="1894"/>
      <c r="J38" s="1894"/>
      <c r="K38" s="1894"/>
      <c r="L38" s="1894"/>
      <c r="M38" s="1894"/>
      <c r="N38" s="1894"/>
      <c r="O38" s="1894"/>
      <c r="P38" s="1894"/>
      <c r="Q38" s="1894"/>
      <c r="R38" s="1894"/>
      <c r="S38" s="1894"/>
      <c r="T38" s="1894"/>
      <c r="U38" s="1894"/>
      <c r="V38" s="1927"/>
      <c r="W38" s="4645"/>
    </row>
    <row r="39" spans="1:23" ht="18.75" customHeight="1">
      <c r="A39" s="4642"/>
      <c r="B39" s="4642"/>
      <c r="C39" s="1930"/>
      <c r="D39" s="1893"/>
      <c r="E39" s="1893"/>
      <c r="F39" s="1894"/>
      <c r="G39" s="1894"/>
      <c r="H39" s="1894"/>
      <c r="I39" s="1894"/>
      <c r="J39" s="1894"/>
      <c r="K39" s="1894"/>
      <c r="L39" s="1894"/>
      <c r="M39" s="1894"/>
      <c r="N39" s="1894"/>
      <c r="O39" s="1894"/>
      <c r="P39" s="1894"/>
      <c r="Q39" s="1894"/>
      <c r="R39" s="1894"/>
      <c r="S39" s="1894"/>
      <c r="T39" s="1894"/>
      <c r="U39" s="1894"/>
      <c r="V39" s="1927"/>
      <c r="W39" s="4645"/>
    </row>
    <row r="40" spans="1:23" ht="18.75" customHeight="1">
      <c r="A40" s="4642"/>
      <c r="B40" s="4642"/>
      <c r="C40" s="1930"/>
      <c r="D40" s="1893"/>
      <c r="E40" s="1893"/>
      <c r="F40" s="1894"/>
      <c r="G40" s="1894"/>
      <c r="H40" s="1894"/>
      <c r="I40" s="1894"/>
      <c r="J40" s="1894"/>
      <c r="K40" s="1894"/>
      <c r="L40" s="1894"/>
      <c r="M40" s="1894"/>
      <c r="N40" s="1894"/>
      <c r="O40" s="1894"/>
      <c r="P40" s="1894"/>
      <c r="Q40" s="1894"/>
      <c r="R40" s="1894"/>
      <c r="S40" s="1894"/>
      <c r="T40" s="1894"/>
      <c r="U40" s="1894"/>
      <c r="V40" s="1927"/>
      <c r="W40" s="4645"/>
    </row>
    <row r="41" spans="1:23" ht="18.75" customHeight="1">
      <c r="A41" s="4643"/>
      <c r="B41" s="4643"/>
      <c r="C41" s="1931"/>
      <c r="D41" s="1908"/>
      <c r="E41" s="1908"/>
      <c r="F41" s="1909"/>
      <c r="G41" s="1909"/>
      <c r="H41" s="1909"/>
      <c r="I41" s="1909"/>
      <c r="J41" s="1909"/>
      <c r="K41" s="1909"/>
      <c r="L41" s="1909"/>
      <c r="M41" s="1909"/>
      <c r="N41" s="1909"/>
      <c r="O41" s="1909"/>
      <c r="P41" s="1909"/>
      <c r="Q41" s="1909"/>
      <c r="R41" s="1909"/>
      <c r="S41" s="1909"/>
      <c r="T41" s="1909"/>
      <c r="U41" s="1909"/>
      <c r="V41" s="1928"/>
      <c r="W41" s="4646"/>
    </row>
    <row r="42" spans="1:23" ht="18" customHeight="1">
      <c r="A42" s="4641">
        <v>7</v>
      </c>
      <c r="B42" s="4641" t="str">
        <f>'kt1'!B20</f>
        <v>Nàng Hđao</v>
      </c>
      <c r="C42" s="1929"/>
      <c r="D42" s="1910"/>
      <c r="E42" s="1910"/>
      <c r="F42" s="1911"/>
      <c r="G42" s="1911"/>
      <c r="H42" s="1911"/>
      <c r="I42" s="1911"/>
      <c r="J42" s="1911"/>
      <c r="K42" s="1911"/>
      <c r="L42" s="1911"/>
      <c r="M42" s="1911"/>
      <c r="N42" s="1911"/>
      <c r="O42" s="1911"/>
      <c r="P42" s="1911"/>
      <c r="Q42" s="1911"/>
      <c r="R42" s="1911"/>
      <c r="S42" s="1911"/>
      <c r="T42" s="1911"/>
      <c r="U42" s="1911"/>
      <c r="V42" s="1923"/>
      <c r="W42" s="4644"/>
    </row>
    <row r="43" spans="1:23" ht="18" customHeight="1">
      <c r="A43" s="4642"/>
      <c r="B43" s="4642"/>
      <c r="C43" s="1930"/>
      <c r="D43" s="1893"/>
      <c r="E43" s="1893"/>
      <c r="F43" s="1894"/>
      <c r="G43" s="1894"/>
      <c r="H43" s="1894"/>
      <c r="I43" s="1894"/>
      <c r="J43" s="1894"/>
      <c r="K43" s="1894"/>
      <c r="L43" s="1894"/>
      <c r="M43" s="1894"/>
      <c r="N43" s="1894"/>
      <c r="O43" s="1894"/>
      <c r="P43" s="1894"/>
      <c r="Q43" s="1894"/>
      <c r="R43" s="1894"/>
      <c r="S43" s="1894"/>
      <c r="T43" s="1894"/>
      <c r="U43" s="1894"/>
      <c r="V43" s="1924"/>
      <c r="W43" s="4645"/>
    </row>
    <row r="44" spans="1:23" ht="18" customHeight="1">
      <c r="A44" s="4642"/>
      <c r="B44" s="4642"/>
      <c r="C44" s="1930"/>
      <c r="D44" s="1893"/>
      <c r="E44" s="1893"/>
      <c r="F44" s="1894"/>
      <c r="G44" s="1894"/>
      <c r="H44" s="1894"/>
      <c r="I44" s="1894"/>
      <c r="J44" s="1894"/>
      <c r="K44" s="1894"/>
      <c r="L44" s="1894"/>
      <c r="M44" s="1894"/>
      <c r="N44" s="1894"/>
      <c r="O44" s="1894"/>
      <c r="P44" s="1894"/>
      <c r="Q44" s="1894"/>
      <c r="R44" s="1894"/>
      <c r="S44" s="1894"/>
      <c r="T44" s="1894"/>
      <c r="U44" s="1894"/>
      <c r="V44" s="1924"/>
      <c r="W44" s="4645"/>
    </row>
    <row r="45" spans="1:23" ht="18" customHeight="1">
      <c r="A45" s="4642"/>
      <c r="B45" s="4642"/>
      <c r="C45" s="1930"/>
      <c r="D45" s="1893"/>
      <c r="E45" s="1893"/>
      <c r="F45" s="1894"/>
      <c r="G45" s="1894"/>
      <c r="H45" s="1894"/>
      <c r="I45" s="1894"/>
      <c r="J45" s="1894"/>
      <c r="K45" s="1894"/>
      <c r="L45" s="1894"/>
      <c r="M45" s="1894"/>
      <c r="N45" s="1894"/>
      <c r="O45" s="1894"/>
      <c r="P45" s="1894"/>
      <c r="Q45" s="1894"/>
      <c r="R45" s="1894"/>
      <c r="S45" s="1894"/>
      <c r="T45" s="1894"/>
      <c r="U45" s="1894"/>
      <c r="V45" s="1924"/>
      <c r="W45" s="4645"/>
    </row>
    <row r="46" spans="1:23" ht="18" customHeight="1">
      <c r="A46" s="4643"/>
      <c r="B46" s="4643"/>
      <c r="C46" s="1931"/>
      <c r="D46" s="1908"/>
      <c r="E46" s="1908"/>
      <c r="F46" s="1909"/>
      <c r="G46" s="1909"/>
      <c r="H46" s="1909"/>
      <c r="I46" s="1909"/>
      <c r="J46" s="1909"/>
      <c r="K46" s="1909"/>
      <c r="L46" s="1909"/>
      <c r="M46" s="1909"/>
      <c r="N46" s="1909"/>
      <c r="O46" s="1909"/>
      <c r="P46" s="1909"/>
      <c r="Q46" s="1909"/>
      <c r="R46" s="1909"/>
      <c r="S46" s="1909"/>
      <c r="T46" s="1909"/>
      <c r="U46" s="1909"/>
      <c r="V46" s="1925"/>
      <c r="W46" s="4646"/>
    </row>
    <row r="47" spans="1:23" ht="18" customHeight="1">
      <c r="A47" s="4641">
        <v>8</v>
      </c>
      <c r="B47" s="4641" t="str">
        <f>'kt1'!B21</f>
        <v xml:space="preserve">Thảo Ken </v>
      </c>
      <c r="C47" s="1929"/>
      <c r="D47" s="1910"/>
      <c r="E47" s="1910"/>
      <c r="F47" s="1911"/>
      <c r="G47" s="1911"/>
      <c r="H47" s="1911"/>
      <c r="I47" s="1911"/>
      <c r="J47" s="1911"/>
      <c r="K47" s="1911"/>
      <c r="L47" s="1911"/>
      <c r="M47" s="1911"/>
      <c r="N47" s="1911"/>
      <c r="O47" s="1911"/>
      <c r="P47" s="1911"/>
      <c r="Q47" s="1911"/>
      <c r="R47" s="1911"/>
      <c r="S47" s="1911"/>
      <c r="T47" s="1911"/>
      <c r="U47" s="1911"/>
      <c r="V47" s="1923"/>
      <c r="W47" s="4644"/>
    </row>
    <row r="48" spans="1:23" ht="18" customHeight="1">
      <c r="A48" s="4642"/>
      <c r="B48" s="4642"/>
      <c r="C48" s="1930"/>
      <c r="D48" s="1893"/>
      <c r="E48" s="1893"/>
      <c r="F48" s="1894"/>
      <c r="G48" s="1894"/>
      <c r="H48" s="1894"/>
      <c r="I48" s="1894"/>
      <c r="J48" s="1894"/>
      <c r="K48" s="1894"/>
      <c r="L48" s="1894"/>
      <c r="M48" s="1894"/>
      <c r="N48" s="1894"/>
      <c r="O48" s="1894"/>
      <c r="P48" s="1894"/>
      <c r="Q48" s="1894"/>
      <c r="R48" s="1894"/>
      <c r="S48" s="1894"/>
      <c r="T48" s="1894"/>
      <c r="U48" s="1894"/>
      <c r="V48" s="1924"/>
      <c r="W48" s="4645"/>
    </row>
    <row r="49" spans="1:23" ht="18" customHeight="1">
      <c r="A49" s="4642"/>
      <c r="B49" s="4642"/>
      <c r="C49" s="1930"/>
      <c r="D49" s="1893"/>
      <c r="E49" s="1893"/>
      <c r="F49" s="1894"/>
      <c r="G49" s="1894"/>
      <c r="H49" s="1894"/>
      <c r="I49" s="1894"/>
      <c r="J49" s="1894"/>
      <c r="K49" s="1894"/>
      <c r="L49" s="1894"/>
      <c r="M49" s="1894"/>
      <c r="N49" s="1894"/>
      <c r="O49" s="1894"/>
      <c r="P49" s="1894"/>
      <c r="Q49" s="1894"/>
      <c r="R49" s="1894"/>
      <c r="S49" s="1894"/>
      <c r="T49" s="1894"/>
      <c r="U49" s="1894"/>
      <c r="V49" s="1924"/>
      <c r="W49" s="4645"/>
    </row>
    <row r="50" spans="1:23" ht="18" customHeight="1">
      <c r="A50" s="4642"/>
      <c r="B50" s="4642"/>
      <c r="C50" s="1930"/>
      <c r="D50" s="1893"/>
      <c r="E50" s="1893"/>
      <c r="F50" s="1894"/>
      <c r="G50" s="1894"/>
      <c r="H50" s="1894"/>
      <c r="I50" s="1894"/>
      <c r="J50" s="1894"/>
      <c r="K50" s="1894"/>
      <c r="L50" s="1894"/>
      <c r="M50" s="1894"/>
      <c r="N50" s="1894"/>
      <c r="O50" s="1894"/>
      <c r="P50" s="1894"/>
      <c r="Q50" s="1894"/>
      <c r="R50" s="1894"/>
      <c r="S50" s="1894"/>
      <c r="T50" s="1894"/>
      <c r="U50" s="1894"/>
      <c r="V50" s="1924"/>
      <c r="W50" s="4645"/>
    </row>
    <row r="51" spans="1:23" ht="18" customHeight="1">
      <c r="A51" s="4643"/>
      <c r="B51" s="4643"/>
      <c r="C51" s="1931"/>
      <c r="D51" s="1908"/>
      <c r="E51" s="1908"/>
      <c r="F51" s="1909"/>
      <c r="G51" s="1909"/>
      <c r="H51" s="1909"/>
      <c r="I51" s="1909"/>
      <c r="J51" s="1909"/>
      <c r="K51" s="1909"/>
      <c r="L51" s="1909"/>
      <c r="M51" s="1909"/>
      <c r="N51" s="1909"/>
      <c r="O51" s="1909"/>
      <c r="P51" s="1909"/>
      <c r="Q51" s="1909"/>
      <c r="R51" s="1909"/>
      <c r="S51" s="1909"/>
      <c r="T51" s="1909"/>
      <c r="U51" s="1909"/>
      <c r="V51" s="1925"/>
      <c r="W51" s="4646"/>
    </row>
    <row r="52" spans="1:23" ht="15" customHeight="1">
      <c r="A52" s="4641">
        <v>9</v>
      </c>
      <c r="B52" s="4641" t="str">
        <f>'kt1'!B22</f>
        <v>Thảo Cợt</v>
      </c>
      <c r="C52" s="1929"/>
      <c r="D52" s="1910"/>
      <c r="E52" s="1910"/>
      <c r="F52" s="1911"/>
      <c r="G52" s="1911"/>
      <c r="H52" s="1911"/>
      <c r="I52" s="1911"/>
      <c r="J52" s="1911"/>
      <c r="K52" s="1911"/>
      <c r="L52" s="1911"/>
      <c r="M52" s="1911"/>
      <c r="N52" s="1911"/>
      <c r="O52" s="1911"/>
      <c r="P52" s="1911"/>
      <c r="Q52" s="1911"/>
      <c r="R52" s="1911"/>
      <c r="S52" s="1911"/>
      <c r="T52" s="1911"/>
      <c r="U52" s="1911"/>
      <c r="V52" s="1923"/>
      <c r="W52" s="4644"/>
    </row>
    <row r="53" spans="1:23" ht="15" customHeight="1">
      <c r="A53" s="4642"/>
      <c r="B53" s="4642"/>
      <c r="C53" s="1930"/>
      <c r="D53" s="1893"/>
      <c r="E53" s="1893"/>
      <c r="F53" s="1894"/>
      <c r="G53" s="1894"/>
      <c r="H53" s="1894"/>
      <c r="I53" s="1894"/>
      <c r="J53" s="1894"/>
      <c r="K53" s="1894"/>
      <c r="L53" s="1894"/>
      <c r="M53" s="1894"/>
      <c r="N53" s="1894"/>
      <c r="O53" s="1894"/>
      <c r="P53" s="1894"/>
      <c r="Q53" s="1894"/>
      <c r="R53" s="1894"/>
      <c r="S53" s="1894"/>
      <c r="T53" s="1894"/>
      <c r="U53" s="1894"/>
      <c r="V53" s="1924"/>
      <c r="W53" s="4645"/>
    </row>
    <row r="54" spans="1:23" ht="15" customHeight="1">
      <c r="A54" s="4642"/>
      <c r="B54" s="4642"/>
      <c r="C54" s="1930"/>
      <c r="D54" s="1893"/>
      <c r="E54" s="1893"/>
      <c r="F54" s="1894"/>
      <c r="G54" s="1894"/>
      <c r="H54" s="1894"/>
      <c r="I54" s="1894"/>
      <c r="J54" s="1894"/>
      <c r="K54" s="1894"/>
      <c r="L54" s="1894"/>
      <c r="M54" s="1894"/>
      <c r="N54" s="1894"/>
      <c r="O54" s="1894"/>
      <c r="P54" s="1894"/>
      <c r="Q54" s="1894"/>
      <c r="R54" s="1894"/>
      <c r="S54" s="1894"/>
      <c r="T54" s="1894"/>
      <c r="U54" s="1894"/>
      <c r="V54" s="1924"/>
      <c r="W54" s="4645"/>
    </row>
    <row r="55" spans="1:23" ht="15" customHeight="1">
      <c r="A55" s="4642"/>
      <c r="B55" s="4642"/>
      <c r="C55" s="1930"/>
      <c r="D55" s="1893"/>
      <c r="E55" s="1893"/>
      <c r="F55" s="1894"/>
      <c r="G55" s="1894"/>
      <c r="H55" s="1894"/>
      <c r="I55" s="1894"/>
      <c r="J55" s="1894"/>
      <c r="K55" s="1894"/>
      <c r="L55" s="1894"/>
      <c r="M55" s="1894"/>
      <c r="N55" s="1894"/>
      <c r="O55" s="1894"/>
      <c r="P55" s="1894"/>
      <c r="Q55" s="1894"/>
      <c r="R55" s="1894"/>
      <c r="S55" s="1894"/>
      <c r="T55" s="1894"/>
      <c r="U55" s="1894"/>
      <c r="V55" s="1924"/>
      <c r="W55" s="4645"/>
    </row>
    <row r="56" spans="1:23" ht="15" customHeight="1">
      <c r="A56" s="4643"/>
      <c r="B56" s="4643"/>
      <c r="C56" s="1931"/>
      <c r="D56" s="1908"/>
      <c r="E56" s="1908"/>
      <c r="F56" s="1909"/>
      <c r="G56" s="1909"/>
      <c r="H56" s="1909"/>
      <c r="I56" s="1909"/>
      <c r="J56" s="1909"/>
      <c r="K56" s="1909"/>
      <c r="L56" s="1909"/>
      <c r="M56" s="1909"/>
      <c r="N56" s="1909"/>
      <c r="O56" s="1909"/>
      <c r="P56" s="1909"/>
      <c r="Q56" s="1909"/>
      <c r="R56" s="1909"/>
      <c r="S56" s="1909"/>
      <c r="T56" s="1909"/>
      <c r="U56" s="1909"/>
      <c r="V56" s="1925"/>
      <c r="W56" s="4646"/>
    </row>
    <row r="57" spans="1:23" ht="17.25" customHeight="1">
      <c r="A57" s="4641">
        <v>10</v>
      </c>
      <c r="B57" s="4641" t="str">
        <f>'kt1'!B23</f>
        <v>Thảo Mi</v>
      </c>
      <c r="C57" s="1929"/>
      <c r="D57" s="1910"/>
      <c r="E57" s="1910"/>
      <c r="F57" s="1911"/>
      <c r="G57" s="1911"/>
      <c r="H57" s="1911"/>
      <c r="I57" s="1911"/>
      <c r="J57" s="1911"/>
      <c r="K57" s="1911"/>
      <c r="L57" s="1911"/>
      <c r="M57" s="1911"/>
      <c r="N57" s="1911"/>
      <c r="O57" s="1911"/>
      <c r="P57" s="1911"/>
      <c r="Q57" s="1911"/>
      <c r="R57" s="1911"/>
      <c r="S57" s="1911"/>
      <c r="T57" s="1911"/>
      <c r="U57" s="1911"/>
      <c r="V57" s="1923"/>
      <c r="W57" s="4644"/>
    </row>
    <row r="58" spans="1:23" ht="17.25" customHeight="1">
      <c r="A58" s="4642"/>
      <c r="B58" s="4642"/>
      <c r="C58" s="1930"/>
      <c r="D58" s="1893"/>
      <c r="E58" s="1893"/>
      <c r="F58" s="1894"/>
      <c r="G58" s="1894"/>
      <c r="H58" s="1894"/>
      <c r="I58" s="1894"/>
      <c r="J58" s="1894"/>
      <c r="K58" s="1894"/>
      <c r="L58" s="1894"/>
      <c r="M58" s="1894"/>
      <c r="N58" s="1894"/>
      <c r="O58" s="1894"/>
      <c r="P58" s="1894"/>
      <c r="Q58" s="1894"/>
      <c r="R58" s="1894"/>
      <c r="S58" s="1894"/>
      <c r="T58" s="1894"/>
      <c r="U58" s="1894"/>
      <c r="V58" s="1924"/>
      <c r="W58" s="4645"/>
    </row>
    <row r="59" spans="1:23" ht="17.25" customHeight="1">
      <c r="A59" s="4642"/>
      <c r="B59" s="4642"/>
      <c r="C59" s="1930"/>
      <c r="D59" s="1893"/>
      <c r="E59" s="1893"/>
      <c r="F59" s="1894"/>
      <c r="G59" s="1894"/>
      <c r="H59" s="1894"/>
      <c r="I59" s="1894"/>
      <c r="J59" s="1894"/>
      <c r="K59" s="1894"/>
      <c r="L59" s="1894"/>
      <c r="M59" s="1894"/>
      <c r="N59" s="1894"/>
      <c r="O59" s="1894"/>
      <c r="P59" s="1894"/>
      <c r="Q59" s="1894"/>
      <c r="R59" s="1894"/>
      <c r="S59" s="1894"/>
      <c r="T59" s="1894"/>
      <c r="U59" s="1894"/>
      <c r="V59" s="1924"/>
      <c r="W59" s="4645"/>
    </row>
    <row r="60" spans="1:23" ht="17.25" customHeight="1">
      <c r="A60" s="4642"/>
      <c r="B60" s="4642"/>
      <c r="C60" s="1930"/>
      <c r="D60" s="1893"/>
      <c r="E60" s="1893"/>
      <c r="F60" s="1894"/>
      <c r="G60" s="1894"/>
      <c r="H60" s="1894"/>
      <c r="I60" s="1894"/>
      <c r="J60" s="1894"/>
      <c r="K60" s="1894"/>
      <c r="L60" s="1894"/>
      <c r="M60" s="1894"/>
      <c r="N60" s="1894"/>
      <c r="O60" s="1894"/>
      <c r="P60" s="1894"/>
      <c r="Q60" s="1894"/>
      <c r="R60" s="1894"/>
      <c r="S60" s="1894"/>
      <c r="T60" s="1894"/>
      <c r="U60" s="1894"/>
      <c r="V60" s="1924"/>
      <c r="W60" s="4645"/>
    </row>
    <row r="61" spans="1:23" ht="17.25" customHeight="1">
      <c r="A61" s="4643"/>
      <c r="B61" s="4643"/>
      <c r="C61" s="1931"/>
      <c r="D61" s="1908"/>
      <c r="E61" s="1908"/>
      <c r="F61" s="1909"/>
      <c r="G61" s="1909"/>
      <c r="H61" s="1909"/>
      <c r="I61" s="1909"/>
      <c r="J61" s="1909"/>
      <c r="K61" s="1909"/>
      <c r="L61" s="1909"/>
      <c r="M61" s="1909"/>
      <c r="N61" s="1909"/>
      <c r="O61" s="1909"/>
      <c r="P61" s="1909"/>
      <c r="Q61" s="1909"/>
      <c r="R61" s="1909"/>
      <c r="S61" s="1909"/>
      <c r="T61" s="1909"/>
      <c r="U61" s="1909"/>
      <c r="V61" s="1925"/>
      <c r="W61" s="4646"/>
    </row>
    <row r="62" spans="1:23" ht="21" customHeight="1">
      <c r="A62" s="4641">
        <v>11</v>
      </c>
      <c r="B62" s="4641" t="str">
        <f>'kt1'!B24</f>
        <v>Thảo Phét</v>
      </c>
      <c r="C62" s="1929"/>
      <c r="D62" s="1910"/>
      <c r="E62" s="1910"/>
      <c r="F62" s="1911"/>
      <c r="G62" s="1911"/>
      <c r="H62" s="1911"/>
      <c r="I62" s="1911"/>
      <c r="J62" s="1911"/>
      <c r="K62" s="1911"/>
      <c r="L62" s="1911"/>
      <c r="M62" s="1911"/>
      <c r="N62" s="1911"/>
      <c r="O62" s="1911"/>
      <c r="P62" s="1911"/>
      <c r="Q62" s="1911"/>
      <c r="R62" s="1911"/>
      <c r="S62" s="1911"/>
      <c r="T62" s="1911"/>
      <c r="U62" s="1911"/>
      <c r="V62" s="1923"/>
      <c r="W62" s="4644"/>
    </row>
    <row r="63" spans="1:23" ht="21" customHeight="1">
      <c r="A63" s="4642"/>
      <c r="B63" s="4642"/>
      <c r="C63" s="1930"/>
      <c r="D63" s="1893"/>
      <c r="E63" s="1893"/>
      <c r="F63" s="1894"/>
      <c r="G63" s="1894"/>
      <c r="H63" s="1894"/>
      <c r="I63" s="1894"/>
      <c r="J63" s="1894"/>
      <c r="K63" s="1894"/>
      <c r="L63" s="1894"/>
      <c r="M63" s="1894"/>
      <c r="N63" s="1894"/>
      <c r="O63" s="1894"/>
      <c r="P63" s="1894"/>
      <c r="Q63" s="1894"/>
      <c r="R63" s="1894"/>
      <c r="S63" s="1894"/>
      <c r="T63" s="1894"/>
      <c r="U63" s="1894"/>
      <c r="V63" s="1924"/>
      <c r="W63" s="4645"/>
    </row>
    <row r="64" spans="1:23" ht="21" customHeight="1">
      <c r="A64" s="4642"/>
      <c r="B64" s="4642"/>
      <c r="C64" s="1930"/>
      <c r="D64" s="1893"/>
      <c r="E64" s="1893"/>
      <c r="F64" s="1894"/>
      <c r="G64" s="1894"/>
      <c r="H64" s="1894"/>
      <c r="I64" s="1894"/>
      <c r="J64" s="1894"/>
      <c r="K64" s="1894"/>
      <c r="L64" s="1894"/>
      <c r="M64" s="1894"/>
      <c r="N64" s="1894"/>
      <c r="O64" s="1894"/>
      <c r="P64" s="1894"/>
      <c r="Q64" s="1894"/>
      <c r="R64" s="1894"/>
      <c r="S64" s="1894"/>
      <c r="T64" s="1894"/>
      <c r="U64" s="1894"/>
      <c r="V64" s="1924"/>
      <c r="W64" s="4645"/>
    </row>
    <row r="65" spans="1:23" ht="21" customHeight="1">
      <c r="A65" s="4642"/>
      <c r="B65" s="4642"/>
      <c r="C65" s="1930"/>
      <c r="D65" s="1893"/>
      <c r="E65" s="1893"/>
      <c r="F65" s="1894"/>
      <c r="G65" s="1894"/>
      <c r="H65" s="1894"/>
      <c r="I65" s="1894"/>
      <c r="J65" s="1894"/>
      <c r="K65" s="1894"/>
      <c r="L65" s="1894"/>
      <c r="M65" s="1894"/>
      <c r="N65" s="1894"/>
      <c r="O65" s="1894"/>
      <c r="P65" s="1894"/>
      <c r="Q65" s="1894"/>
      <c r="R65" s="1894"/>
      <c r="S65" s="1894"/>
      <c r="T65" s="1894"/>
      <c r="U65" s="1894"/>
      <c r="V65" s="1924"/>
      <c r="W65" s="4645"/>
    </row>
    <row r="66" spans="1:23" ht="21" customHeight="1">
      <c r="A66" s="4643"/>
      <c r="B66" s="4643"/>
      <c r="C66" s="1931"/>
      <c r="D66" s="1908"/>
      <c r="E66" s="1908"/>
      <c r="F66" s="1909"/>
      <c r="G66" s="1909"/>
      <c r="H66" s="1909"/>
      <c r="I66" s="1909"/>
      <c r="J66" s="1909"/>
      <c r="K66" s="1909"/>
      <c r="L66" s="1909"/>
      <c r="M66" s="1909"/>
      <c r="N66" s="1909"/>
      <c r="O66" s="1909"/>
      <c r="P66" s="1909"/>
      <c r="Q66" s="1909"/>
      <c r="R66" s="1909"/>
      <c r="S66" s="1909"/>
      <c r="T66" s="1909"/>
      <c r="U66" s="1909"/>
      <c r="V66" s="1925"/>
      <c r="W66" s="4646"/>
    </row>
    <row r="67" spans="1:23" ht="21" customHeight="1">
      <c r="A67" s="4641">
        <v>12</v>
      </c>
      <c r="B67" s="4641" t="str">
        <f>'kt1'!B25</f>
        <v>Thảo Hăm</v>
      </c>
      <c r="C67" s="1929"/>
      <c r="D67" s="1910"/>
      <c r="E67" s="1910"/>
      <c r="F67" s="1911"/>
      <c r="G67" s="1911"/>
      <c r="H67" s="1911"/>
      <c r="I67" s="1911"/>
      <c r="J67" s="1911"/>
      <c r="K67" s="1911"/>
      <c r="L67" s="1911"/>
      <c r="M67" s="1911"/>
      <c r="N67" s="1911"/>
      <c r="O67" s="1911"/>
      <c r="P67" s="1911"/>
      <c r="Q67" s="1911"/>
      <c r="R67" s="1911"/>
      <c r="S67" s="1911"/>
      <c r="T67" s="1911"/>
      <c r="U67" s="1911"/>
      <c r="V67" s="1923"/>
      <c r="W67" s="4644"/>
    </row>
    <row r="68" spans="1:23" ht="21" customHeight="1">
      <c r="A68" s="4642"/>
      <c r="B68" s="4642"/>
      <c r="C68" s="1930"/>
      <c r="D68" s="1893"/>
      <c r="E68" s="1893"/>
      <c r="F68" s="1894"/>
      <c r="G68" s="1894"/>
      <c r="H68" s="1894"/>
      <c r="I68" s="1894"/>
      <c r="J68" s="1894"/>
      <c r="K68" s="1894"/>
      <c r="L68" s="1894"/>
      <c r="M68" s="1894"/>
      <c r="N68" s="1894"/>
      <c r="O68" s="1894"/>
      <c r="P68" s="1894"/>
      <c r="Q68" s="1894"/>
      <c r="R68" s="1894"/>
      <c r="S68" s="1894"/>
      <c r="T68" s="1894"/>
      <c r="U68" s="1894"/>
      <c r="V68" s="1924"/>
      <c r="W68" s="4645"/>
    </row>
    <row r="69" spans="1:23" ht="21" customHeight="1">
      <c r="A69" s="4642"/>
      <c r="B69" s="4642"/>
      <c r="C69" s="1930"/>
      <c r="D69" s="1893"/>
      <c r="E69" s="1893"/>
      <c r="F69" s="1894"/>
      <c r="G69" s="1894"/>
      <c r="H69" s="1894"/>
      <c r="I69" s="1894"/>
      <c r="J69" s="1894"/>
      <c r="K69" s="1894"/>
      <c r="L69" s="1894"/>
      <c r="M69" s="1894"/>
      <c r="N69" s="1894"/>
      <c r="O69" s="1894"/>
      <c r="P69" s="1894"/>
      <c r="Q69" s="1894"/>
      <c r="R69" s="1894"/>
      <c r="S69" s="1894"/>
      <c r="T69" s="1894"/>
      <c r="U69" s="1894"/>
      <c r="V69" s="1924"/>
      <c r="W69" s="4645"/>
    </row>
    <row r="70" spans="1:23" ht="21" customHeight="1">
      <c r="A70" s="4642"/>
      <c r="B70" s="4642"/>
      <c r="C70" s="1930"/>
      <c r="D70" s="1893"/>
      <c r="E70" s="1893"/>
      <c r="F70" s="1894"/>
      <c r="G70" s="1894"/>
      <c r="H70" s="1894"/>
      <c r="I70" s="1894"/>
      <c r="J70" s="1894"/>
      <c r="K70" s="1894"/>
      <c r="L70" s="1894"/>
      <c r="M70" s="1894"/>
      <c r="N70" s="1894"/>
      <c r="O70" s="1894"/>
      <c r="P70" s="1894"/>
      <c r="Q70" s="1894"/>
      <c r="R70" s="1894"/>
      <c r="S70" s="1894"/>
      <c r="T70" s="1894"/>
      <c r="U70" s="1894"/>
      <c r="V70" s="1924"/>
      <c r="W70" s="4645"/>
    </row>
    <row r="71" spans="1:23" ht="22.5" customHeight="1">
      <c r="A71" s="4643"/>
      <c r="B71" s="4643"/>
      <c r="C71" s="1931"/>
      <c r="D71" s="1908"/>
      <c r="E71" s="1908"/>
      <c r="F71" s="1909"/>
      <c r="G71" s="1909"/>
      <c r="H71" s="1909"/>
      <c r="I71" s="1909"/>
      <c r="J71" s="1909"/>
      <c r="K71" s="1909"/>
      <c r="L71" s="1909"/>
      <c r="M71" s="1909"/>
      <c r="N71" s="1909"/>
      <c r="O71" s="1909"/>
      <c r="P71" s="1909"/>
      <c r="Q71" s="1909"/>
      <c r="R71" s="1909"/>
      <c r="S71" s="1909"/>
      <c r="T71" s="1909"/>
      <c r="U71" s="1909"/>
      <c r="V71" s="1925"/>
      <c r="W71" s="4646"/>
    </row>
    <row r="72" spans="1:23" ht="22.5" customHeight="1">
      <c r="A72" s="4641">
        <v>13</v>
      </c>
      <c r="B72" s="4641" t="str">
        <f>'kt1'!B26</f>
        <v>Nang Lon</v>
      </c>
      <c r="C72" s="1929"/>
      <c r="D72" s="1910"/>
      <c r="E72" s="1910"/>
      <c r="F72" s="1911"/>
      <c r="G72" s="1911"/>
      <c r="H72" s="1911"/>
      <c r="I72" s="1911"/>
      <c r="J72" s="1911"/>
      <c r="K72" s="1911"/>
      <c r="L72" s="1911"/>
      <c r="M72" s="1911"/>
      <c r="N72" s="1911"/>
      <c r="O72" s="1911"/>
      <c r="P72" s="1911"/>
      <c r="Q72" s="1911"/>
      <c r="R72" s="1911"/>
      <c r="S72" s="1911"/>
      <c r="T72" s="1911"/>
      <c r="U72" s="1911"/>
      <c r="V72" s="1923"/>
      <c r="W72" s="4644"/>
    </row>
    <row r="73" spans="1:23" ht="22.5" customHeight="1">
      <c r="A73" s="4642"/>
      <c r="B73" s="4642"/>
      <c r="C73" s="1930"/>
      <c r="D73" s="1893"/>
      <c r="E73" s="1893"/>
      <c r="F73" s="1894"/>
      <c r="G73" s="1894"/>
      <c r="H73" s="1894"/>
      <c r="I73" s="1894"/>
      <c r="J73" s="1894"/>
      <c r="K73" s="1894"/>
      <c r="L73" s="1894"/>
      <c r="M73" s="1894"/>
      <c r="N73" s="1894"/>
      <c r="O73" s="1894"/>
      <c r="P73" s="1894"/>
      <c r="Q73" s="1894"/>
      <c r="R73" s="1894"/>
      <c r="S73" s="1894"/>
      <c r="T73" s="1894"/>
      <c r="U73" s="1894"/>
      <c r="V73" s="1924"/>
      <c r="W73" s="4645"/>
    </row>
    <row r="74" spans="1:23" ht="22.5" customHeight="1">
      <c r="A74" s="4642"/>
      <c r="B74" s="4642"/>
      <c r="C74" s="1930"/>
      <c r="D74" s="1893"/>
      <c r="E74" s="1893"/>
      <c r="F74" s="1894"/>
      <c r="G74" s="1894"/>
      <c r="H74" s="1894"/>
      <c r="I74" s="1894"/>
      <c r="J74" s="1894"/>
      <c r="K74" s="1894"/>
      <c r="L74" s="1894"/>
      <c r="M74" s="1894"/>
      <c r="N74" s="1894"/>
      <c r="O74" s="1894"/>
      <c r="P74" s="1894"/>
      <c r="Q74" s="1894"/>
      <c r="R74" s="1894"/>
      <c r="S74" s="1894"/>
      <c r="T74" s="1894"/>
      <c r="U74" s="1894"/>
      <c r="V74" s="1924"/>
      <c r="W74" s="4645"/>
    </row>
    <row r="75" spans="1:23" ht="22.5" customHeight="1">
      <c r="A75" s="4642"/>
      <c r="B75" s="4642"/>
      <c r="C75" s="1930"/>
      <c r="D75" s="1893"/>
      <c r="E75" s="1893"/>
      <c r="F75" s="1894"/>
      <c r="G75" s="1894"/>
      <c r="H75" s="1894"/>
      <c r="I75" s="1894"/>
      <c r="J75" s="1894"/>
      <c r="K75" s="1894"/>
      <c r="L75" s="1894"/>
      <c r="M75" s="1894"/>
      <c r="N75" s="1894"/>
      <c r="O75" s="1894"/>
      <c r="P75" s="1894"/>
      <c r="Q75" s="1894"/>
      <c r="R75" s="1894"/>
      <c r="S75" s="1894"/>
      <c r="T75" s="1894"/>
      <c r="U75" s="1894"/>
      <c r="V75" s="1924"/>
      <c r="W75" s="4645"/>
    </row>
    <row r="76" spans="1:23" ht="22.5" customHeight="1">
      <c r="A76" s="4643"/>
      <c r="B76" s="4643"/>
      <c r="C76" s="1931"/>
      <c r="D76" s="1908"/>
      <c r="E76" s="1908"/>
      <c r="F76" s="1909"/>
      <c r="G76" s="1909"/>
      <c r="H76" s="1909"/>
      <c r="I76" s="1909"/>
      <c r="J76" s="1909"/>
      <c r="K76" s="1909"/>
      <c r="L76" s="1909"/>
      <c r="M76" s="1909"/>
      <c r="N76" s="1909"/>
      <c r="O76" s="1909"/>
      <c r="P76" s="1909"/>
      <c r="Q76" s="1909"/>
      <c r="R76" s="1909"/>
      <c r="S76" s="1909"/>
      <c r="T76" s="1909"/>
      <c r="U76" s="1909"/>
      <c r="V76" s="1925"/>
      <c r="W76" s="4646"/>
    </row>
    <row r="77" spans="1:23" ht="28.5" customHeight="1">
      <c r="A77" s="4641">
        <v>14</v>
      </c>
      <c r="B77" s="4641" t="str">
        <f>'kt1'!B27</f>
        <v>Thảo Phết</v>
      </c>
      <c r="C77" s="1929"/>
      <c r="D77" s="1910"/>
      <c r="E77" s="1910"/>
      <c r="F77" s="1911"/>
      <c r="G77" s="1911"/>
      <c r="H77" s="1911"/>
      <c r="I77" s="1911"/>
      <c r="J77" s="1911"/>
      <c r="K77" s="1911"/>
      <c r="L77" s="1911"/>
      <c r="M77" s="1911"/>
      <c r="N77" s="1911"/>
      <c r="O77" s="1911"/>
      <c r="P77" s="1911"/>
      <c r="Q77" s="1911"/>
      <c r="R77" s="1911"/>
      <c r="S77" s="1911"/>
      <c r="T77" s="1911"/>
      <c r="U77" s="1911"/>
      <c r="V77" s="1923"/>
      <c r="W77" s="4644"/>
    </row>
    <row r="78" spans="1:23" ht="28.5" customHeight="1">
      <c r="A78" s="4642"/>
      <c r="B78" s="4642"/>
      <c r="C78" s="1930"/>
      <c r="D78" s="1893"/>
      <c r="E78" s="1893"/>
      <c r="F78" s="1894"/>
      <c r="G78" s="1894"/>
      <c r="H78" s="1894"/>
      <c r="I78" s="1894"/>
      <c r="J78" s="1894"/>
      <c r="K78" s="1894"/>
      <c r="L78" s="1894"/>
      <c r="M78" s="1894"/>
      <c r="N78" s="1894"/>
      <c r="O78" s="1894"/>
      <c r="P78" s="1894"/>
      <c r="Q78" s="1894"/>
      <c r="R78" s="1894"/>
      <c r="S78" s="1894"/>
      <c r="T78" s="1894"/>
      <c r="U78" s="1894"/>
      <c r="V78" s="1924"/>
      <c r="W78" s="4645"/>
    </row>
    <row r="79" spans="1:23" ht="28.5" customHeight="1">
      <c r="A79" s="4642"/>
      <c r="B79" s="4642"/>
      <c r="C79" s="1930"/>
      <c r="D79" s="1893"/>
      <c r="E79" s="1893"/>
      <c r="F79" s="1894"/>
      <c r="G79" s="1894"/>
      <c r="H79" s="1894"/>
      <c r="I79" s="1894"/>
      <c r="J79" s="1894"/>
      <c r="K79" s="1894"/>
      <c r="L79" s="1894"/>
      <c r="M79" s="1894"/>
      <c r="N79" s="1894"/>
      <c r="O79" s="1894"/>
      <c r="P79" s="1894"/>
      <c r="Q79" s="1894"/>
      <c r="R79" s="1894"/>
      <c r="S79" s="1894"/>
      <c r="T79" s="1894"/>
      <c r="U79" s="1894"/>
      <c r="V79" s="1924"/>
      <c r="W79" s="4645"/>
    </row>
    <row r="80" spans="1:23" ht="28.5" customHeight="1">
      <c r="A80" s="4642"/>
      <c r="B80" s="4642"/>
      <c r="C80" s="1930"/>
      <c r="D80" s="1893"/>
      <c r="E80" s="1893"/>
      <c r="F80" s="1894"/>
      <c r="G80" s="1894"/>
      <c r="H80" s="1894"/>
      <c r="I80" s="1894"/>
      <c r="J80" s="1894"/>
      <c r="K80" s="1894"/>
      <c r="L80" s="1894"/>
      <c r="M80" s="1894"/>
      <c r="N80" s="1894"/>
      <c r="O80" s="1894"/>
      <c r="P80" s="1894"/>
      <c r="Q80" s="1894"/>
      <c r="R80" s="1894"/>
      <c r="S80" s="1894"/>
      <c r="T80" s="1894"/>
      <c r="U80" s="1894"/>
      <c r="V80" s="1924"/>
      <c r="W80" s="4645"/>
    </row>
    <row r="81" spans="1:23" ht="28.5" customHeight="1">
      <c r="A81" s="4643"/>
      <c r="B81" s="4643"/>
      <c r="C81" s="1931"/>
      <c r="D81" s="1908"/>
      <c r="E81" s="1908"/>
      <c r="F81" s="1909"/>
      <c r="G81" s="1909"/>
      <c r="H81" s="1909"/>
      <c r="I81" s="1909"/>
      <c r="J81" s="1909"/>
      <c r="K81" s="1909"/>
      <c r="L81" s="1909"/>
      <c r="M81" s="1909"/>
      <c r="N81" s="1909"/>
      <c r="O81" s="1909"/>
      <c r="P81" s="1909"/>
      <c r="Q81" s="1909"/>
      <c r="R81" s="1909"/>
      <c r="S81" s="1909"/>
      <c r="T81" s="1909"/>
      <c r="U81" s="1909"/>
      <c r="V81" s="1925"/>
      <c r="W81" s="4646"/>
    </row>
    <row r="82" spans="1:23" ht="21" customHeight="1">
      <c r="A82" s="4641">
        <v>15</v>
      </c>
      <c r="B82" s="4641" t="str">
        <f>'kt1'!B28</f>
        <v>Vĩ Lay</v>
      </c>
      <c r="C82" s="1929"/>
      <c r="D82" s="1910"/>
      <c r="E82" s="1910"/>
      <c r="F82" s="1911"/>
      <c r="G82" s="1911"/>
      <c r="H82" s="1911"/>
      <c r="I82" s="1911"/>
      <c r="J82" s="1911"/>
      <c r="K82" s="1911"/>
      <c r="L82" s="1911"/>
      <c r="M82" s="1911"/>
      <c r="N82" s="1911"/>
      <c r="O82" s="1911"/>
      <c r="P82" s="1911"/>
      <c r="Q82" s="1911"/>
      <c r="R82" s="1911"/>
      <c r="S82" s="1911"/>
      <c r="T82" s="1911"/>
      <c r="U82" s="1911"/>
      <c r="V82" s="1923"/>
      <c r="W82" s="4644"/>
    </row>
    <row r="83" spans="1:23" ht="21" customHeight="1">
      <c r="A83" s="4642"/>
      <c r="B83" s="4642"/>
      <c r="C83" s="1930"/>
      <c r="D83" s="1893"/>
      <c r="E83" s="1893"/>
      <c r="F83" s="1894"/>
      <c r="G83" s="1894"/>
      <c r="H83" s="1894"/>
      <c r="I83" s="1894"/>
      <c r="J83" s="1894"/>
      <c r="K83" s="1894"/>
      <c r="L83" s="1894"/>
      <c r="M83" s="1894"/>
      <c r="N83" s="1894"/>
      <c r="O83" s="1894"/>
      <c r="P83" s="1894"/>
      <c r="Q83" s="1894"/>
      <c r="R83" s="1894"/>
      <c r="S83" s="1894"/>
      <c r="T83" s="1894"/>
      <c r="U83" s="1894"/>
      <c r="V83" s="1924"/>
      <c r="W83" s="4645"/>
    </row>
    <row r="84" spans="1:23" ht="21" customHeight="1">
      <c r="A84" s="4642"/>
      <c r="B84" s="4642"/>
      <c r="C84" s="1930"/>
      <c r="D84" s="1893"/>
      <c r="E84" s="1893"/>
      <c r="F84" s="1894"/>
      <c r="G84" s="1894"/>
      <c r="H84" s="1894"/>
      <c r="I84" s="1894"/>
      <c r="J84" s="1894"/>
      <c r="K84" s="1894"/>
      <c r="L84" s="1894"/>
      <c r="M84" s="1894"/>
      <c r="N84" s="1894"/>
      <c r="O84" s="1894"/>
      <c r="P84" s="1894"/>
      <c r="Q84" s="1894"/>
      <c r="R84" s="1894"/>
      <c r="S84" s="1894"/>
      <c r="T84" s="1894"/>
      <c r="U84" s="1894"/>
      <c r="V84" s="1924"/>
      <c r="W84" s="4645"/>
    </row>
    <row r="85" spans="1:23" ht="21" customHeight="1">
      <c r="A85" s="4642"/>
      <c r="B85" s="4642"/>
      <c r="C85" s="1930"/>
      <c r="D85" s="1893"/>
      <c r="E85" s="1893"/>
      <c r="F85" s="1894"/>
      <c r="G85" s="1894"/>
      <c r="H85" s="1894"/>
      <c r="I85" s="1894"/>
      <c r="J85" s="1894"/>
      <c r="K85" s="1894"/>
      <c r="L85" s="1894"/>
      <c r="M85" s="1894"/>
      <c r="N85" s="1894"/>
      <c r="O85" s="1894"/>
      <c r="P85" s="1894"/>
      <c r="Q85" s="1894"/>
      <c r="R85" s="1894"/>
      <c r="S85" s="1894"/>
      <c r="T85" s="1894"/>
      <c r="U85" s="1894"/>
      <c r="V85" s="1924"/>
      <c r="W85" s="4645"/>
    </row>
    <row r="86" spans="1:23" ht="21" customHeight="1">
      <c r="A86" s="4643"/>
      <c r="B86" s="4643"/>
      <c r="C86" s="1931"/>
      <c r="D86" s="1908"/>
      <c r="E86" s="1908"/>
      <c r="F86" s="1909"/>
      <c r="G86" s="1909"/>
      <c r="H86" s="1909"/>
      <c r="I86" s="1909"/>
      <c r="J86" s="1909"/>
      <c r="K86" s="1909"/>
      <c r="L86" s="1909"/>
      <c r="M86" s="1909"/>
      <c r="N86" s="1909"/>
      <c r="O86" s="1909"/>
      <c r="P86" s="1909"/>
      <c r="Q86" s="1909"/>
      <c r="R86" s="1909"/>
      <c r="S86" s="1909"/>
      <c r="T86" s="1909"/>
      <c r="U86" s="1909"/>
      <c r="V86" s="1925"/>
      <c r="W86" s="4646"/>
    </row>
    <row r="87" spans="1:23" ht="17.25" hidden="1" customHeight="1">
      <c r="A87" s="4641">
        <v>16</v>
      </c>
      <c r="B87" s="4641" t="str">
        <f>'kt1'!B29</f>
        <v>Pha Xúc</v>
      </c>
      <c r="C87" s="1929"/>
      <c r="D87" s="1910"/>
      <c r="E87" s="1910"/>
      <c r="F87" s="1911"/>
      <c r="G87" s="1911"/>
      <c r="H87" s="1911"/>
      <c r="I87" s="1911"/>
      <c r="J87" s="1911"/>
      <c r="K87" s="1911"/>
      <c r="L87" s="1911"/>
      <c r="M87" s="1911"/>
      <c r="N87" s="1911"/>
      <c r="O87" s="1911"/>
      <c r="P87" s="1911"/>
      <c r="Q87" s="1911"/>
      <c r="R87" s="1911"/>
      <c r="S87" s="1911"/>
      <c r="T87" s="1911"/>
      <c r="U87" s="1911"/>
      <c r="V87" s="1923"/>
      <c r="W87" s="4644"/>
    </row>
    <row r="88" spans="1:23" ht="17.25" hidden="1" customHeight="1">
      <c r="A88" s="4642"/>
      <c r="B88" s="4642"/>
      <c r="C88" s="1930"/>
      <c r="D88" s="1893"/>
      <c r="E88" s="1893"/>
      <c r="F88" s="1894"/>
      <c r="G88" s="1894"/>
      <c r="H88" s="1894"/>
      <c r="I88" s="1894"/>
      <c r="J88" s="1894"/>
      <c r="K88" s="1894"/>
      <c r="L88" s="1894"/>
      <c r="M88" s="1894"/>
      <c r="N88" s="1894"/>
      <c r="O88" s="1894"/>
      <c r="P88" s="1894"/>
      <c r="Q88" s="1894"/>
      <c r="R88" s="1894"/>
      <c r="S88" s="1894"/>
      <c r="T88" s="1894"/>
      <c r="U88" s="1894"/>
      <c r="V88" s="1924"/>
      <c r="W88" s="4645"/>
    </row>
    <row r="89" spans="1:23" ht="17.25" hidden="1" customHeight="1">
      <c r="A89" s="4642"/>
      <c r="B89" s="4642"/>
      <c r="C89" s="1930"/>
      <c r="D89" s="1893"/>
      <c r="E89" s="1893"/>
      <c r="F89" s="1894"/>
      <c r="G89" s="1894"/>
      <c r="H89" s="1894"/>
      <c r="I89" s="1894"/>
      <c r="J89" s="1894"/>
      <c r="K89" s="1894"/>
      <c r="L89" s="1894"/>
      <c r="M89" s="1894"/>
      <c r="N89" s="1894"/>
      <c r="O89" s="1894"/>
      <c r="P89" s="1894"/>
      <c r="Q89" s="1894"/>
      <c r="R89" s="1894"/>
      <c r="S89" s="1894"/>
      <c r="T89" s="1894"/>
      <c r="U89" s="1894"/>
      <c r="V89" s="1924"/>
      <c r="W89" s="4645"/>
    </row>
    <row r="90" spans="1:23" ht="17.25" hidden="1" customHeight="1">
      <c r="A90" s="4642"/>
      <c r="B90" s="4642"/>
      <c r="C90" s="1930"/>
      <c r="D90" s="1893"/>
      <c r="E90" s="1893"/>
      <c r="F90" s="1894"/>
      <c r="G90" s="1894"/>
      <c r="H90" s="1894"/>
      <c r="I90" s="1894"/>
      <c r="J90" s="1894"/>
      <c r="K90" s="1894"/>
      <c r="L90" s="1894"/>
      <c r="M90" s="1894"/>
      <c r="N90" s="1894"/>
      <c r="O90" s="1894"/>
      <c r="P90" s="1894"/>
      <c r="Q90" s="1894"/>
      <c r="R90" s="1894"/>
      <c r="S90" s="1894"/>
      <c r="T90" s="1894"/>
      <c r="U90" s="1894"/>
      <c r="V90" s="1924"/>
      <c r="W90" s="4645"/>
    </row>
    <row r="91" spans="1:23" ht="17.25" hidden="1" customHeight="1">
      <c r="A91" s="4643"/>
      <c r="B91" s="4643"/>
      <c r="C91" s="1931"/>
      <c r="D91" s="1908"/>
      <c r="E91" s="1908"/>
      <c r="F91" s="1909"/>
      <c r="G91" s="1909"/>
      <c r="H91" s="1909"/>
      <c r="I91" s="1909"/>
      <c r="J91" s="1909"/>
      <c r="K91" s="1909"/>
      <c r="L91" s="1909"/>
      <c r="M91" s="1909"/>
      <c r="N91" s="1909"/>
      <c r="O91" s="1909"/>
      <c r="P91" s="1909"/>
      <c r="Q91" s="1909"/>
      <c r="R91" s="1909"/>
      <c r="S91" s="1909"/>
      <c r="T91" s="1909"/>
      <c r="U91" s="1909"/>
      <c r="V91" s="1925"/>
      <c r="W91" s="4646"/>
    </row>
    <row r="92" spans="1:23" ht="18.75" customHeight="1">
      <c r="A92" s="4641">
        <v>17</v>
      </c>
      <c r="B92" s="4641" t="str">
        <f>'kt1'!B30</f>
        <v>Nàng Đao</v>
      </c>
      <c r="C92" s="1929"/>
      <c r="D92" s="1910"/>
      <c r="E92" s="1910"/>
      <c r="F92" s="1911"/>
      <c r="G92" s="1911"/>
      <c r="H92" s="1911"/>
      <c r="I92" s="1911"/>
      <c r="J92" s="1911"/>
      <c r="K92" s="1911"/>
      <c r="L92" s="1911"/>
      <c r="M92" s="1911"/>
      <c r="N92" s="1911"/>
      <c r="O92" s="1911"/>
      <c r="P92" s="1911"/>
      <c r="Q92" s="1911"/>
      <c r="R92" s="1911"/>
      <c r="S92" s="1911"/>
      <c r="T92" s="1911"/>
      <c r="U92" s="1911"/>
      <c r="V92" s="1923"/>
      <c r="W92" s="4644"/>
    </row>
    <row r="93" spans="1:23" ht="18.75" customHeight="1">
      <c r="A93" s="4642"/>
      <c r="B93" s="4642"/>
      <c r="C93" s="1930"/>
      <c r="D93" s="1893"/>
      <c r="E93" s="1893"/>
      <c r="F93" s="1894"/>
      <c r="G93" s="1894"/>
      <c r="H93" s="1894"/>
      <c r="I93" s="1894"/>
      <c r="J93" s="1894"/>
      <c r="K93" s="1894"/>
      <c r="L93" s="1894"/>
      <c r="M93" s="1894"/>
      <c r="N93" s="1894"/>
      <c r="O93" s="1894"/>
      <c r="P93" s="1894"/>
      <c r="Q93" s="1894"/>
      <c r="R93" s="1894"/>
      <c r="S93" s="1894"/>
      <c r="T93" s="1894"/>
      <c r="U93" s="1894"/>
      <c r="V93" s="1924"/>
      <c r="W93" s="4645"/>
    </row>
    <row r="94" spans="1:23" ht="18.75" customHeight="1">
      <c r="A94" s="4642"/>
      <c r="B94" s="4642"/>
      <c r="C94" s="1930"/>
      <c r="D94" s="1893"/>
      <c r="E94" s="1893"/>
      <c r="F94" s="1894"/>
      <c r="G94" s="1894"/>
      <c r="H94" s="1894"/>
      <c r="I94" s="1894"/>
      <c r="J94" s="1894"/>
      <c r="K94" s="1894"/>
      <c r="L94" s="1894"/>
      <c r="M94" s="1894"/>
      <c r="N94" s="1894"/>
      <c r="O94" s="1894"/>
      <c r="P94" s="1894"/>
      <c r="Q94" s="1894"/>
      <c r="R94" s="1894"/>
      <c r="S94" s="1894"/>
      <c r="T94" s="1894"/>
      <c r="U94" s="1894"/>
      <c r="V94" s="1924"/>
      <c r="W94" s="4645"/>
    </row>
    <row r="95" spans="1:23" ht="18.75" customHeight="1">
      <c r="A95" s="4642"/>
      <c r="B95" s="4642"/>
      <c r="C95" s="1930"/>
      <c r="D95" s="1893"/>
      <c r="E95" s="1893"/>
      <c r="F95" s="1894"/>
      <c r="G95" s="1894"/>
      <c r="H95" s="1894"/>
      <c r="I95" s="1894"/>
      <c r="J95" s="1894"/>
      <c r="K95" s="1894"/>
      <c r="L95" s="1894"/>
      <c r="M95" s="1894"/>
      <c r="N95" s="1894"/>
      <c r="O95" s="1894"/>
      <c r="P95" s="1894"/>
      <c r="Q95" s="1894"/>
      <c r="R95" s="1894"/>
      <c r="S95" s="1894"/>
      <c r="T95" s="1894"/>
      <c r="U95" s="1894"/>
      <c r="V95" s="1924"/>
      <c r="W95" s="4645"/>
    </row>
    <row r="96" spans="1:23" ht="18.75" customHeight="1">
      <c r="A96" s="4643"/>
      <c r="B96" s="4643"/>
      <c r="C96" s="1931"/>
      <c r="D96" s="1908"/>
      <c r="E96" s="1908"/>
      <c r="F96" s="1909"/>
      <c r="G96" s="1909"/>
      <c r="H96" s="1909"/>
      <c r="I96" s="1909"/>
      <c r="J96" s="1909"/>
      <c r="K96" s="1909"/>
      <c r="L96" s="1909"/>
      <c r="M96" s="1909"/>
      <c r="N96" s="1909"/>
      <c r="O96" s="1909"/>
      <c r="P96" s="1909"/>
      <c r="Q96" s="1909"/>
      <c r="R96" s="1909"/>
      <c r="S96" s="1909"/>
      <c r="T96" s="1909"/>
      <c r="U96" s="1909"/>
      <c r="V96" s="1925"/>
      <c r="W96" s="4646"/>
    </row>
    <row r="97" spans="1:23" ht="18.75" customHeight="1">
      <c r="A97" s="4641">
        <v>18</v>
      </c>
      <c r="B97" s="4641" t="str">
        <f>'kt1'!B31</f>
        <v>Nàng Kiên</v>
      </c>
      <c r="C97" s="1929"/>
      <c r="D97" s="1910"/>
      <c r="E97" s="1910"/>
      <c r="F97" s="1911"/>
      <c r="G97" s="1911"/>
      <c r="H97" s="1911"/>
      <c r="I97" s="1911"/>
      <c r="J97" s="1911"/>
      <c r="K97" s="1911"/>
      <c r="L97" s="1911"/>
      <c r="M97" s="1911"/>
      <c r="N97" s="1911"/>
      <c r="O97" s="1911"/>
      <c r="P97" s="1911"/>
      <c r="Q97" s="1911"/>
      <c r="R97" s="1911"/>
      <c r="S97" s="1911"/>
      <c r="T97" s="1911"/>
      <c r="U97" s="1911"/>
      <c r="V97" s="1923"/>
      <c r="W97" s="4644"/>
    </row>
    <row r="98" spans="1:23" ht="18.75" customHeight="1">
      <c r="A98" s="4642"/>
      <c r="B98" s="4642"/>
      <c r="C98" s="1930"/>
      <c r="D98" s="1893"/>
      <c r="E98" s="1893"/>
      <c r="F98" s="1894"/>
      <c r="G98" s="1894"/>
      <c r="H98" s="1894"/>
      <c r="I98" s="1894"/>
      <c r="J98" s="1894"/>
      <c r="K98" s="1894"/>
      <c r="L98" s="1894"/>
      <c r="M98" s="1894"/>
      <c r="N98" s="1894"/>
      <c r="O98" s="1894"/>
      <c r="P98" s="1894"/>
      <c r="Q98" s="1894"/>
      <c r="R98" s="1894"/>
      <c r="S98" s="1894"/>
      <c r="T98" s="1894"/>
      <c r="U98" s="1894"/>
      <c r="V98" s="1924"/>
      <c r="W98" s="4645"/>
    </row>
    <row r="99" spans="1:23" ht="18.75" customHeight="1">
      <c r="A99" s="4642"/>
      <c r="B99" s="4642"/>
      <c r="C99" s="1930"/>
      <c r="D99" s="1893"/>
      <c r="E99" s="1893"/>
      <c r="F99" s="1894"/>
      <c r="G99" s="1894"/>
      <c r="H99" s="1894"/>
      <c r="I99" s="1894"/>
      <c r="J99" s="1894"/>
      <c r="K99" s="1894"/>
      <c r="L99" s="1894"/>
      <c r="M99" s="1894"/>
      <c r="N99" s="1894"/>
      <c r="O99" s="1894"/>
      <c r="P99" s="1894"/>
      <c r="Q99" s="1894"/>
      <c r="R99" s="1894"/>
      <c r="S99" s="1894"/>
      <c r="T99" s="1894"/>
      <c r="U99" s="1894"/>
      <c r="V99" s="1924"/>
      <c r="W99" s="4645"/>
    </row>
    <row r="100" spans="1:23" ht="18.75" customHeight="1">
      <c r="A100" s="4642"/>
      <c r="B100" s="4642"/>
      <c r="C100" s="1930"/>
      <c r="D100" s="1893"/>
      <c r="E100" s="1893"/>
      <c r="F100" s="1894"/>
      <c r="G100" s="1894"/>
      <c r="H100" s="1894"/>
      <c r="I100" s="1894"/>
      <c r="J100" s="1894"/>
      <c r="K100" s="1894"/>
      <c r="L100" s="1894"/>
      <c r="M100" s="1894"/>
      <c r="N100" s="1894"/>
      <c r="O100" s="1894"/>
      <c r="P100" s="1894"/>
      <c r="Q100" s="1894"/>
      <c r="R100" s="1894"/>
      <c r="S100" s="1894"/>
      <c r="T100" s="1894"/>
      <c r="U100" s="1894"/>
      <c r="V100" s="1924"/>
      <c r="W100" s="4645"/>
    </row>
    <row r="101" spans="1:23" ht="18.75" customHeight="1">
      <c r="A101" s="4643"/>
      <c r="B101" s="4643"/>
      <c r="C101" s="1931"/>
      <c r="D101" s="1908"/>
      <c r="E101" s="1908"/>
      <c r="F101" s="1909"/>
      <c r="G101" s="1909"/>
      <c r="H101" s="1909"/>
      <c r="I101" s="1909"/>
      <c r="J101" s="1909"/>
      <c r="K101" s="1909"/>
      <c r="L101" s="1909"/>
      <c r="M101" s="1909"/>
      <c r="N101" s="1909"/>
      <c r="O101" s="1909"/>
      <c r="P101" s="1909"/>
      <c r="Q101" s="1909"/>
      <c r="R101" s="1909"/>
      <c r="S101" s="1909"/>
      <c r="T101" s="1909"/>
      <c r="U101" s="1909"/>
      <c r="V101" s="1925"/>
      <c r="W101" s="4646"/>
    </row>
    <row r="102" spans="1:23" ht="19.5" customHeight="1">
      <c r="A102" s="4641">
        <v>19</v>
      </c>
      <c r="B102" s="4641" t="str">
        <f>'kt1'!B32</f>
        <v>Nàng Túc 2</v>
      </c>
      <c r="C102" s="1929"/>
      <c r="D102" s="1910"/>
      <c r="E102" s="1910"/>
      <c r="F102" s="1911"/>
      <c r="G102" s="1911"/>
      <c r="H102" s="1911"/>
      <c r="I102" s="1911"/>
      <c r="J102" s="1911"/>
      <c r="K102" s="1911"/>
      <c r="L102" s="1911"/>
      <c r="M102" s="1911"/>
      <c r="N102" s="1911"/>
      <c r="O102" s="1911"/>
      <c r="P102" s="1911"/>
      <c r="Q102" s="1911"/>
      <c r="R102" s="1911"/>
      <c r="S102" s="1911"/>
      <c r="T102" s="1911"/>
      <c r="U102" s="1911"/>
      <c r="V102" s="1923"/>
      <c r="W102" s="4644"/>
    </row>
    <row r="103" spans="1:23" ht="19.5" customHeight="1">
      <c r="A103" s="4642"/>
      <c r="B103" s="4642"/>
      <c r="C103" s="1930"/>
      <c r="D103" s="1893"/>
      <c r="E103" s="1893"/>
      <c r="F103" s="1894"/>
      <c r="G103" s="1894"/>
      <c r="H103" s="1894"/>
      <c r="I103" s="1894"/>
      <c r="J103" s="1894"/>
      <c r="K103" s="1894"/>
      <c r="L103" s="1894"/>
      <c r="M103" s="1894"/>
      <c r="N103" s="1894"/>
      <c r="O103" s="1894"/>
      <c r="P103" s="1894"/>
      <c r="Q103" s="1894"/>
      <c r="R103" s="1894"/>
      <c r="S103" s="1894"/>
      <c r="T103" s="1894"/>
      <c r="U103" s="1894"/>
      <c r="V103" s="1924"/>
      <c r="W103" s="4645"/>
    </row>
    <row r="104" spans="1:23" ht="19.5" customHeight="1">
      <c r="A104" s="4642"/>
      <c r="B104" s="4642"/>
      <c r="C104" s="1930"/>
      <c r="D104" s="1893"/>
      <c r="E104" s="1893"/>
      <c r="F104" s="1894"/>
      <c r="G104" s="1894"/>
      <c r="H104" s="1894"/>
      <c r="I104" s="1894"/>
      <c r="J104" s="1894"/>
      <c r="K104" s="1894"/>
      <c r="L104" s="1894"/>
      <c r="M104" s="1894"/>
      <c r="N104" s="1894"/>
      <c r="O104" s="1894"/>
      <c r="P104" s="1894"/>
      <c r="Q104" s="1894"/>
      <c r="R104" s="1894"/>
      <c r="S104" s="1894"/>
      <c r="T104" s="1894"/>
      <c r="U104" s="1894"/>
      <c r="V104" s="1924"/>
      <c r="W104" s="4645"/>
    </row>
    <row r="105" spans="1:23" ht="19.5" customHeight="1">
      <c r="A105" s="4642"/>
      <c r="B105" s="4642"/>
      <c r="C105" s="1930"/>
      <c r="D105" s="1893"/>
      <c r="E105" s="1893"/>
      <c r="F105" s="1894"/>
      <c r="G105" s="1894"/>
      <c r="H105" s="1894"/>
      <c r="I105" s="1894"/>
      <c r="J105" s="1894"/>
      <c r="K105" s="1894"/>
      <c r="L105" s="1894"/>
      <c r="M105" s="1894"/>
      <c r="N105" s="1894"/>
      <c r="O105" s="1894"/>
      <c r="P105" s="1894"/>
      <c r="Q105" s="1894"/>
      <c r="R105" s="1894"/>
      <c r="S105" s="1894"/>
      <c r="T105" s="1894"/>
      <c r="U105" s="1894"/>
      <c r="V105" s="1924"/>
      <c r="W105" s="4645"/>
    </row>
    <row r="106" spans="1:23" ht="19.5" customHeight="1">
      <c r="A106" s="4643"/>
      <c r="B106" s="4643"/>
      <c r="C106" s="1931"/>
      <c r="D106" s="1908"/>
      <c r="E106" s="1908"/>
      <c r="F106" s="1909"/>
      <c r="G106" s="1909"/>
      <c r="H106" s="1909"/>
      <c r="I106" s="1909"/>
      <c r="J106" s="1909"/>
      <c r="K106" s="1909"/>
      <c r="L106" s="1909"/>
      <c r="M106" s="1909"/>
      <c r="N106" s="1909"/>
      <c r="O106" s="1909"/>
      <c r="P106" s="1909"/>
      <c r="Q106" s="1909"/>
      <c r="R106" s="1909"/>
      <c r="S106" s="1909"/>
      <c r="T106" s="1909"/>
      <c r="U106" s="1909"/>
      <c r="V106" s="1925"/>
      <c r="W106" s="4646"/>
    </row>
    <row r="107" spans="1:23" ht="17.25" customHeight="1">
      <c r="A107" s="4641">
        <v>20</v>
      </c>
      <c r="B107" s="4641" t="str">
        <f>'kt1'!B33</f>
        <v>Nàng Phon</v>
      </c>
      <c r="C107" s="1929"/>
      <c r="D107" s="1910"/>
      <c r="E107" s="1910"/>
      <c r="F107" s="1911"/>
      <c r="G107" s="1911"/>
      <c r="H107" s="1911"/>
      <c r="I107" s="1911"/>
      <c r="J107" s="1911"/>
      <c r="K107" s="1911"/>
      <c r="L107" s="1911"/>
      <c r="M107" s="1911"/>
      <c r="N107" s="1911"/>
      <c r="O107" s="1911"/>
      <c r="P107" s="1911"/>
      <c r="Q107" s="1911"/>
      <c r="R107" s="1911"/>
      <c r="S107" s="1911"/>
      <c r="T107" s="1911"/>
      <c r="U107" s="1911"/>
      <c r="V107" s="1923"/>
      <c r="W107" s="4644"/>
    </row>
    <row r="108" spans="1:23" ht="17.25" customHeight="1">
      <c r="A108" s="4642"/>
      <c r="B108" s="4642"/>
      <c r="C108" s="1930"/>
      <c r="D108" s="1893"/>
      <c r="E108" s="1893"/>
      <c r="F108" s="1894"/>
      <c r="G108" s="1894"/>
      <c r="H108" s="1894"/>
      <c r="I108" s="1894"/>
      <c r="J108" s="1894"/>
      <c r="K108" s="1894"/>
      <c r="L108" s="1894"/>
      <c r="M108" s="1894"/>
      <c r="N108" s="1894"/>
      <c r="O108" s="1894"/>
      <c r="P108" s="1894"/>
      <c r="Q108" s="1894"/>
      <c r="R108" s="1894"/>
      <c r="S108" s="1894"/>
      <c r="T108" s="1894"/>
      <c r="U108" s="1894"/>
      <c r="V108" s="1924"/>
      <c r="W108" s="4645"/>
    </row>
    <row r="109" spans="1:23" ht="17.25" customHeight="1">
      <c r="A109" s="4642"/>
      <c r="B109" s="4642"/>
      <c r="C109" s="1930"/>
      <c r="D109" s="1893"/>
      <c r="E109" s="1893"/>
      <c r="F109" s="1894"/>
      <c r="G109" s="1894"/>
      <c r="H109" s="1894"/>
      <c r="I109" s="1894"/>
      <c r="J109" s="1894"/>
      <c r="K109" s="1894"/>
      <c r="L109" s="1894"/>
      <c r="M109" s="1894"/>
      <c r="N109" s="1894"/>
      <c r="O109" s="1894"/>
      <c r="P109" s="1894"/>
      <c r="Q109" s="1894"/>
      <c r="R109" s="1894"/>
      <c r="S109" s="1894"/>
      <c r="T109" s="1894"/>
      <c r="U109" s="1894"/>
      <c r="V109" s="1924"/>
      <c r="W109" s="4645"/>
    </row>
    <row r="110" spans="1:23" ht="17.25" customHeight="1">
      <c r="A110" s="4642"/>
      <c r="B110" s="4642"/>
      <c r="C110" s="1930"/>
      <c r="D110" s="1893"/>
      <c r="E110" s="1893"/>
      <c r="F110" s="1894"/>
      <c r="G110" s="1894"/>
      <c r="H110" s="1894"/>
      <c r="I110" s="1894"/>
      <c r="J110" s="1894"/>
      <c r="K110" s="1894"/>
      <c r="L110" s="1894"/>
      <c r="M110" s="1894"/>
      <c r="N110" s="1894"/>
      <c r="O110" s="1894"/>
      <c r="P110" s="1894"/>
      <c r="Q110" s="1894"/>
      <c r="R110" s="1894"/>
      <c r="S110" s="1894"/>
      <c r="T110" s="1894"/>
      <c r="U110" s="1894"/>
      <c r="V110" s="1924"/>
      <c r="W110" s="4645"/>
    </row>
    <row r="111" spans="1:23" ht="17.25" customHeight="1">
      <c r="A111" s="4643"/>
      <c r="B111" s="4643"/>
      <c r="C111" s="1931"/>
      <c r="D111" s="1908"/>
      <c r="E111" s="1908"/>
      <c r="F111" s="1909"/>
      <c r="G111" s="1909"/>
      <c r="H111" s="1909"/>
      <c r="I111" s="1909"/>
      <c r="J111" s="1909"/>
      <c r="K111" s="1909"/>
      <c r="L111" s="1909"/>
      <c r="M111" s="1909"/>
      <c r="N111" s="1909"/>
      <c r="O111" s="1909"/>
      <c r="P111" s="1909"/>
      <c r="Q111" s="1909"/>
      <c r="R111" s="1909"/>
      <c r="S111" s="1909"/>
      <c r="T111" s="1909"/>
      <c r="U111" s="1909"/>
      <c r="V111" s="1925"/>
      <c r="W111" s="4646"/>
    </row>
    <row r="112" spans="1:23" ht="18" customHeight="1">
      <c r="A112" s="4641">
        <v>21</v>
      </c>
      <c r="B112" s="4641" t="str">
        <f>'kt1'!B34</f>
        <v>Thảo Chòi</v>
      </c>
      <c r="C112" s="1929"/>
      <c r="D112" s="1910"/>
      <c r="E112" s="1910"/>
      <c r="F112" s="1911"/>
      <c r="G112" s="1911"/>
      <c r="H112" s="1911"/>
      <c r="I112" s="1911"/>
      <c r="J112" s="1911"/>
      <c r="K112" s="1911"/>
      <c r="L112" s="1911"/>
      <c r="M112" s="1911"/>
      <c r="N112" s="1911"/>
      <c r="O112" s="1911"/>
      <c r="P112" s="1911"/>
      <c r="Q112" s="1911"/>
      <c r="R112" s="1911"/>
      <c r="S112" s="1911"/>
      <c r="T112" s="1911"/>
      <c r="U112" s="1911"/>
      <c r="V112" s="1926"/>
      <c r="W112" s="4644"/>
    </row>
    <row r="113" spans="1:23" ht="18" customHeight="1">
      <c r="A113" s="4642"/>
      <c r="B113" s="4642"/>
      <c r="C113" s="1930"/>
      <c r="D113" s="1893"/>
      <c r="E113" s="1893"/>
      <c r="F113" s="1894"/>
      <c r="G113" s="1894"/>
      <c r="H113" s="1894"/>
      <c r="I113" s="1894"/>
      <c r="J113" s="1894"/>
      <c r="K113" s="1894"/>
      <c r="L113" s="1894"/>
      <c r="M113" s="1894"/>
      <c r="N113" s="1894"/>
      <c r="O113" s="1894"/>
      <c r="P113" s="1894"/>
      <c r="Q113" s="1894"/>
      <c r="R113" s="1894"/>
      <c r="S113" s="1894"/>
      <c r="T113" s="1894"/>
      <c r="U113" s="1894"/>
      <c r="V113" s="1927"/>
      <c r="W113" s="4645"/>
    </row>
    <row r="114" spans="1:23" ht="18" customHeight="1">
      <c r="A114" s="4642"/>
      <c r="B114" s="4642"/>
      <c r="C114" s="1930"/>
      <c r="D114" s="1893"/>
      <c r="E114" s="1893"/>
      <c r="F114" s="1894"/>
      <c r="G114" s="1894"/>
      <c r="H114" s="1894"/>
      <c r="I114" s="1894"/>
      <c r="J114" s="1894"/>
      <c r="K114" s="1894"/>
      <c r="L114" s="1894"/>
      <c r="M114" s="1894"/>
      <c r="N114" s="1894"/>
      <c r="O114" s="1894"/>
      <c r="P114" s="1894"/>
      <c r="Q114" s="1894"/>
      <c r="R114" s="1894"/>
      <c r="S114" s="1894"/>
      <c r="T114" s="1894"/>
      <c r="U114" s="1894"/>
      <c r="V114" s="1927"/>
      <c r="W114" s="4645"/>
    </row>
    <row r="115" spans="1:23" ht="18" customHeight="1">
      <c r="A115" s="4642"/>
      <c r="B115" s="4642"/>
      <c r="C115" s="1930"/>
      <c r="D115" s="1893"/>
      <c r="E115" s="1893"/>
      <c r="F115" s="1894"/>
      <c r="G115" s="1894"/>
      <c r="H115" s="1894"/>
      <c r="I115" s="1894"/>
      <c r="J115" s="1894"/>
      <c r="K115" s="1894"/>
      <c r="L115" s="1894"/>
      <c r="M115" s="1894"/>
      <c r="N115" s="1894"/>
      <c r="O115" s="1894"/>
      <c r="P115" s="1894"/>
      <c r="Q115" s="1894"/>
      <c r="R115" s="1894"/>
      <c r="S115" s="1894"/>
      <c r="T115" s="1894"/>
      <c r="U115" s="1894"/>
      <c r="V115" s="1927"/>
      <c r="W115" s="4645"/>
    </row>
    <row r="116" spans="1:23" ht="18" customHeight="1">
      <c r="A116" s="4643"/>
      <c r="B116" s="4643"/>
      <c r="C116" s="1931"/>
      <c r="D116" s="1908"/>
      <c r="E116" s="1908"/>
      <c r="F116" s="1909"/>
      <c r="G116" s="1909"/>
      <c r="H116" s="1909"/>
      <c r="I116" s="1909"/>
      <c r="J116" s="1909"/>
      <c r="K116" s="1909"/>
      <c r="L116" s="1909"/>
      <c r="M116" s="1909"/>
      <c r="N116" s="1909"/>
      <c r="O116" s="1909"/>
      <c r="P116" s="1909"/>
      <c r="Q116" s="1909"/>
      <c r="R116" s="1909"/>
      <c r="S116" s="1909"/>
      <c r="T116" s="1909"/>
      <c r="U116" s="1909"/>
      <c r="V116" s="1928"/>
      <c r="W116" s="4646"/>
    </row>
    <row r="117" spans="1:23" ht="18" customHeight="1">
      <c r="A117" s="4641">
        <v>22</v>
      </c>
      <c r="B117" s="4641" t="str">
        <f>'kt1'!B35</f>
        <v>Thong La</v>
      </c>
      <c r="C117" s="1929"/>
      <c r="D117" s="1910"/>
      <c r="E117" s="1910"/>
      <c r="F117" s="1911"/>
      <c r="G117" s="1911"/>
      <c r="H117" s="1911"/>
      <c r="I117" s="1911"/>
      <c r="J117" s="1911"/>
      <c r="K117" s="1911"/>
      <c r="L117" s="1911"/>
      <c r="M117" s="1911"/>
      <c r="N117" s="1911"/>
      <c r="O117" s="1911"/>
      <c r="P117" s="1911"/>
      <c r="Q117" s="1911"/>
      <c r="R117" s="1911"/>
      <c r="S117" s="1911"/>
      <c r="T117" s="1911"/>
      <c r="U117" s="1911"/>
      <c r="V117" s="1923"/>
      <c r="W117" s="4644"/>
    </row>
    <row r="118" spans="1:23" ht="18" customHeight="1">
      <c r="A118" s="4642"/>
      <c r="B118" s="4642"/>
      <c r="C118" s="1930"/>
      <c r="D118" s="1893"/>
      <c r="E118" s="1893"/>
      <c r="F118" s="1894"/>
      <c r="G118" s="1894"/>
      <c r="H118" s="1894"/>
      <c r="I118" s="1894"/>
      <c r="J118" s="1894"/>
      <c r="K118" s="1894"/>
      <c r="L118" s="1894"/>
      <c r="M118" s="1894"/>
      <c r="N118" s="1894"/>
      <c r="O118" s="1894"/>
      <c r="P118" s="1894"/>
      <c r="Q118" s="1894"/>
      <c r="R118" s="1894"/>
      <c r="S118" s="1894"/>
      <c r="T118" s="1894"/>
      <c r="U118" s="1894"/>
      <c r="V118" s="1924"/>
      <c r="W118" s="4645"/>
    </row>
    <row r="119" spans="1:23" ht="18" customHeight="1">
      <c r="A119" s="4642"/>
      <c r="B119" s="4642"/>
      <c r="C119" s="1930"/>
      <c r="D119" s="1893"/>
      <c r="E119" s="1893"/>
      <c r="F119" s="1894"/>
      <c r="G119" s="1894"/>
      <c r="H119" s="1894"/>
      <c r="I119" s="1894"/>
      <c r="J119" s="1894"/>
      <c r="K119" s="1894"/>
      <c r="L119" s="1894"/>
      <c r="M119" s="1894"/>
      <c r="N119" s="1894"/>
      <c r="O119" s="1894"/>
      <c r="P119" s="1894"/>
      <c r="Q119" s="1894"/>
      <c r="R119" s="1894"/>
      <c r="S119" s="1894"/>
      <c r="T119" s="1894"/>
      <c r="U119" s="1894"/>
      <c r="V119" s="1924"/>
      <c r="W119" s="4645"/>
    </row>
    <row r="120" spans="1:23" ht="18" customHeight="1">
      <c r="A120" s="4642"/>
      <c r="B120" s="4642"/>
      <c r="C120" s="1930"/>
      <c r="D120" s="1893"/>
      <c r="E120" s="1893"/>
      <c r="F120" s="1894"/>
      <c r="G120" s="1894"/>
      <c r="H120" s="1894"/>
      <c r="I120" s="1894"/>
      <c r="J120" s="1894"/>
      <c r="K120" s="1894"/>
      <c r="L120" s="1894"/>
      <c r="M120" s="1894"/>
      <c r="N120" s="1894"/>
      <c r="O120" s="1894"/>
      <c r="P120" s="1894"/>
      <c r="Q120" s="1894"/>
      <c r="R120" s="1894"/>
      <c r="S120" s="1894"/>
      <c r="T120" s="1894"/>
      <c r="U120" s="1894"/>
      <c r="V120" s="1924"/>
      <c r="W120" s="4645"/>
    </row>
    <row r="121" spans="1:23" ht="18" customHeight="1">
      <c r="A121" s="4643"/>
      <c r="B121" s="4643"/>
      <c r="C121" s="1931"/>
      <c r="D121" s="1908"/>
      <c r="E121" s="1908"/>
      <c r="F121" s="1909"/>
      <c r="G121" s="1909"/>
      <c r="H121" s="1909"/>
      <c r="I121" s="1909"/>
      <c r="J121" s="1909"/>
      <c r="K121" s="1909"/>
      <c r="L121" s="1909"/>
      <c r="M121" s="1909"/>
      <c r="N121" s="1909"/>
      <c r="O121" s="1909"/>
      <c r="P121" s="1909"/>
      <c r="Q121" s="1909"/>
      <c r="R121" s="1909"/>
      <c r="S121" s="1909"/>
      <c r="T121" s="1909"/>
      <c r="U121" s="1909"/>
      <c r="V121" s="1925"/>
      <c r="W121" s="4646"/>
    </row>
    <row r="122" spans="1:23" ht="18" customHeight="1">
      <c r="A122" s="4641">
        <v>23</v>
      </c>
      <c r="B122" s="4641" t="str">
        <f>'kt1'!B36</f>
        <v>Thảo kok</v>
      </c>
      <c r="C122" s="1929"/>
      <c r="D122" s="1910"/>
      <c r="E122" s="1910"/>
      <c r="F122" s="1911"/>
      <c r="G122" s="1911"/>
      <c r="H122" s="1911"/>
      <c r="I122" s="1911"/>
      <c r="J122" s="1911"/>
      <c r="K122" s="1911"/>
      <c r="L122" s="1911"/>
      <c r="M122" s="1911"/>
      <c r="N122" s="1911"/>
      <c r="O122" s="1911"/>
      <c r="P122" s="1911"/>
      <c r="Q122" s="1911"/>
      <c r="R122" s="1911"/>
      <c r="S122" s="1911"/>
      <c r="T122" s="1911"/>
      <c r="U122" s="1911"/>
      <c r="V122" s="1923"/>
      <c r="W122" s="4644"/>
    </row>
    <row r="123" spans="1:23" ht="18" customHeight="1">
      <c r="A123" s="4642"/>
      <c r="B123" s="4642"/>
      <c r="C123" s="1930"/>
      <c r="D123" s="1893"/>
      <c r="E123" s="1893"/>
      <c r="F123" s="1894"/>
      <c r="G123" s="1894"/>
      <c r="H123" s="1894"/>
      <c r="I123" s="1894"/>
      <c r="J123" s="1894"/>
      <c r="K123" s="1894"/>
      <c r="L123" s="1894"/>
      <c r="M123" s="1894"/>
      <c r="N123" s="1894"/>
      <c r="O123" s="1894"/>
      <c r="P123" s="1894"/>
      <c r="Q123" s="1894"/>
      <c r="R123" s="1894"/>
      <c r="S123" s="1894"/>
      <c r="T123" s="1894"/>
      <c r="U123" s="1894"/>
      <c r="V123" s="1924"/>
      <c r="W123" s="4645"/>
    </row>
    <row r="124" spans="1:23" ht="18" customHeight="1">
      <c r="A124" s="4642"/>
      <c r="B124" s="4642"/>
      <c r="C124" s="1930"/>
      <c r="D124" s="1893"/>
      <c r="E124" s="1893"/>
      <c r="F124" s="1894"/>
      <c r="G124" s="1894"/>
      <c r="H124" s="1894"/>
      <c r="I124" s="1894"/>
      <c r="J124" s="1894"/>
      <c r="K124" s="1894"/>
      <c r="L124" s="1894"/>
      <c r="M124" s="1894"/>
      <c r="N124" s="1894"/>
      <c r="O124" s="1894"/>
      <c r="P124" s="1894"/>
      <c r="Q124" s="1894"/>
      <c r="R124" s="1894"/>
      <c r="S124" s="1894"/>
      <c r="T124" s="1894"/>
      <c r="U124" s="1894"/>
      <c r="V124" s="1924"/>
      <c r="W124" s="4645"/>
    </row>
    <row r="125" spans="1:23" ht="18" customHeight="1">
      <c r="A125" s="4642"/>
      <c r="B125" s="4642"/>
      <c r="C125" s="1930"/>
      <c r="D125" s="1893"/>
      <c r="E125" s="1893"/>
      <c r="F125" s="1894"/>
      <c r="G125" s="1894"/>
      <c r="H125" s="1894"/>
      <c r="I125" s="1894"/>
      <c r="J125" s="1894"/>
      <c r="K125" s="1894"/>
      <c r="L125" s="1894"/>
      <c r="M125" s="1894"/>
      <c r="N125" s="1894"/>
      <c r="O125" s="1894"/>
      <c r="P125" s="1894"/>
      <c r="Q125" s="1894"/>
      <c r="R125" s="1894"/>
      <c r="S125" s="1894"/>
      <c r="T125" s="1894"/>
      <c r="U125" s="1894"/>
      <c r="V125" s="1924"/>
      <c r="W125" s="4645"/>
    </row>
    <row r="126" spans="1:23" ht="18" customHeight="1">
      <c r="A126" s="4643"/>
      <c r="B126" s="4643"/>
      <c r="C126" s="1931"/>
      <c r="D126" s="1908"/>
      <c r="E126" s="1908"/>
      <c r="F126" s="1909"/>
      <c r="G126" s="1909"/>
      <c r="H126" s="1909"/>
      <c r="I126" s="1909"/>
      <c r="J126" s="1909"/>
      <c r="K126" s="1909"/>
      <c r="L126" s="1909"/>
      <c r="M126" s="1909"/>
      <c r="N126" s="1909"/>
      <c r="O126" s="1909"/>
      <c r="P126" s="1909"/>
      <c r="Q126" s="1909"/>
      <c r="R126" s="1909"/>
      <c r="S126" s="1909"/>
      <c r="T126" s="1909"/>
      <c r="U126" s="1909"/>
      <c r="V126" s="1925"/>
      <c r="W126" s="4646"/>
    </row>
    <row r="127" spans="1:23" ht="19.5" customHeight="1">
      <c r="A127" s="4641">
        <v>24</v>
      </c>
      <c r="B127" s="4641" t="str">
        <f>'kt1'!B37</f>
        <v>Thảo Hôm</v>
      </c>
      <c r="C127" s="1929"/>
      <c r="D127" s="1910"/>
      <c r="E127" s="1910"/>
      <c r="F127" s="1911"/>
      <c r="G127" s="1911"/>
      <c r="H127" s="1911"/>
      <c r="I127" s="1911"/>
      <c r="J127" s="1911"/>
      <c r="K127" s="1911"/>
      <c r="L127" s="1911"/>
      <c r="M127" s="1911"/>
      <c r="N127" s="1911"/>
      <c r="O127" s="1911"/>
      <c r="P127" s="1911"/>
      <c r="Q127" s="1911"/>
      <c r="R127" s="1911"/>
      <c r="S127" s="1911"/>
      <c r="T127" s="1911"/>
      <c r="U127" s="1911"/>
      <c r="V127" s="1923"/>
      <c r="W127" s="4644"/>
    </row>
    <row r="128" spans="1:23" ht="19.5" customHeight="1">
      <c r="A128" s="4642"/>
      <c r="B128" s="4642"/>
      <c r="C128" s="1930"/>
      <c r="D128" s="1893"/>
      <c r="E128" s="1893"/>
      <c r="F128" s="1894"/>
      <c r="G128" s="1894"/>
      <c r="H128" s="1894"/>
      <c r="I128" s="1894"/>
      <c r="J128" s="1894"/>
      <c r="K128" s="1894"/>
      <c r="L128" s="1894"/>
      <c r="M128" s="1894"/>
      <c r="N128" s="1894"/>
      <c r="O128" s="1894"/>
      <c r="P128" s="1894"/>
      <c r="Q128" s="1894"/>
      <c r="R128" s="1894"/>
      <c r="S128" s="1894"/>
      <c r="T128" s="1894"/>
      <c r="U128" s="1894"/>
      <c r="V128" s="1924"/>
      <c r="W128" s="4645"/>
    </row>
    <row r="129" spans="1:23" ht="19.5" customHeight="1">
      <c r="A129" s="4642"/>
      <c r="B129" s="4642"/>
      <c r="C129" s="1930"/>
      <c r="D129" s="1893"/>
      <c r="E129" s="1893"/>
      <c r="F129" s="1894"/>
      <c r="G129" s="1894"/>
      <c r="H129" s="1894"/>
      <c r="I129" s="1894"/>
      <c r="J129" s="1894"/>
      <c r="K129" s="1894"/>
      <c r="L129" s="1894"/>
      <c r="M129" s="1894"/>
      <c r="N129" s="1894"/>
      <c r="O129" s="1894"/>
      <c r="P129" s="1894"/>
      <c r="Q129" s="1894"/>
      <c r="R129" s="1894"/>
      <c r="S129" s="1894"/>
      <c r="T129" s="1894"/>
      <c r="U129" s="1894"/>
      <c r="V129" s="1924"/>
      <c r="W129" s="4645"/>
    </row>
    <row r="130" spans="1:23" ht="19.5" customHeight="1">
      <c r="A130" s="4642"/>
      <c r="B130" s="4642"/>
      <c r="C130" s="1930"/>
      <c r="D130" s="1893"/>
      <c r="E130" s="1893"/>
      <c r="F130" s="1894"/>
      <c r="G130" s="1894"/>
      <c r="H130" s="1894"/>
      <c r="I130" s="1894"/>
      <c r="J130" s="1894"/>
      <c r="K130" s="1894"/>
      <c r="L130" s="1894"/>
      <c r="M130" s="1894"/>
      <c r="N130" s="1894"/>
      <c r="O130" s="1894"/>
      <c r="P130" s="1894"/>
      <c r="Q130" s="1894"/>
      <c r="R130" s="1894"/>
      <c r="S130" s="1894"/>
      <c r="T130" s="1894"/>
      <c r="U130" s="1894"/>
      <c r="V130" s="1924"/>
      <c r="W130" s="4645"/>
    </row>
    <row r="131" spans="1:23" ht="19.5" customHeight="1">
      <c r="A131" s="4643"/>
      <c r="B131" s="4643"/>
      <c r="C131" s="1931"/>
      <c r="D131" s="1908"/>
      <c r="E131" s="1908"/>
      <c r="F131" s="1909"/>
      <c r="G131" s="1909"/>
      <c r="H131" s="1909"/>
      <c r="I131" s="1909"/>
      <c r="J131" s="1909"/>
      <c r="K131" s="1909"/>
      <c r="L131" s="1909"/>
      <c r="M131" s="1909"/>
      <c r="N131" s="1909"/>
      <c r="O131" s="1909"/>
      <c r="P131" s="1909"/>
      <c r="Q131" s="1909"/>
      <c r="R131" s="1909"/>
      <c r="S131" s="1909"/>
      <c r="T131" s="1909"/>
      <c r="U131" s="1909"/>
      <c r="V131" s="1925"/>
      <c r="W131" s="4646"/>
    </row>
    <row r="132" spans="1:23" ht="18" customHeight="1">
      <c r="A132" s="4641">
        <v>25</v>
      </c>
      <c r="B132" s="4641" t="str">
        <f>'kt1'!B38</f>
        <v>Nàng Lam</v>
      </c>
      <c r="C132" s="1929"/>
      <c r="D132" s="1910"/>
      <c r="E132" s="1910"/>
      <c r="F132" s="1911"/>
      <c r="G132" s="1911"/>
      <c r="H132" s="1911"/>
      <c r="I132" s="1911"/>
      <c r="J132" s="1911"/>
      <c r="K132" s="1911"/>
      <c r="L132" s="1911"/>
      <c r="M132" s="1911"/>
      <c r="N132" s="1911"/>
      <c r="O132" s="1911"/>
      <c r="P132" s="1911"/>
      <c r="Q132" s="1911"/>
      <c r="R132" s="1911"/>
      <c r="S132" s="1911"/>
      <c r="T132" s="1911"/>
      <c r="U132" s="1911"/>
      <c r="V132" s="1923"/>
      <c r="W132" s="4644"/>
    </row>
    <row r="133" spans="1:23" ht="18" customHeight="1">
      <c r="A133" s="4642"/>
      <c r="B133" s="4642"/>
      <c r="C133" s="1930"/>
      <c r="D133" s="1893"/>
      <c r="E133" s="1893"/>
      <c r="F133" s="1894"/>
      <c r="G133" s="1894"/>
      <c r="H133" s="1894"/>
      <c r="I133" s="1894"/>
      <c r="J133" s="1894"/>
      <c r="K133" s="1894"/>
      <c r="L133" s="1894"/>
      <c r="M133" s="1894"/>
      <c r="N133" s="1894"/>
      <c r="O133" s="1894"/>
      <c r="P133" s="1894"/>
      <c r="Q133" s="1894"/>
      <c r="R133" s="1894"/>
      <c r="S133" s="1894"/>
      <c r="T133" s="1894"/>
      <c r="U133" s="1894"/>
      <c r="V133" s="1924"/>
      <c r="W133" s="4645"/>
    </row>
    <row r="134" spans="1:23" ht="18" customHeight="1">
      <c r="A134" s="4642"/>
      <c r="B134" s="4642"/>
      <c r="C134" s="1930"/>
      <c r="D134" s="1893"/>
      <c r="E134" s="1893"/>
      <c r="F134" s="1894"/>
      <c r="G134" s="1894"/>
      <c r="H134" s="1894"/>
      <c r="I134" s="1894"/>
      <c r="J134" s="1894"/>
      <c r="K134" s="1894"/>
      <c r="L134" s="1894"/>
      <c r="M134" s="1894"/>
      <c r="N134" s="1894"/>
      <c r="O134" s="1894"/>
      <c r="P134" s="1894"/>
      <c r="Q134" s="1894"/>
      <c r="R134" s="1894"/>
      <c r="S134" s="1894"/>
      <c r="T134" s="1894"/>
      <c r="U134" s="1894"/>
      <c r="V134" s="1924"/>
      <c r="W134" s="4645"/>
    </row>
    <row r="135" spans="1:23" ht="18" customHeight="1">
      <c r="A135" s="4642"/>
      <c r="B135" s="4642"/>
      <c r="C135" s="1930"/>
      <c r="D135" s="1893"/>
      <c r="E135" s="1893"/>
      <c r="F135" s="1894"/>
      <c r="G135" s="1894"/>
      <c r="H135" s="1894"/>
      <c r="I135" s="1894"/>
      <c r="J135" s="1894"/>
      <c r="K135" s="1894"/>
      <c r="L135" s="1894"/>
      <c r="M135" s="1894"/>
      <c r="N135" s="1894"/>
      <c r="O135" s="1894"/>
      <c r="P135" s="1894"/>
      <c r="Q135" s="1894"/>
      <c r="R135" s="1894"/>
      <c r="S135" s="1894"/>
      <c r="T135" s="1894"/>
      <c r="U135" s="1894"/>
      <c r="V135" s="1924"/>
      <c r="W135" s="4645"/>
    </row>
    <row r="136" spans="1:23" ht="18" customHeight="1">
      <c r="A136" s="4643"/>
      <c r="B136" s="4643"/>
      <c r="C136" s="1931"/>
      <c r="D136" s="1908"/>
      <c r="E136" s="1908"/>
      <c r="F136" s="1909"/>
      <c r="G136" s="1909"/>
      <c r="H136" s="1909"/>
      <c r="I136" s="1909"/>
      <c r="J136" s="1909"/>
      <c r="K136" s="1909"/>
      <c r="L136" s="1909"/>
      <c r="M136" s="1909"/>
      <c r="N136" s="1909"/>
      <c r="O136" s="1909"/>
      <c r="P136" s="1909"/>
      <c r="Q136" s="1909"/>
      <c r="R136" s="1909"/>
      <c r="S136" s="1909"/>
      <c r="T136" s="1909"/>
      <c r="U136" s="1909"/>
      <c r="V136" s="1925"/>
      <c r="W136" s="4646"/>
    </row>
    <row r="137" spans="1:23" ht="18" customHeight="1">
      <c r="A137" s="4641">
        <v>26</v>
      </c>
      <c r="B137" s="4641" t="str">
        <f>'kt1'!B39</f>
        <v>Thảo Hơ Phơ</v>
      </c>
      <c r="C137" s="1929"/>
      <c r="D137" s="1910"/>
      <c r="E137" s="1910"/>
      <c r="F137" s="1911"/>
      <c r="G137" s="1911"/>
      <c r="H137" s="1911"/>
      <c r="I137" s="1911"/>
      <c r="J137" s="1911"/>
      <c r="K137" s="1911"/>
      <c r="L137" s="1911"/>
      <c r="M137" s="1911"/>
      <c r="N137" s="1911"/>
      <c r="O137" s="1911"/>
      <c r="P137" s="1911"/>
      <c r="Q137" s="1911"/>
      <c r="R137" s="1911"/>
      <c r="S137" s="1911"/>
      <c r="T137" s="1911"/>
      <c r="U137" s="1911"/>
      <c r="V137" s="1923"/>
      <c r="W137" s="4644"/>
    </row>
    <row r="138" spans="1:23" ht="18" customHeight="1">
      <c r="A138" s="4642"/>
      <c r="B138" s="4642"/>
      <c r="C138" s="1930"/>
      <c r="D138" s="1893"/>
      <c r="E138" s="1893"/>
      <c r="F138" s="1894"/>
      <c r="G138" s="1894"/>
      <c r="H138" s="1894"/>
      <c r="I138" s="1894"/>
      <c r="J138" s="1894"/>
      <c r="K138" s="1894"/>
      <c r="L138" s="1894"/>
      <c r="M138" s="1894"/>
      <c r="N138" s="1894"/>
      <c r="O138" s="1894"/>
      <c r="P138" s="1894"/>
      <c r="Q138" s="1894"/>
      <c r="R138" s="1894"/>
      <c r="S138" s="1894"/>
      <c r="T138" s="1894"/>
      <c r="U138" s="1894"/>
      <c r="V138" s="1924"/>
      <c r="W138" s="4645"/>
    </row>
    <row r="139" spans="1:23" ht="18" customHeight="1">
      <c r="A139" s="4642"/>
      <c r="B139" s="4642"/>
      <c r="C139" s="1930"/>
      <c r="D139" s="1893"/>
      <c r="E139" s="1893"/>
      <c r="F139" s="1894"/>
      <c r="G139" s="1894"/>
      <c r="H139" s="1894"/>
      <c r="I139" s="1894"/>
      <c r="J139" s="1894"/>
      <c r="K139" s="1894"/>
      <c r="L139" s="1894"/>
      <c r="M139" s="1894"/>
      <c r="N139" s="1894"/>
      <c r="O139" s="1894"/>
      <c r="P139" s="1894"/>
      <c r="Q139" s="1894"/>
      <c r="R139" s="1894"/>
      <c r="S139" s="1894"/>
      <c r="T139" s="1894"/>
      <c r="U139" s="1894"/>
      <c r="V139" s="1924"/>
      <c r="W139" s="4645"/>
    </row>
    <row r="140" spans="1:23" ht="18" customHeight="1">
      <c r="A140" s="4642"/>
      <c r="B140" s="4642"/>
      <c r="C140" s="1930"/>
      <c r="D140" s="1893"/>
      <c r="E140" s="1893"/>
      <c r="F140" s="1894"/>
      <c r="G140" s="1894"/>
      <c r="H140" s="1894"/>
      <c r="I140" s="1894"/>
      <c r="J140" s="1894"/>
      <c r="K140" s="1894"/>
      <c r="L140" s="1894"/>
      <c r="M140" s="1894"/>
      <c r="N140" s="1894"/>
      <c r="O140" s="1894"/>
      <c r="P140" s="1894"/>
      <c r="Q140" s="1894"/>
      <c r="R140" s="1894"/>
      <c r="S140" s="1894"/>
      <c r="T140" s="1894"/>
      <c r="U140" s="1894"/>
      <c r="V140" s="1924"/>
      <c r="W140" s="4645"/>
    </row>
    <row r="141" spans="1:23" ht="18" customHeight="1">
      <c r="A141" s="4643"/>
      <c r="B141" s="4643"/>
      <c r="C141" s="1931"/>
      <c r="D141" s="1908"/>
      <c r="E141" s="1908"/>
      <c r="F141" s="1909"/>
      <c r="G141" s="1909"/>
      <c r="H141" s="1909"/>
      <c r="I141" s="1909"/>
      <c r="J141" s="1909"/>
      <c r="K141" s="1909"/>
      <c r="L141" s="1909"/>
      <c r="M141" s="1909"/>
      <c r="N141" s="1909"/>
      <c r="O141" s="1909"/>
      <c r="P141" s="1909"/>
      <c r="Q141" s="1909"/>
      <c r="R141" s="1909"/>
      <c r="S141" s="1909"/>
      <c r="T141" s="1909"/>
      <c r="U141" s="1909"/>
      <c r="V141" s="1925"/>
      <c r="W141" s="4646"/>
    </row>
    <row r="142" spans="1:23" ht="18" customHeight="1">
      <c r="A142" s="4641">
        <v>27</v>
      </c>
      <c r="B142" s="4641" t="str">
        <f>'kt1'!B40</f>
        <v>Thảo Lay</v>
      </c>
      <c r="C142" s="1929"/>
      <c r="D142" s="1910"/>
      <c r="E142" s="1910"/>
      <c r="F142" s="1911"/>
      <c r="G142" s="1911"/>
      <c r="H142" s="1911"/>
      <c r="I142" s="1911"/>
      <c r="J142" s="1911"/>
      <c r="K142" s="1911"/>
      <c r="L142" s="1911"/>
      <c r="M142" s="1911"/>
      <c r="N142" s="1911"/>
      <c r="O142" s="1911"/>
      <c r="P142" s="1911"/>
      <c r="Q142" s="1911"/>
      <c r="R142" s="1911"/>
      <c r="S142" s="1911"/>
      <c r="T142" s="1911"/>
      <c r="U142" s="1911"/>
      <c r="V142" s="1923"/>
      <c r="W142" s="4644"/>
    </row>
    <row r="143" spans="1:23" ht="18" customHeight="1">
      <c r="A143" s="4642"/>
      <c r="B143" s="4642"/>
      <c r="C143" s="1930"/>
      <c r="D143" s="1893"/>
      <c r="E143" s="1893"/>
      <c r="F143" s="1894"/>
      <c r="G143" s="1894"/>
      <c r="H143" s="1894"/>
      <c r="I143" s="1894"/>
      <c r="J143" s="1894"/>
      <c r="K143" s="1894"/>
      <c r="L143" s="1894"/>
      <c r="M143" s="1894"/>
      <c r="N143" s="1894"/>
      <c r="O143" s="1894"/>
      <c r="P143" s="1894"/>
      <c r="Q143" s="1894"/>
      <c r="R143" s="1894"/>
      <c r="S143" s="1894"/>
      <c r="T143" s="1894"/>
      <c r="U143" s="1894"/>
      <c r="V143" s="1924"/>
      <c r="W143" s="4645"/>
    </row>
    <row r="144" spans="1:23" ht="18" customHeight="1">
      <c r="A144" s="4642"/>
      <c r="B144" s="4642"/>
      <c r="C144" s="1930"/>
      <c r="D144" s="1893"/>
      <c r="E144" s="1893"/>
      <c r="F144" s="1894"/>
      <c r="G144" s="1894"/>
      <c r="H144" s="1894"/>
      <c r="I144" s="1894"/>
      <c r="J144" s="1894"/>
      <c r="K144" s="1894"/>
      <c r="L144" s="1894"/>
      <c r="M144" s="1894"/>
      <c r="N144" s="1894"/>
      <c r="O144" s="1894"/>
      <c r="P144" s="1894"/>
      <c r="Q144" s="1894"/>
      <c r="R144" s="1894"/>
      <c r="S144" s="1894"/>
      <c r="T144" s="1894"/>
      <c r="U144" s="1894"/>
      <c r="V144" s="1924"/>
      <c r="W144" s="4645"/>
    </row>
    <row r="145" spans="1:23" ht="18" customHeight="1">
      <c r="A145" s="4642"/>
      <c r="B145" s="4642"/>
      <c r="C145" s="1930"/>
      <c r="D145" s="1893"/>
      <c r="E145" s="1893"/>
      <c r="F145" s="1894"/>
      <c r="G145" s="1894"/>
      <c r="H145" s="1894"/>
      <c r="I145" s="1894"/>
      <c r="J145" s="1894"/>
      <c r="K145" s="1894"/>
      <c r="L145" s="1894"/>
      <c r="M145" s="1894"/>
      <c r="N145" s="1894"/>
      <c r="O145" s="1894"/>
      <c r="P145" s="1894"/>
      <c r="Q145" s="1894"/>
      <c r="R145" s="1894"/>
      <c r="S145" s="1894"/>
      <c r="T145" s="1894"/>
      <c r="U145" s="1894"/>
      <c r="V145" s="1924"/>
      <c r="W145" s="4645"/>
    </row>
    <row r="146" spans="1:23" ht="18" customHeight="1">
      <c r="A146" s="4643"/>
      <c r="B146" s="4643"/>
      <c r="C146" s="1931"/>
      <c r="D146" s="1908"/>
      <c r="E146" s="1908"/>
      <c r="F146" s="1909"/>
      <c r="G146" s="1909"/>
      <c r="H146" s="1909"/>
      <c r="I146" s="1909"/>
      <c r="J146" s="1909"/>
      <c r="K146" s="1909"/>
      <c r="L146" s="1909"/>
      <c r="M146" s="1909"/>
      <c r="N146" s="1909"/>
      <c r="O146" s="1909"/>
      <c r="P146" s="1909"/>
      <c r="Q146" s="1909"/>
      <c r="R146" s="1909"/>
      <c r="S146" s="1909"/>
      <c r="T146" s="1909"/>
      <c r="U146" s="1909"/>
      <c r="V146" s="1925"/>
      <c r="W146" s="4646"/>
    </row>
    <row r="147" spans="1:23" ht="18" customHeight="1">
      <c r="A147" s="4641">
        <v>28</v>
      </c>
      <c r="B147" s="4641" t="str">
        <f>'kt1'!B41</f>
        <v>Thảo Khốc</v>
      </c>
      <c r="C147" s="1929"/>
      <c r="D147" s="1910"/>
      <c r="E147" s="1910"/>
      <c r="F147" s="1911"/>
      <c r="G147" s="1911"/>
      <c r="H147" s="1911"/>
      <c r="I147" s="1911"/>
      <c r="J147" s="1911"/>
      <c r="K147" s="1911"/>
      <c r="L147" s="1911"/>
      <c r="M147" s="1911"/>
      <c r="N147" s="1911"/>
      <c r="O147" s="1911"/>
      <c r="P147" s="1911"/>
      <c r="Q147" s="1911"/>
      <c r="R147" s="1911"/>
      <c r="S147" s="1911"/>
      <c r="T147" s="1911"/>
      <c r="U147" s="1911"/>
      <c r="V147" s="1923"/>
      <c r="W147" s="4644"/>
    </row>
    <row r="148" spans="1:23" ht="18" customHeight="1">
      <c r="A148" s="4642"/>
      <c r="B148" s="4642"/>
      <c r="C148" s="1930"/>
      <c r="D148" s="1893"/>
      <c r="E148" s="1893"/>
      <c r="F148" s="1894"/>
      <c r="G148" s="1894"/>
      <c r="H148" s="1894"/>
      <c r="I148" s="1894"/>
      <c r="J148" s="1894"/>
      <c r="K148" s="1894"/>
      <c r="L148" s="1894"/>
      <c r="M148" s="1894"/>
      <c r="N148" s="1894"/>
      <c r="O148" s="1894"/>
      <c r="P148" s="1894"/>
      <c r="Q148" s="1894"/>
      <c r="R148" s="1894"/>
      <c r="S148" s="1894"/>
      <c r="T148" s="1894"/>
      <c r="U148" s="1894"/>
      <c r="V148" s="1924"/>
      <c r="W148" s="4645"/>
    </row>
    <row r="149" spans="1:23" ht="18" customHeight="1">
      <c r="A149" s="4642"/>
      <c r="B149" s="4642"/>
      <c r="C149" s="1930"/>
      <c r="D149" s="1893"/>
      <c r="E149" s="1893"/>
      <c r="F149" s="1894"/>
      <c r="G149" s="1894"/>
      <c r="H149" s="1894"/>
      <c r="I149" s="1894"/>
      <c r="J149" s="1894"/>
      <c r="K149" s="1894"/>
      <c r="L149" s="1894"/>
      <c r="M149" s="1894"/>
      <c r="N149" s="1894"/>
      <c r="O149" s="1894"/>
      <c r="P149" s="1894"/>
      <c r="Q149" s="1894"/>
      <c r="R149" s="1894"/>
      <c r="S149" s="1894"/>
      <c r="T149" s="1894"/>
      <c r="U149" s="1894"/>
      <c r="V149" s="1924"/>
      <c r="W149" s="4645"/>
    </row>
    <row r="150" spans="1:23" ht="18" customHeight="1">
      <c r="A150" s="4642"/>
      <c r="B150" s="4642"/>
      <c r="C150" s="1930"/>
      <c r="D150" s="1893"/>
      <c r="E150" s="1893"/>
      <c r="F150" s="1894"/>
      <c r="G150" s="1894"/>
      <c r="H150" s="1894"/>
      <c r="I150" s="1894"/>
      <c r="J150" s="1894"/>
      <c r="K150" s="1894"/>
      <c r="L150" s="1894"/>
      <c r="M150" s="1894"/>
      <c r="N150" s="1894"/>
      <c r="O150" s="1894"/>
      <c r="P150" s="1894"/>
      <c r="Q150" s="1894"/>
      <c r="R150" s="1894"/>
      <c r="S150" s="1894"/>
      <c r="T150" s="1894"/>
      <c r="U150" s="1894"/>
      <c r="V150" s="1924"/>
      <c r="W150" s="4645"/>
    </row>
    <row r="151" spans="1:23" ht="18" customHeight="1">
      <c r="A151" s="4643"/>
      <c r="B151" s="4643"/>
      <c r="C151" s="1931"/>
      <c r="D151" s="1908"/>
      <c r="E151" s="1908"/>
      <c r="F151" s="1909"/>
      <c r="G151" s="1909"/>
      <c r="H151" s="1909"/>
      <c r="I151" s="1909"/>
      <c r="J151" s="1909"/>
      <c r="K151" s="1909"/>
      <c r="L151" s="1909"/>
      <c r="M151" s="1909"/>
      <c r="N151" s="1909"/>
      <c r="O151" s="1909"/>
      <c r="P151" s="1909"/>
      <c r="Q151" s="1909"/>
      <c r="R151" s="1909"/>
      <c r="S151" s="1909"/>
      <c r="T151" s="1909"/>
      <c r="U151" s="1909"/>
      <c r="V151" s="1925"/>
      <c r="W151" s="4646"/>
    </row>
    <row r="152" spans="1:23" ht="28.5" customHeight="1">
      <c r="A152" s="4641">
        <v>29</v>
      </c>
      <c r="B152" s="4641" t="str">
        <f>'kt1'!B42</f>
        <v>Thảo Sợt</v>
      </c>
      <c r="C152" s="1929"/>
      <c r="D152" s="1910"/>
      <c r="E152" s="1910"/>
      <c r="F152" s="1911"/>
      <c r="G152" s="1911"/>
      <c r="H152" s="1911"/>
      <c r="I152" s="1911"/>
      <c r="J152" s="1911"/>
      <c r="K152" s="1911"/>
      <c r="L152" s="1911"/>
      <c r="M152" s="1911"/>
      <c r="N152" s="1911"/>
      <c r="O152" s="1911"/>
      <c r="P152" s="1911"/>
      <c r="Q152" s="1911"/>
      <c r="R152" s="1911"/>
      <c r="S152" s="1911"/>
      <c r="T152" s="1911"/>
      <c r="U152" s="1911"/>
      <c r="V152" s="1923"/>
      <c r="W152" s="4644"/>
    </row>
    <row r="153" spans="1:23" ht="28.5" customHeight="1">
      <c r="A153" s="4642"/>
      <c r="B153" s="4642"/>
      <c r="C153" s="1930"/>
      <c r="D153" s="1893"/>
      <c r="E153" s="1893"/>
      <c r="F153" s="1894"/>
      <c r="G153" s="1894"/>
      <c r="H153" s="1894"/>
      <c r="I153" s="1894"/>
      <c r="J153" s="1894"/>
      <c r="K153" s="1894"/>
      <c r="L153" s="1894"/>
      <c r="M153" s="1894"/>
      <c r="N153" s="1894"/>
      <c r="O153" s="1894"/>
      <c r="P153" s="1894"/>
      <c r="Q153" s="1894"/>
      <c r="R153" s="1894"/>
      <c r="S153" s="1894"/>
      <c r="T153" s="1894"/>
      <c r="U153" s="1894"/>
      <c r="V153" s="1924"/>
      <c r="W153" s="4645"/>
    </row>
    <row r="154" spans="1:23" ht="28.5" customHeight="1">
      <c r="A154" s="4642"/>
      <c r="B154" s="4642"/>
      <c r="C154" s="1930"/>
      <c r="D154" s="1893"/>
      <c r="E154" s="1893"/>
      <c r="F154" s="1894"/>
      <c r="G154" s="1894"/>
      <c r="H154" s="1894"/>
      <c r="I154" s="1894"/>
      <c r="J154" s="1894"/>
      <c r="K154" s="1894"/>
      <c r="L154" s="1894"/>
      <c r="M154" s="1894"/>
      <c r="N154" s="1894"/>
      <c r="O154" s="1894"/>
      <c r="P154" s="1894"/>
      <c r="Q154" s="1894"/>
      <c r="R154" s="1894"/>
      <c r="S154" s="1894"/>
      <c r="T154" s="1894"/>
      <c r="U154" s="1894"/>
      <c r="V154" s="1924"/>
      <c r="W154" s="4645"/>
    </row>
    <row r="155" spans="1:23" ht="28.5" customHeight="1">
      <c r="A155" s="4642"/>
      <c r="B155" s="4642"/>
      <c r="C155" s="1930"/>
      <c r="D155" s="1893"/>
      <c r="E155" s="1893"/>
      <c r="F155" s="1894"/>
      <c r="G155" s="1894"/>
      <c r="H155" s="1894"/>
      <c r="I155" s="1894"/>
      <c r="J155" s="1894"/>
      <c r="K155" s="1894"/>
      <c r="L155" s="1894"/>
      <c r="M155" s="1894"/>
      <c r="N155" s="1894"/>
      <c r="O155" s="1894"/>
      <c r="P155" s="1894"/>
      <c r="Q155" s="1894"/>
      <c r="R155" s="1894"/>
      <c r="S155" s="1894"/>
      <c r="T155" s="1894"/>
      <c r="U155" s="1894"/>
      <c r="V155" s="1924"/>
      <c r="W155" s="4645"/>
    </row>
    <row r="156" spans="1:23" ht="28.5" customHeight="1">
      <c r="A156" s="4643"/>
      <c r="B156" s="4643"/>
      <c r="C156" s="1931"/>
      <c r="D156" s="1908"/>
      <c r="E156" s="1908"/>
      <c r="F156" s="1909"/>
      <c r="G156" s="1909"/>
      <c r="H156" s="1909"/>
      <c r="I156" s="1909"/>
      <c r="J156" s="1909"/>
      <c r="K156" s="1909"/>
      <c r="L156" s="1909"/>
      <c r="M156" s="1909"/>
      <c r="N156" s="1909"/>
      <c r="O156" s="1909"/>
      <c r="P156" s="1909"/>
      <c r="Q156" s="1909"/>
      <c r="R156" s="1909"/>
      <c r="S156" s="1909"/>
      <c r="T156" s="1909"/>
      <c r="U156" s="1909"/>
      <c r="V156" s="1925"/>
      <c r="W156" s="4646"/>
    </row>
    <row r="157" spans="1:23" ht="22.5" hidden="1" customHeight="1">
      <c r="A157" s="4641">
        <v>30</v>
      </c>
      <c r="B157" s="4641" t="str">
        <f>'kt1'!B43</f>
        <v>Thảo Văn</v>
      </c>
      <c r="C157" s="1929"/>
      <c r="D157" s="1910"/>
      <c r="E157" s="1910"/>
      <c r="F157" s="1911"/>
      <c r="G157" s="1911"/>
      <c r="H157" s="1911"/>
      <c r="I157" s="1911"/>
      <c r="J157" s="1911"/>
      <c r="K157" s="1911"/>
      <c r="L157" s="1911"/>
      <c r="M157" s="1911"/>
      <c r="N157" s="1911"/>
      <c r="O157" s="1911"/>
      <c r="P157" s="1911"/>
      <c r="Q157" s="1911"/>
      <c r="R157" s="1911"/>
      <c r="S157" s="1911"/>
      <c r="T157" s="1911"/>
      <c r="U157" s="1911"/>
      <c r="V157" s="1923"/>
      <c r="W157" s="4644"/>
    </row>
    <row r="158" spans="1:23" ht="22.5" hidden="1" customHeight="1">
      <c r="A158" s="4642"/>
      <c r="B158" s="4642"/>
      <c r="C158" s="1930"/>
      <c r="D158" s="1893"/>
      <c r="E158" s="1893"/>
      <c r="F158" s="1894"/>
      <c r="G158" s="1894"/>
      <c r="H158" s="1894"/>
      <c r="I158" s="1894"/>
      <c r="J158" s="1894"/>
      <c r="K158" s="1894"/>
      <c r="L158" s="1894"/>
      <c r="M158" s="1894"/>
      <c r="N158" s="1894"/>
      <c r="O158" s="1894"/>
      <c r="P158" s="1894"/>
      <c r="Q158" s="1894"/>
      <c r="R158" s="1894"/>
      <c r="S158" s="1894"/>
      <c r="T158" s="1894"/>
      <c r="U158" s="1894"/>
      <c r="V158" s="1924"/>
      <c r="W158" s="4645"/>
    </row>
    <row r="159" spans="1:23" ht="22.5" hidden="1" customHeight="1">
      <c r="A159" s="4642"/>
      <c r="B159" s="4642"/>
      <c r="C159" s="1930"/>
      <c r="D159" s="1893"/>
      <c r="E159" s="1893"/>
      <c r="F159" s="1894"/>
      <c r="G159" s="1894"/>
      <c r="H159" s="1894"/>
      <c r="I159" s="1894"/>
      <c r="J159" s="1894"/>
      <c r="K159" s="1894"/>
      <c r="L159" s="1894"/>
      <c r="M159" s="1894"/>
      <c r="N159" s="1894"/>
      <c r="O159" s="1894"/>
      <c r="P159" s="1894"/>
      <c r="Q159" s="1894"/>
      <c r="R159" s="1894"/>
      <c r="S159" s="1894"/>
      <c r="T159" s="1894"/>
      <c r="U159" s="1894"/>
      <c r="V159" s="1924"/>
      <c r="W159" s="4645"/>
    </row>
    <row r="160" spans="1:23" ht="22.5" hidden="1" customHeight="1">
      <c r="A160" s="4642"/>
      <c r="B160" s="4642"/>
      <c r="C160" s="1930"/>
      <c r="D160" s="1893"/>
      <c r="E160" s="1893"/>
      <c r="F160" s="1894"/>
      <c r="G160" s="1894"/>
      <c r="H160" s="1894"/>
      <c r="I160" s="1894"/>
      <c r="J160" s="1894"/>
      <c r="K160" s="1894"/>
      <c r="L160" s="1894"/>
      <c r="M160" s="1894"/>
      <c r="N160" s="1894"/>
      <c r="O160" s="1894"/>
      <c r="P160" s="1894"/>
      <c r="Q160" s="1894"/>
      <c r="R160" s="1894"/>
      <c r="S160" s="1894"/>
      <c r="T160" s="1894"/>
      <c r="U160" s="1894"/>
      <c r="V160" s="1924"/>
      <c r="W160" s="4645"/>
    </row>
    <row r="161" spans="1:23" ht="22.5" hidden="1" customHeight="1">
      <c r="A161" s="4643"/>
      <c r="B161" s="4643"/>
      <c r="C161" s="1931"/>
      <c r="D161" s="1908"/>
      <c r="E161" s="1908"/>
      <c r="F161" s="1909"/>
      <c r="G161" s="1909"/>
      <c r="H161" s="1909"/>
      <c r="I161" s="1909"/>
      <c r="J161" s="1909"/>
      <c r="K161" s="1909"/>
      <c r="L161" s="1909"/>
      <c r="M161" s="1909"/>
      <c r="N161" s="1909"/>
      <c r="O161" s="1909"/>
      <c r="P161" s="1909"/>
      <c r="Q161" s="1909"/>
      <c r="R161" s="1909"/>
      <c r="S161" s="1909"/>
      <c r="T161" s="1909"/>
      <c r="U161" s="1909"/>
      <c r="V161" s="1925"/>
      <c r="W161" s="4646"/>
    </row>
    <row r="162" spans="1:23" ht="22.5" customHeight="1">
      <c r="A162" s="4641">
        <v>31</v>
      </c>
      <c r="B162" s="4641" t="str">
        <f>'kt1'!B44</f>
        <v>Thảo Thong</v>
      </c>
      <c r="C162" s="1929"/>
      <c r="D162" s="1910"/>
      <c r="E162" s="1910"/>
      <c r="F162" s="1911"/>
      <c r="G162" s="1911"/>
      <c r="H162" s="1911"/>
      <c r="I162" s="1911"/>
      <c r="J162" s="1911"/>
      <c r="K162" s="1911"/>
      <c r="L162" s="1911"/>
      <c r="M162" s="1911"/>
      <c r="N162" s="1911"/>
      <c r="O162" s="1911"/>
      <c r="P162" s="1911"/>
      <c r="Q162" s="1911"/>
      <c r="R162" s="1911"/>
      <c r="S162" s="1911"/>
      <c r="T162" s="1911"/>
      <c r="U162" s="1911"/>
      <c r="V162" s="1923"/>
      <c r="W162" s="4644"/>
    </row>
    <row r="163" spans="1:23" ht="22.5" customHeight="1">
      <c r="A163" s="4642"/>
      <c r="B163" s="4642"/>
      <c r="C163" s="1930"/>
      <c r="D163" s="1893"/>
      <c r="E163" s="1893"/>
      <c r="F163" s="1894"/>
      <c r="G163" s="1894"/>
      <c r="H163" s="1894"/>
      <c r="I163" s="1894"/>
      <c r="J163" s="1894"/>
      <c r="K163" s="1894"/>
      <c r="L163" s="1894"/>
      <c r="M163" s="1894"/>
      <c r="N163" s="1894"/>
      <c r="O163" s="1894"/>
      <c r="P163" s="1894"/>
      <c r="Q163" s="1894"/>
      <c r="R163" s="1894"/>
      <c r="S163" s="1894"/>
      <c r="T163" s="1894"/>
      <c r="U163" s="1894"/>
      <c r="V163" s="1924"/>
      <c r="W163" s="4645"/>
    </row>
    <row r="164" spans="1:23" ht="22.5" customHeight="1">
      <c r="A164" s="4642"/>
      <c r="B164" s="4642"/>
      <c r="C164" s="1930"/>
      <c r="D164" s="1893"/>
      <c r="E164" s="1893"/>
      <c r="F164" s="1894"/>
      <c r="G164" s="1894"/>
      <c r="H164" s="1894"/>
      <c r="I164" s="1894"/>
      <c r="J164" s="1894"/>
      <c r="K164" s="1894"/>
      <c r="L164" s="1894"/>
      <c r="M164" s="1894"/>
      <c r="N164" s="1894"/>
      <c r="O164" s="1894"/>
      <c r="P164" s="1894"/>
      <c r="Q164" s="1894"/>
      <c r="R164" s="1894"/>
      <c r="S164" s="1894"/>
      <c r="T164" s="1894"/>
      <c r="U164" s="1894"/>
      <c r="V164" s="1924"/>
      <c r="W164" s="4645"/>
    </row>
    <row r="165" spans="1:23" ht="22.5" customHeight="1">
      <c r="A165" s="4642"/>
      <c r="B165" s="4642"/>
      <c r="C165" s="1930"/>
      <c r="D165" s="1893"/>
      <c r="E165" s="1893"/>
      <c r="F165" s="1894"/>
      <c r="G165" s="1894"/>
      <c r="H165" s="1894"/>
      <c r="I165" s="1894"/>
      <c r="J165" s="1894"/>
      <c r="K165" s="1894"/>
      <c r="L165" s="1894"/>
      <c r="M165" s="1894"/>
      <c r="N165" s="1894"/>
      <c r="O165" s="1894"/>
      <c r="P165" s="1894"/>
      <c r="Q165" s="1894"/>
      <c r="R165" s="1894"/>
      <c r="S165" s="1894"/>
      <c r="T165" s="1894"/>
      <c r="U165" s="1894"/>
      <c r="V165" s="1924"/>
      <c r="W165" s="4645"/>
    </row>
    <row r="166" spans="1:23" ht="22.5" customHeight="1">
      <c r="A166" s="4643"/>
      <c r="B166" s="4643"/>
      <c r="C166" s="1931"/>
      <c r="D166" s="1908"/>
      <c r="E166" s="1908"/>
      <c r="F166" s="1909"/>
      <c r="G166" s="1909"/>
      <c r="H166" s="1909"/>
      <c r="I166" s="1909"/>
      <c r="J166" s="1909"/>
      <c r="K166" s="1909"/>
      <c r="L166" s="1909"/>
      <c r="M166" s="1909"/>
      <c r="N166" s="1909"/>
      <c r="O166" s="1909"/>
      <c r="P166" s="1909"/>
      <c r="Q166" s="1909"/>
      <c r="R166" s="1909"/>
      <c r="S166" s="1909"/>
      <c r="T166" s="1909"/>
      <c r="U166" s="1909"/>
      <c r="V166" s="1925"/>
      <c r="W166" s="4646"/>
    </row>
    <row r="167" spans="1:23" ht="22.5" customHeight="1">
      <c r="A167" s="4641">
        <v>32</v>
      </c>
      <c r="B167" s="4641" t="str">
        <f>'kt1'!B45</f>
        <v xml:space="preserve"> Nàng Ngột</v>
      </c>
      <c r="C167" s="1929"/>
      <c r="D167" s="1910"/>
      <c r="E167" s="1910"/>
      <c r="F167" s="1911"/>
      <c r="G167" s="1911"/>
      <c r="H167" s="1911"/>
      <c r="I167" s="1911"/>
      <c r="J167" s="1911"/>
      <c r="K167" s="1911"/>
      <c r="L167" s="1911"/>
      <c r="M167" s="1911"/>
      <c r="N167" s="1911"/>
      <c r="O167" s="1911"/>
      <c r="P167" s="1911"/>
      <c r="Q167" s="1911"/>
      <c r="R167" s="1911"/>
      <c r="S167" s="1911"/>
      <c r="T167" s="1911"/>
      <c r="U167" s="1911"/>
      <c r="V167" s="1923"/>
      <c r="W167" s="4644"/>
    </row>
    <row r="168" spans="1:23" ht="22.5" customHeight="1">
      <c r="A168" s="4642"/>
      <c r="B168" s="4642"/>
      <c r="C168" s="1930"/>
      <c r="D168" s="1893"/>
      <c r="E168" s="1893"/>
      <c r="F168" s="1894"/>
      <c r="G168" s="1894"/>
      <c r="H168" s="1894"/>
      <c r="I168" s="1894"/>
      <c r="J168" s="1894"/>
      <c r="K168" s="1894"/>
      <c r="L168" s="1894"/>
      <c r="M168" s="1894"/>
      <c r="N168" s="1894"/>
      <c r="O168" s="1894"/>
      <c r="P168" s="1894"/>
      <c r="Q168" s="1894"/>
      <c r="R168" s="1894"/>
      <c r="S168" s="1894"/>
      <c r="T168" s="1894"/>
      <c r="U168" s="1894"/>
      <c r="V168" s="1924"/>
      <c r="W168" s="4645"/>
    </row>
    <row r="169" spans="1:23" ht="22.5" customHeight="1">
      <c r="A169" s="4642"/>
      <c r="B169" s="4642"/>
      <c r="C169" s="1930"/>
      <c r="D169" s="1893"/>
      <c r="E169" s="1893"/>
      <c r="F169" s="1894"/>
      <c r="G169" s="1894"/>
      <c r="H169" s="1894"/>
      <c r="I169" s="1894"/>
      <c r="J169" s="1894"/>
      <c r="K169" s="1894"/>
      <c r="L169" s="1894"/>
      <c r="M169" s="1894"/>
      <c r="N169" s="1894"/>
      <c r="O169" s="1894"/>
      <c r="P169" s="1894"/>
      <c r="Q169" s="1894"/>
      <c r="R169" s="1894"/>
      <c r="S169" s="1894"/>
      <c r="T169" s="1894"/>
      <c r="U169" s="1894"/>
      <c r="V169" s="1924"/>
      <c r="W169" s="4645"/>
    </row>
    <row r="170" spans="1:23" ht="22.5" customHeight="1">
      <c r="A170" s="4642"/>
      <c r="B170" s="4642"/>
      <c r="C170" s="1930"/>
      <c r="D170" s="1893"/>
      <c r="E170" s="1893"/>
      <c r="F170" s="1894"/>
      <c r="G170" s="1894"/>
      <c r="H170" s="1894"/>
      <c r="I170" s="1894"/>
      <c r="J170" s="1894"/>
      <c r="K170" s="1894"/>
      <c r="L170" s="1894"/>
      <c r="M170" s="1894"/>
      <c r="N170" s="1894"/>
      <c r="O170" s="1894"/>
      <c r="P170" s="1894"/>
      <c r="Q170" s="1894"/>
      <c r="R170" s="1894"/>
      <c r="S170" s="1894"/>
      <c r="T170" s="1894"/>
      <c r="U170" s="1894"/>
      <c r="V170" s="1924"/>
      <c r="W170" s="4645"/>
    </row>
    <row r="171" spans="1:23" ht="22.5" customHeight="1">
      <c r="A171" s="4643"/>
      <c r="B171" s="4643"/>
      <c r="C171" s="1931"/>
      <c r="D171" s="1908"/>
      <c r="E171" s="1908"/>
      <c r="F171" s="1909"/>
      <c r="G171" s="1909"/>
      <c r="H171" s="1909"/>
      <c r="I171" s="1909"/>
      <c r="J171" s="1909"/>
      <c r="K171" s="1909"/>
      <c r="L171" s="1909"/>
      <c r="M171" s="1909"/>
      <c r="N171" s="1909"/>
      <c r="O171" s="1909"/>
      <c r="P171" s="1909"/>
      <c r="Q171" s="1909"/>
      <c r="R171" s="1909"/>
      <c r="S171" s="1909"/>
      <c r="T171" s="1909"/>
      <c r="U171" s="1909"/>
      <c r="V171" s="1925"/>
      <c r="W171" s="4646"/>
    </row>
    <row r="172" spans="1:23" ht="24.75" customHeight="1">
      <c r="A172" s="4641">
        <v>33</v>
      </c>
      <c r="B172" s="4641" t="str">
        <f>'kt1'!B46</f>
        <v>Nàng Chon</v>
      </c>
      <c r="C172" s="1929"/>
      <c r="D172" s="1910"/>
      <c r="E172" s="1910"/>
      <c r="F172" s="1911"/>
      <c r="G172" s="1911"/>
      <c r="H172" s="1911"/>
      <c r="I172" s="1911"/>
      <c r="J172" s="1911"/>
      <c r="K172" s="1911"/>
      <c r="L172" s="1911"/>
      <c r="M172" s="1911"/>
      <c r="N172" s="1911"/>
      <c r="O172" s="1911"/>
      <c r="P172" s="1911"/>
      <c r="Q172" s="1911"/>
      <c r="R172" s="1911"/>
      <c r="S172" s="1911"/>
      <c r="T172" s="1911"/>
      <c r="U172" s="1911"/>
      <c r="V172" s="1923"/>
      <c r="W172" s="4644"/>
    </row>
    <row r="173" spans="1:23" ht="24.75" customHeight="1">
      <c r="A173" s="4642"/>
      <c r="B173" s="4642"/>
      <c r="C173" s="1930"/>
      <c r="D173" s="1893"/>
      <c r="E173" s="1893"/>
      <c r="F173" s="1894"/>
      <c r="G173" s="1894"/>
      <c r="H173" s="1894"/>
      <c r="I173" s="1894"/>
      <c r="J173" s="1894"/>
      <c r="K173" s="1894"/>
      <c r="L173" s="1894"/>
      <c r="M173" s="1894"/>
      <c r="N173" s="1894"/>
      <c r="O173" s="1894"/>
      <c r="P173" s="1894"/>
      <c r="Q173" s="1894"/>
      <c r="R173" s="1894"/>
      <c r="S173" s="1894"/>
      <c r="T173" s="1894"/>
      <c r="U173" s="1894"/>
      <c r="V173" s="1924"/>
      <c r="W173" s="4645"/>
    </row>
    <row r="174" spans="1:23" ht="24.75" customHeight="1">
      <c r="A174" s="4642"/>
      <c r="B174" s="4642"/>
      <c r="C174" s="1930"/>
      <c r="D174" s="1893"/>
      <c r="E174" s="1893"/>
      <c r="F174" s="1894"/>
      <c r="G174" s="1894"/>
      <c r="H174" s="1894"/>
      <c r="I174" s="1894"/>
      <c r="J174" s="1894"/>
      <c r="K174" s="1894"/>
      <c r="L174" s="1894"/>
      <c r="M174" s="1894"/>
      <c r="N174" s="1894"/>
      <c r="O174" s="1894"/>
      <c r="P174" s="1894"/>
      <c r="Q174" s="1894"/>
      <c r="R174" s="1894"/>
      <c r="S174" s="1894"/>
      <c r="T174" s="1894"/>
      <c r="U174" s="1894"/>
      <c r="V174" s="1924"/>
      <c r="W174" s="4645"/>
    </row>
    <row r="175" spans="1:23" ht="24.75" customHeight="1">
      <c r="A175" s="4642"/>
      <c r="B175" s="4642"/>
      <c r="C175" s="1930"/>
      <c r="D175" s="1893"/>
      <c r="E175" s="1893"/>
      <c r="F175" s="1894"/>
      <c r="G175" s="1894"/>
      <c r="H175" s="1894"/>
      <c r="I175" s="1894"/>
      <c r="J175" s="1894"/>
      <c r="K175" s="1894"/>
      <c r="L175" s="1894"/>
      <c r="M175" s="1894"/>
      <c r="N175" s="1894"/>
      <c r="O175" s="1894"/>
      <c r="P175" s="1894"/>
      <c r="Q175" s="1894"/>
      <c r="R175" s="1894"/>
      <c r="S175" s="1894"/>
      <c r="T175" s="1894"/>
      <c r="U175" s="1894"/>
      <c r="V175" s="1924"/>
      <c r="W175" s="4645"/>
    </row>
    <row r="176" spans="1:23" ht="24.75" customHeight="1">
      <c r="A176" s="4643"/>
      <c r="B176" s="4643"/>
      <c r="C176" s="1931"/>
      <c r="D176" s="1908"/>
      <c r="E176" s="1908"/>
      <c r="F176" s="1909"/>
      <c r="G176" s="1909"/>
      <c r="H176" s="1909"/>
      <c r="I176" s="1909"/>
      <c r="J176" s="1909"/>
      <c r="K176" s="1909"/>
      <c r="L176" s="1909"/>
      <c r="M176" s="1909"/>
      <c r="N176" s="1909"/>
      <c r="O176" s="1909"/>
      <c r="P176" s="1909"/>
      <c r="Q176" s="1909"/>
      <c r="R176" s="1909"/>
      <c r="S176" s="1909"/>
      <c r="T176" s="1909"/>
      <c r="U176" s="1909"/>
      <c r="V176" s="1925"/>
      <c r="W176" s="4646"/>
    </row>
    <row r="177" spans="1:23" ht="24.75" customHeight="1">
      <c r="A177" s="4641">
        <v>34</v>
      </c>
      <c r="B177" s="4641" t="str">
        <f>'kt1'!B47</f>
        <v>Bun han</v>
      </c>
      <c r="C177" s="1929"/>
      <c r="D177" s="1910"/>
      <c r="E177" s="1910"/>
      <c r="F177" s="1911"/>
      <c r="G177" s="1911"/>
      <c r="H177" s="1911"/>
      <c r="I177" s="1911"/>
      <c r="J177" s="1911"/>
      <c r="K177" s="1911"/>
      <c r="L177" s="1911"/>
      <c r="M177" s="1911"/>
      <c r="N177" s="1911"/>
      <c r="O177" s="1911"/>
      <c r="P177" s="1911"/>
      <c r="Q177" s="1911"/>
      <c r="R177" s="1911"/>
      <c r="S177" s="1911"/>
      <c r="T177" s="1911"/>
      <c r="U177" s="1911"/>
      <c r="V177" s="1923"/>
      <c r="W177" s="4644"/>
    </row>
    <row r="178" spans="1:23" ht="24.75" customHeight="1">
      <c r="A178" s="4642"/>
      <c r="B178" s="4642"/>
      <c r="C178" s="1930"/>
      <c r="D178" s="1893"/>
      <c r="E178" s="1893"/>
      <c r="F178" s="1894"/>
      <c r="G178" s="1894"/>
      <c r="H178" s="1894"/>
      <c r="I178" s="1894"/>
      <c r="J178" s="1894"/>
      <c r="K178" s="1894"/>
      <c r="L178" s="1894"/>
      <c r="M178" s="1894"/>
      <c r="N178" s="1894"/>
      <c r="O178" s="1894"/>
      <c r="P178" s="1894"/>
      <c r="Q178" s="1894"/>
      <c r="R178" s="1894"/>
      <c r="S178" s="1894"/>
      <c r="T178" s="1894"/>
      <c r="U178" s="1894"/>
      <c r="V178" s="1924"/>
      <c r="W178" s="4645"/>
    </row>
    <row r="179" spans="1:23" ht="24.75" customHeight="1">
      <c r="A179" s="4642"/>
      <c r="B179" s="4642"/>
      <c r="C179" s="1930"/>
      <c r="D179" s="1893"/>
      <c r="E179" s="1893"/>
      <c r="F179" s="1894"/>
      <c r="G179" s="1894"/>
      <c r="H179" s="1894"/>
      <c r="I179" s="1894"/>
      <c r="J179" s="1894"/>
      <c r="K179" s="1894"/>
      <c r="L179" s="1894"/>
      <c r="M179" s="1894"/>
      <c r="N179" s="1894"/>
      <c r="O179" s="1894"/>
      <c r="P179" s="1894"/>
      <c r="Q179" s="1894"/>
      <c r="R179" s="1894"/>
      <c r="S179" s="1894"/>
      <c r="T179" s="1894"/>
      <c r="U179" s="1894"/>
      <c r="V179" s="1924"/>
      <c r="W179" s="4645"/>
    </row>
    <row r="180" spans="1:23" ht="24.75" customHeight="1">
      <c r="A180" s="4642"/>
      <c r="B180" s="4642"/>
      <c r="C180" s="1930"/>
      <c r="D180" s="1893"/>
      <c r="E180" s="1893"/>
      <c r="F180" s="1894"/>
      <c r="G180" s="1894"/>
      <c r="H180" s="1894"/>
      <c r="I180" s="1894"/>
      <c r="J180" s="1894"/>
      <c r="K180" s="1894"/>
      <c r="L180" s="1894"/>
      <c r="M180" s="1894"/>
      <c r="N180" s="1894"/>
      <c r="O180" s="1894"/>
      <c r="P180" s="1894"/>
      <c r="Q180" s="1894"/>
      <c r="R180" s="1894"/>
      <c r="S180" s="1894"/>
      <c r="T180" s="1894"/>
      <c r="U180" s="1894"/>
      <c r="V180" s="1924"/>
      <c r="W180" s="4645"/>
    </row>
    <row r="181" spans="1:23" ht="24.75" customHeight="1">
      <c r="A181" s="4643"/>
      <c r="B181" s="4643"/>
      <c r="C181" s="1931"/>
      <c r="D181" s="1908"/>
      <c r="E181" s="1908"/>
      <c r="F181" s="1909"/>
      <c r="G181" s="1909"/>
      <c r="H181" s="1909"/>
      <c r="I181" s="1909"/>
      <c r="J181" s="1909"/>
      <c r="K181" s="1909"/>
      <c r="L181" s="1909"/>
      <c r="M181" s="1909"/>
      <c r="N181" s="1909"/>
      <c r="O181" s="1909"/>
      <c r="P181" s="1909"/>
      <c r="Q181" s="1909"/>
      <c r="R181" s="1909"/>
      <c r="S181" s="1909"/>
      <c r="T181" s="1909"/>
      <c r="U181" s="1909"/>
      <c r="V181" s="1925"/>
      <c r="W181" s="4646"/>
    </row>
    <row r="182" spans="1:23" ht="24.75" customHeight="1">
      <c r="A182" s="4641">
        <v>35</v>
      </c>
      <c r="B182" s="4641" t="str">
        <f>'kt1'!B48</f>
        <v>Hăn</v>
      </c>
      <c r="C182" s="1929"/>
      <c r="D182" s="1910"/>
      <c r="E182" s="1910"/>
      <c r="F182" s="1911"/>
      <c r="G182" s="1911"/>
      <c r="H182" s="1911"/>
      <c r="I182" s="1911"/>
      <c r="J182" s="1911"/>
      <c r="K182" s="1911"/>
      <c r="L182" s="1911"/>
      <c r="M182" s="1911"/>
      <c r="N182" s="1911"/>
      <c r="O182" s="1911"/>
      <c r="P182" s="1911"/>
      <c r="Q182" s="1911"/>
      <c r="R182" s="1911"/>
      <c r="S182" s="1911"/>
      <c r="T182" s="1911"/>
      <c r="U182" s="1911"/>
      <c r="V182" s="1923"/>
      <c r="W182" s="4644"/>
    </row>
    <row r="183" spans="1:23" ht="24.75" customHeight="1">
      <c r="A183" s="4642"/>
      <c r="B183" s="4642"/>
      <c r="C183" s="1930"/>
      <c r="D183" s="1893"/>
      <c r="E183" s="1893"/>
      <c r="F183" s="1894"/>
      <c r="G183" s="1894"/>
      <c r="H183" s="1894"/>
      <c r="I183" s="1894"/>
      <c r="J183" s="1894"/>
      <c r="K183" s="1894"/>
      <c r="L183" s="1894"/>
      <c r="M183" s="1894"/>
      <c r="N183" s="1894"/>
      <c r="O183" s="1894"/>
      <c r="P183" s="1894"/>
      <c r="Q183" s="1894"/>
      <c r="R183" s="1894"/>
      <c r="S183" s="1894"/>
      <c r="T183" s="1894"/>
      <c r="U183" s="1894"/>
      <c r="V183" s="1924"/>
      <c r="W183" s="4645"/>
    </row>
    <row r="184" spans="1:23" ht="24.75" customHeight="1">
      <c r="A184" s="4642"/>
      <c r="B184" s="4642"/>
      <c r="C184" s="1930"/>
      <c r="D184" s="1893"/>
      <c r="E184" s="1893"/>
      <c r="F184" s="1894"/>
      <c r="G184" s="1894"/>
      <c r="H184" s="1894"/>
      <c r="I184" s="1894"/>
      <c r="J184" s="1894"/>
      <c r="K184" s="1894"/>
      <c r="L184" s="1894"/>
      <c r="M184" s="1894"/>
      <c r="N184" s="1894"/>
      <c r="O184" s="1894"/>
      <c r="P184" s="1894"/>
      <c r="Q184" s="1894"/>
      <c r="R184" s="1894"/>
      <c r="S184" s="1894"/>
      <c r="T184" s="1894"/>
      <c r="U184" s="1894"/>
      <c r="V184" s="1924"/>
      <c r="W184" s="4645"/>
    </row>
    <row r="185" spans="1:23" ht="24.75" customHeight="1">
      <c r="A185" s="4642"/>
      <c r="B185" s="4642"/>
      <c r="C185" s="1930"/>
      <c r="D185" s="1893"/>
      <c r="E185" s="1893"/>
      <c r="F185" s="1894"/>
      <c r="G185" s="1894"/>
      <c r="H185" s="1894"/>
      <c r="I185" s="1894"/>
      <c r="J185" s="1894"/>
      <c r="K185" s="1894"/>
      <c r="L185" s="1894"/>
      <c r="M185" s="1894"/>
      <c r="N185" s="1894"/>
      <c r="O185" s="1894"/>
      <c r="P185" s="1894"/>
      <c r="Q185" s="1894"/>
      <c r="R185" s="1894"/>
      <c r="S185" s="1894"/>
      <c r="T185" s="1894"/>
      <c r="U185" s="1894"/>
      <c r="V185" s="1924"/>
      <c r="W185" s="4645"/>
    </row>
    <row r="186" spans="1:23" ht="24.75" customHeight="1">
      <c r="A186" s="4643"/>
      <c r="B186" s="4643"/>
      <c r="C186" s="1931"/>
      <c r="D186" s="1908"/>
      <c r="E186" s="1908"/>
      <c r="F186" s="1909"/>
      <c r="G186" s="1909"/>
      <c r="H186" s="1909"/>
      <c r="I186" s="1909"/>
      <c r="J186" s="1909"/>
      <c r="K186" s="1909"/>
      <c r="L186" s="1909"/>
      <c r="M186" s="1909"/>
      <c r="N186" s="1909"/>
      <c r="O186" s="1909"/>
      <c r="P186" s="1909"/>
      <c r="Q186" s="1909"/>
      <c r="R186" s="1909"/>
      <c r="S186" s="1909"/>
      <c r="T186" s="1909"/>
      <c r="U186" s="1909"/>
      <c r="V186" s="1925"/>
      <c r="W186" s="4646"/>
    </row>
    <row r="187" spans="1:23" ht="25.5" customHeight="1">
      <c r="A187" s="4641">
        <v>36</v>
      </c>
      <c r="B187" s="4641" t="str">
        <f>'kt1'!B49</f>
        <v>Thảo Tuỳ</v>
      </c>
      <c r="C187" s="1929"/>
      <c r="D187" s="1910"/>
      <c r="E187" s="1910"/>
      <c r="F187" s="1911"/>
      <c r="G187" s="1911"/>
      <c r="H187" s="1911"/>
      <c r="I187" s="1911"/>
      <c r="J187" s="1911"/>
      <c r="K187" s="1911"/>
      <c r="L187" s="1911"/>
      <c r="M187" s="1911"/>
      <c r="N187" s="1911"/>
      <c r="O187" s="1911"/>
      <c r="P187" s="1911"/>
      <c r="Q187" s="1911"/>
      <c r="R187" s="1911"/>
      <c r="S187" s="1911"/>
      <c r="T187" s="1911"/>
      <c r="U187" s="1911"/>
      <c r="V187" s="1923"/>
      <c r="W187" s="4644"/>
    </row>
    <row r="188" spans="1:23" ht="25.5" customHeight="1">
      <c r="A188" s="4642"/>
      <c r="B188" s="4642"/>
      <c r="C188" s="1930"/>
      <c r="D188" s="1893"/>
      <c r="E188" s="1893"/>
      <c r="F188" s="1894"/>
      <c r="G188" s="1894"/>
      <c r="H188" s="1894"/>
      <c r="I188" s="1894"/>
      <c r="J188" s="1894"/>
      <c r="K188" s="1894"/>
      <c r="L188" s="1894"/>
      <c r="M188" s="1894"/>
      <c r="N188" s="1894"/>
      <c r="O188" s="1894"/>
      <c r="P188" s="1894"/>
      <c r="Q188" s="1894"/>
      <c r="R188" s="1894"/>
      <c r="S188" s="1894"/>
      <c r="T188" s="1894"/>
      <c r="U188" s="1894"/>
      <c r="V188" s="1924"/>
      <c r="W188" s="4645"/>
    </row>
    <row r="189" spans="1:23" ht="25.5" customHeight="1">
      <c r="A189" s="4642"/>
      <c r="B189" s="4642"/>
      <c r="C189" s="1930"/>
      <c r="D189" s="1893"/>
      <c r="E189" s="1893"/>
      <c r="F189" s="1894"/>
      <c r="G189" s="1894"/>
      <c r="H189" s="1894"/>
      <c r="I189" s="1894"/>
      <c r="J189" s="1894"/>
      <c r="K189" s="1894"/>
      <c r="L189" s="1894"/>
      <c r="M189" s="1894"/>
      <c r="N189" s="1894"/>
      <c r="O189" s="1894"/>
      <c r="P189" s="1894"/>
      <c r="Q189" s="1894"/>
      <c r="R189" s="1894"/>
      <c r="S189" s="1894"/>
      <c r="T189" s="1894"/>
      <c r="U189" s="1894"/>
      <c r="V189" s="1924"/>
      <c r="W189" s="4645"/>
    </row>
    <row r="190" spans="1:23" ht="25.5" customHeight="1">
      <c r="A190" s="4642"/>
      <c r="B190" s="4642"/>
      <c r="C190" s="1930"/>
      <c r="D190" s="1893"/>
      <c r="E190" s="1893"/>
      <c r="F190" s="1894"/>
      <c r="G190" s="1894"/>
      <c r="H190" s="1894"/>
      <c r="I190" s="1894"/>
      <c r="J190" s="1894"/>
      <c r="K190" s="1894"/>
      <c r="L190" s="1894"/>
      <c r="M190" s="1894"/>
      <c r="N190" s="1894"/>
      <c r="O190" s="1894"/>
      <c r="P190" s="1894"/>
      <c r="Q190" s="1894"/>
      <c r="R190" s="1894"/>
      <c r="S190" s="1894"/>
      <c r="T190" s="1894"/>
      <c r="U190" s="1894"/>
      <c r="V190" s="1924"/>
      <c r="W190" s="4645"/>
    </row>
    <row r="191" spans="1:23" ht="25.5" customHeight="1">
      <c r="A191" s="4643"/>
      <c r="B191" s="4643"/>
      <c r="C191" s="1931"/>
      <c r="D191" s="1908"/>
      <c r="E191" s="1908"/>
      <c r="F191" s="1909"/>
      <c r="G191" s="1909"/>
      <c r="H191" s="1909"/>
      <c r="I191" s="1909"/>
      <c r="J191" s="1909"/>
      <c r="K191" s="1909"/>
      <c r="L191" s="1909"/>
      <c r="M191" s="1909"/>
      <c r="N191" s="1909"/>
      <c r="O191" s="1909"/>
      <c r="P191" s="1909"/>
      <c r="Q191" s="1909"/>
      <c r="R191" s="1909"/>
      <c r="S191" s="1909"/>
      <c r="T191" s="1909"/>
      <c r="U191" s="1909"/>
      <c r="V191" s="1925"/>
      <c r="W191" s="4646"/>
    </row>
    <row r="192" spans="1:23" ht="15" hidden="1" customHeight="1">
      <c r="A192" s="4641">
        <v>37</v>
      </c>
      <c r="B192" s="4671"/>
      <c r="C192" s="1907"/>
      <c r="D192" s="1907"/>
      <c r="E192" s="1907"/>
      <c r="F192" s="1904"/>
      <c r="G192" s="1904"/>
      <c r="H192" s="1904"/>
      <c r="I192" s="1904"/>
      <c r="J192" s="1904"/>
      <c r="K192" s="1904"/>
      <c r="L192" s="1904"/>
      <c r="M192" s="1904"/>
      <c r="N192" s="1904"/>
      <c r="O192" s="1904"/>
      <c r="P192" s="1904"/>
      <c r="Q192" s="1904"/>
      <c r="R192" s="1904"/>
      <c r="S192" s="1904"/>
      <c r="T192" s="1904"/>
      <c r="U192" s="1904"/>
      <c r="V192" s="1904"/>
      <c r="W192" s="1903"/>
    </row>
    <row r="193" spans="1:23" ht="15" hidden="1" customHeight="1">
      <c r="A193" s="4642"/>
      <c r="B193" s="4667"/>
      <c r="C193" s="1893"/>
      <c r="D193" s="1893"/>
      <c r="E193" s="1893"/>
      <c r="F193" s="1894"/>
      <c r="G193" s="1894"/>
      <c r="H193" s="1894"/>
      <c r="I193" s="1894"/>
      <c r="J193" s="1894"/>
      <c r="K193" s="1894"/>
      <c r="L193" s="1894"/>
      <c r="M193" s="1894"/>
      <c r="N193" s="1894"/>
      <c r="O193" s="1894"/>
      <c r="P193" s="1894"/>
      <c r="Q193" s="1894"/>
      <c r="R193" s="1894"/>
      <c r="S193" s="1894"/>
      <c r="T193" s="1894"/>
      <c r="U193" s="1894"/>
      <c r="V193" s="1894"/>
      <c r="W193" s="1895"/>
    </row>
    <row r="194" spans="1:23" ht="15" hidden="1" customHeight="1">
      <c r="A194" s="4642"/>
      <c r="B194" s="4667"/>
      <c r="C194" s="1893"/>
      <c r="D194" s="1893"/>
      <c r="E194" s="1893"/>
      <c r="F194" s="1894"/>
      <c r="G194" s="1894"/>
      <c r="H194" s="1894"/>
      <c r="I194" s="1894"/>
      <c r="J194" s="1894"/>
      <c r="K194" s="1894"/>
      <c r="L194" s="1894"/>
      <c r="M194" s="1894"/>
      <c r="N194" s="1894"/>
      <c r="O194" s="1894"/>
      <c r="P194" s="1894"/>
      <c r="Q194" s="1894"/>
      <c r="R194" s="1894"/>
      <c r="S194" s="1894"/>
      <c r="T194" s="1894"/>
      <c r="U194" s="1894"/>
      <c r="V194" s="1894"/>
      <c r="W194" s="1895"/>
    </row>
    <row r="195" spans="1:23" ht="15" hidden="1" customHeight="1">
      <c r="A195" s="4642"/>
      <c r="B195" s="4667"/>
      <c r="C195" s="1893"/>
      <c r="D195" s="1893"/>
      <c r="E195" s="1893"/>
      <c r="F195" s="1894"/>
      <c r="G195" s="1894"/>
      <c r="H195" s="1894"/>
      <c r="I195" s="1894"/>
      <c r="J195" s="1894"/>
      <c r="K195" s="1894"/>
      <c r="L195" s="1894"/>
      <c r="M195" s="1894"/>
      <c r="N195" s="1894"/>
      <c r="O195" s="1894"/>
      <c r="P195" s="1894"/>
      <c r="Q195" s="1894"/>
      <c r="R195" s="1894"/>
      <c r="S195" s="1894"/>
      <c r="T195" s="1894"/>
      <c r="U195" s="1894"/>
      <c r="V195" s="1894"/>
      <c r="W195" s="1895"/>
    </row>
    <row r="196" spans="1:23" ht="15" hidden="1" customHeight="1">
      <c r="A196" s="4643"/>
      <c r="B196" s="4667"/>
      <c r="C196" s="1893"/>
      <c r="D196" s="1893"/>
      <c r="E196" s="1893"/>
      <c r="F196" s="1894"/>
      <c r="G196" s="1894"/>
      <c r="H196" s="1894"/>
      <c r="I196" s="1894"/>
      <c r="J196" s="1894"/>
      <c r="K196" s="1894"/>
      <c r="L196" s="1894"/>
      <c r="M196" s="1894"/>
      <c r="N196" s="1894"/>
      <c r="O196" s="1894"/>
      <c r="P196" s="1894"/>
      <c r="Q196" s="1894"/>
      <c r="R196" s="1894"/>
      <c r="S196" s="1894"/>
      <c r="T196" s="1894"/>
      <c r="U196" s="1894"/>
      <c r="V196" s="1894"/>
      <c r="W196" s="1895"/>
    </row>
    <row r="197" spans="1:23" ht="15" hidden="1" customHeight="1">
      <c r="A197" s="4641">
        <v>38</v>
      </c>
      <c r="B197" s="4667"/>
      <c r="C197" s="1893"/>
      <c r="D197" s="1893"/>
      <c r="E197" s="1893"/>
      <c r="F197" s="1894"/>
      <c r="G197" s="1894"/>
      <c r="H197" s="1894"/>
      <c r="I197" s="1894"/>
      <c r="J197" s="1894"/>
      <c r="K197" s="1894"/>
      <c r="L197" s="1894"/>
      <c r="M197" s="1894"/>
      <c r="N197" s="1894"/>
      <c r="O197" s="1894"/>
      <c r="P197" s="1894"/>
      <c r="Q197" s="1894"/>
      <c r="R197" s="1894"/>
      <c r="S197" s="1894"/>
      <c r="T197" s="1894"/>
      <c r="U197" s="1894"/>
      <c r="V197" s="1894"/>
      <c r="W197" s="1895"/>
    </row>
    <row r="198" spans="1:23" ht="15" hidden="1" customHeight="1">
      <c r="A198" s="4642"/>
      <c r="B198" s="4667"/>
      <c r="C198" s="1893"/>
      <c r="D198" s="1893"/>
      <c r="E198" s="1893"/>
      <c r="F198" s="1894"/>
      <c r="G198" s="1894"/>
      <c r="H198" s="1894"/>
      <c r="I198" s="1894"/>
      <c r="J198" s="1894"/>
      <c r="K198" s="1894"/>
      <c r="L198" s="1894"/>
      <c r="M198" s="1894"/>
      <c r="N198" s="1894"/>
      <c r="O198" s="1894"/>
      <c r="P198" s="1894"/>
      <c r="Q198" s="1894"/>
      <c r="R198" s="1894"/>
      <c r="S198" s="1894"/>
      <c r="T198" s="1894"/>
      <c r="U198" s="1894"/>
      <c r="V198" s="1894"/>
      <c r="W198" s="1895"/>
    </row>
    <row r="199" spans="1:23" ht="15" hidden="1" customHeight="1">
      <c r="A199" s="4642"/>
      <c r="B199" s="4667"/>
      <c r="C199" s="1893"/>
      <c r="D199" s="1893"/>
      <c r="E199" s="1893"/>
      <c r="F199" s="1894"/>
      <c r="G199" s="1894"/>
      <c r="H199" s="1894"/>
      <c r="I199" s="1894"/>
      <c r="J199" s="1894"/>
      <c r="K199" s="1894"/>
      <c r="L199" s="1894"/>
      <c r="M199" s="1894"/>
      <c r="N199" s="1894"/>
      <c r="O199" s="1894"/>
      <c r="P199" s="1894"/>
      <c r="Q199" s="1894"/>
      <c r="R199" s="1894"/>
      <c r="S199" s="1894"/>
      <c r="T199" s="1894"/>
      <c r="U199" s="1894"/>
      <c r="V199" s="1894"/>
      <c r="W199" s="1895"/>
    </row>
    <row r="200" spans="1:23" ht="15" hidden="1" customHeight="1">
      <c r="A200" s="4642"/>
      <c r="B200" s="4667"/>
      <c r="C200" s="1893"/>
      <c r="D200" s="1893"/>
      <c r="E200" s="1893"/>
      <c r="F200" s="1894"/>
      <c r="G200" s="1894"/>
      <c r="H200" s="1894"/>
      <c r="I200" s="1894"/>
      <c r="J200" s="1894"/>
      <c r="K200" s="1894"/>
      <c r="L200" s="1894"/>
      <c r="M200" s="1894"/>
      <c r="N200" s="1894"/>
      <c r="O200" s="1894"/>
      <c r="P200" s="1894"/>
      <c r="Q200" s="1894"/>
      <c r="R200" s="1894"/>
      <c r="S200" s="1894"/>
      <c r="T200" s="1894"/>
      <c r="U200" s="1894"/>
      <c r="V200" s="1894"/>
      <c r="W200" s="1895"/>
    </row>
    <row r="201" spans="1:23" ht="15" hidden="1" customHeight="1">
      <c r="A201" s="4643"/>
      <c r="B201" s="4667"/>
      <c r="C201" s="1893"/>
      <c r="D201" s="1893"/>
      <c r="E201" s="1893"/>
      <c r="F201" s="1894"/>
      <c r="G201" s="1894"/>
      <c r="H201" s="1894"/>
      <c r="I201" s="1894"/>
      <c r="J201" s="1894"/>
      <c r="K201" s="1894"/>
      <c r="L201" s="1894"/>
      <c r="M201" s="1894"/>
      <c r="N201" s="1894"/>
      <c r="O201" s="1894"/>
      <c r="P201" s="1894"/>
      <c r="Q201" s="1894"/>
      <c r="R201" s="1894"/>
      <c r="S201" s="1894"/>
      <c r="T201" s="1894"/>
      <c r="U201" s="1894"/>
      <c r="V201" s="1894"/>
      <c r="W201" s="1895"/>
    </row>
    <row r="202" spans="1:23" ht="15" hidden="1" customHeight="1">
      <c r="A202" s="4641">
        <v>39</v>
      </c>
      <c r="B202" s="4667"/>
      <c r="C202" s="1893"/>
      <c r="D202" s="1893"/>
      <c r="E202" s="1893"/>
      <c r="F202" s="1894"/>
      <c r="G202" s="1894"/>
      <c r="H202" s="1894"/>
      <c r="I202" s="1894"/>
      <c r="J202" s="1894"/>
      <c r="K202" s="1894"/>
      <c r="L202" s="1894"/>
      <c r="M202" s="1894"/>
      <c r="N202" s="1894"/>
      <c r="O202" s="1894"/>
      <c r="P202" s="1894"/>
      <c r="Q202" s="1894"/>
      <c r="R202" s="1894"/>
      <c r="S202" s="1894"/>
      <c r="T202" s="1894"/>
      <c r="U202" s="1894"/>
      <c r="V202" s="1894"/>
      <c r="W202" s="1895"/>
    </row>
    <row r="203" spans="1:23" ht="15" hidden="1" customHeight="1">
      <c r="A203" s="4642"/>
      <c r="B203" s="4667"/>
      <c r="C203" s="1893"/>
      <c r="D203" s="1893"/>
      <c r="E203" s="1893"/>
      <c r="F203" s="1894"/>
      <c r="G203" s="1894"/>
      <c r="H203" s="1894"/>
      <c r="I203" s="1894"/>
      <c r="J203" s="1894"/>
      <c r="K203" s="1894"/>
      <c r="L203" s="1894"/>
      <c r="M203" s="1894"/>
      <c r="N203" s="1894"/>
      <c r="O203" s="1894"/>
      <c r="P203" s="1894"/>
      <c r="Q203" s="1894"/>
      <c r="R203" s="1894"/>
      <c r="S203" s="1894"/>
      <c r="T203" s="1894"/>
      <c r="U203" s="1894"/>
      <c r="V203" s="1894"/>
      <c r="W203" s="1895"/>
    </row>
    <row r="204" spans="1:23" ht="15" hidden="1" customHeight="1">
      <c r="A204" s="4642"/>
      <c r="B204" s="4667"/>
      <c r="C204" s="1893"/>
      <c r="D204" s="1893"/>
      <c r="E204" s="1893"/>
      <c r="F204" s="1894"/>
      <c r="G204" s="1894"/>
      <c r="H204" s="1894"/>
      <c r="I204" s="1894"/>
      <c r="J204" s="1894"/>
      <c r="K204" s="1894"/>
      <c r="L204" s="1894"/>
      <c r="M204" s="1894"/>
      <c r="N204" s="1894"/>
      <c r="O204" s="1894"/>
      <c r="P204" s="1894"/>
      <c r="Q204" s="1894"/>
      <c r="R204" s="1894"/>
      <c r="S204" s="1894"/>
      <c r="T204" s="1894"/>
      <c r="U204" s="1894"/>
      <c r="V204" s="1894"/>
      <c r="W204" s="1895"/>
    </row>
    <row r="205" spans="1:23" ht="15" hidden="1" customHeight="1">
      <c r="A205" s="4642"/>
      <c r="B205" s="4667"/>
      <c r="C205" s="1893"/>
      <c r="D205" s="1893"/>
      <c r="E205" s="1893"/>
      <c r="F205" s="1894"/>
      <c r="G205" s="1894"/>
      <c r="H205" s="1894"/>
      <c r="I205" s="1894"/>
      <c r="J205" s="1894"/>
      <c r="K205" s="1894"/>
      <c r="L205" s="1894"/>
      <c r="M205" s="1894"/>
      <c r="N205" s="1894"/>
      <c r="O205" s="1894"/>
      <c r="P205" s="1894"/>
      <c r="Q205" s="1894"/>
      <c r="R205" s="1894"/>
      <c r="S205" s="1894"/>
      <c r="T205" s="1894"/>
      <c r="U205" s="1894"/>
      <c r="V205" s="1894"/>
      <c r="W205" s="1895"/>
    </row>
    <row r="206" spans="1:23" ht="15" hidden="1" customHeight="1">
      <c r="A206" s="4643"/>
      <c r="B206" s="4667"/>
      <c r="C206" s="1893"/>
      <c r="D206" s="1893"/>
      <c r="E206" s="1893"/>
      <c r="F206" s="1894"/>
      <c r="G206" s="1894"/>
      <c r="H206" s="1894"/>
      <c r="I206" s="1894"/>
      <c r="J206" s="1894"/>
      <c r="K206" s="1894"/>
      <c r="L206" s="1894"/>
      <c r="M206" s="1894"/>
      <c r="N206" s="1894"/>
      <c r="O206" s="1894"/>
      <c r="P206" s="1894"/>
      <c r="Q206" s="1894"/>
      <c r="R206" s="1894"/>
      <c r="S206" s="1894"/>
      <c r="T206" s="1894"/>
      <c r="U206" s="1894"/>
      <c r="V206" s="1894"/>
      <c r="W206" s="1895"/>
    </row>
    <row r="207" spans="1:23" ht="15" hidden="1" customHeight="1">
      <c r="A207" s="4641">
        <v>40</v>
      </c>
      <c r="B207" s="4667"/>
      <c r="C207" s="1893"/>
      <c r="D207" s="1893"/>
      <c r="E207" s="1893"/>
      <c r="F207" s="1894"/>
      <c r="G207" s="1894"/>
      <c r="H207" s="1894"/>
      <c r="I207" s="1894"/>
      <c r="J207" s="1894"/>
      <c r="K207" s="1894"/>
      <c r="L207" s="1894"/>
      <c r="M207" s="1894"/>
      <c r="N207" s="1894"/>
      <c r="O207" s="1894"/>
      <c r="P207" s="1894"/>
      <c r="Q207" s="1894"/>
      <c r="R207" s="1894"/>
      <c r="S207" s="1894"/>
      <c r="T207" s="1894"/>
      <c r="U207" s="1894"/>
      <c r="V207" s="1894"/>
      <c r="W207" s="1895"/>
    </row>
    <row r="208" spans="1:23" ht="15" hidden="1" customHeight="1">
      <c r="A208" s="4642"/>
      <c r="B208" s="4667"/>
      <c r="C208" s="1893"/>
      <c r="D208" s="1893"/>
      <c r="E208" s="1893"/>
      <c r="F208" s="1894"/>
      <c r="G208" s="1894"/>
      <c r="H208" s="1894"/>
      <c r="I208" s="1894"/>
      <c r="J208" s="1894"/>
      <c r="K208" s="1894"/>
      <c r="L208" s="1894"/>
      <c r="M208" s="1894"/>
      <c r="N208" s="1894"/>
      <c r="O208" s="1894"/>
      <c r="P208" s="1894"/>
      <c r="Q208" s="1894"/>
      <c r="R208" s="1894"/>
      <c r="S208" s="1894"/>
      <c r="T208" s="1894"/>
      <c r="U208" s="1894"/>
      <c r="V208" s="1894"/>
      <c r="W208" s="1895"/>
    </row>
    <row r="209" spans="1:23" ht="15" hidden="1" customHeight="1">
      <c r="A209" s="4642"/>
      <c r="B209" s="4667"/>
      <c r="C209" s="1893"/>
      <c r="D209" s="1893"/>
      <c r="E209" s="1893"/>
      <c r="F209" s="1894"/>
      <c r="G209" s="1894"/>
      <c r="H209" s="1894"/>
      <c r="I209" s="1894"/>
      <c r="J209" s="1894"/>
      <c r="K209" s="1894"/>
      <c r="L209" s="1894"/>
      <c r="M209" s="1894"/>
      <c r="N209" s="1894"/>
      <c r="O209" s="1894"/>
      <c r="P209" s="1894"/>
      <c r="Q209" s="1894"/>
      <c r="R209" s="1894"/>
      <c r="S209" s="1894"/>
      <c r="T209" s="1894"/>
      <c r="U209" s="1894"/>
      <c r="V209" s="1894"/>
      <c r="W209" s="1895"/>
    </row>
    <row r="210" spans="1:23" ht="15" hidden="1" customHeight="1">
      <c r="A210" s="4642"/>
      <c r="B210" s="4667"/>
      <c r="C210" s="1893"/>
      <c r="D210" s="1893"/>
      <c r="E210" s="1893"/>
      <c r="F210" s="1894"/>
      <c r="G210" s="1894"/>
      <c r="H210" s="1894"/>
      <c r="I210" s="1894"/>
      <c r="J210" s="1894"/>
      <c r="K210" s="1894"/>
      <c r="L210" s="1894"/>
      <c r="M210" s="1894"/>
      <c r="N210" s="1894"/>
      <c r="O210" s="1894"/>
      <c r="P210" s="1894"/>
      <c r="Q210" s="1894"/>
      <c r="R210" s="1894"/>
      <c r="S210" s="1894"/>
      <c r="T210" s="1894"/>
      <c r="U210" s="1894"/>
      <c r="V210" s="1894"/>
      <c r="W210" s="1895"/>
    </row>
    <row r="211" spans="1:23" ht="15" hidden="1" customHeight="1">
      <c r="A211" s="4643"/>
      <c r="B211" s="4667"/>
      <c r="C211" s="1893"/>
      <c r="D211" s="1893"/>
      <c r="E211" s="1893"/>
      <c r="F211" s="1894"/>
      <c r="G211" s="1894"/>
      <c r="H211" s="1894"/>
      <c r="I211" s="1894"/>
      <c r="J211" s="1894"/>
      <c r="K211" s="1894"/>
      <c r="L211" s="1894"/>
      <c r="M211" s="1894"/>
      <c r="N211" s="1894"/>
      <c r="O211" s="1894"/>
      <c r="P211" s="1894"/>
      <c r="Q211" s="1894"/>
      <c r="R211" s="1894"/>
      <c r="S211" s="1894"/>
      <c r="T211" s="1894"/>
      <c r="U211" s="1894"/>
      <c r="V211" s="1894"/>
      <c r="W211" s="1895"/>
    </row>
    <row r="212" spans="1:23" ht="15" hidden="1" customHeight="1">
      <c r="A212" s="4641">
        <v>41</v>
      </c>
      <c r="B212" s="4667"/>
      <c r="C212" s="1893"/>
      <c r="D212" s="1893"/>
      <c r="E212" s="1893"/>
      <c r="F212" s="1894"/>
      <c r="G212" s="1894"/>
      <c r="H212" s="1894"/>
      <c r="I212" s="1894"/>
      <c r="J212" s="1894"/>
      <c r="K212" s="1894"/>
      <c r="L212" s="1894"/>
      <c r="M212" s="1894"/>
      <c r="N212" s="1894"/>
      <c r="O212" s="1894"/>
      <c r="P212" s="1894"/>
      <c r="Q212" s="1894"/>
      <c r="R212" s="1894"/>
      <c r="S212" s="1894"/>
      <c r="T212" s="1894"/>
      <c r="U212" s="1894"/>
      <c r="V212" s="1894"/>
      <c r="W212" s="1895"/>
    </row>
    <row r="213" spans="1:23" ht="15" hidden="1" customHeight="1">
      <c r="A213" s="4642"/>
      <c r="B213" s="4667"/>
      <c r="C213" s="1893"/>
      <c r="D213" s="1893"/>
      <c r="E213" s="1893"/>
      <c r="F213" s="1894"/>
      <c r="G213" s="1894"/>
      <c r="H213" s="1894"/>
      <c r="I213" s="1894"/>
      <c r="J213" s="1894"/>
      <c r="K213" s="1894"/>
      <c r="L213" s="1894"/>
      <c r="M213" s="1894"/>
      <c r="N213" s="1894"/>
      <c r="O213" s="1894"/>
      <c r="P213" s="1894"/>
      <c r="Q213" s="1894"/>
      <c r="R213" s="1894"/>
      <c r="S213" s="1894"/>
      <c r="T213" s="1894"/>
      <c r="U213" s="1894"/>
      <c r="V213" s="1894"/>
      <c r="W213" s="1895"/>
    </row>
    <row r="214" spans="1:23" ht="15" hidden="1" customHeight="1">
      <c r="A214" s="4642"/>
      <c r="B214" s="4667"/>
      <c r="C214" s="1893"/>
      <c r="D214" s="1893"/>
      <c r="E214" s="1893"/>
      <c r="F214" s="1894"/>
      <c r="G214" s="1894"/>
      <c r="H214" s="1894"/>
      <c r="I214" s="1894"/>
      <c r="J214" s="1894"/>
      <c r="K214" s="1894"/>
      <c r="L214" s="1894"/>
      <c r="M214" s="1894"/>
      <c r="N214" s="1894"/>
      <c r="O214" s="1894"/>
      <c r="P214" s="1894"/>
      <c r="Q214" s="1894"/>
      <c r="R214" s="1894"/>
      <c r="S214" s="1894"/>
      <c r="T214" s="1894"/>
      <c r="U214" s="1894"/>
      <c r="V214" s="1894"/>
      <c r="W214" s="1895"/>
    </row>
    <row r="215" spans="1:23" ht="15" hidden="1" customHeight="1">
      <c r="A215" s="4642"/>
      <c r="B215" s="4667"/>
      <c r="C215" s="1893"/>
      <c r="D215" s="1893"/>
      <c r="E215" s="1893"/>
      <c r="F215" s="1894"/>
      <c r="G215" s="1894"/>
      <c r="H215" s="1894"/>
      <c r="I215" s="1894"/>
      <c r="J215" s="1894"/>
      <c r="K215" s="1894"/>
      <c r="L215" s="1894"/>
      <c r="M215" s="1894"/>
      <c r="N215" s="1894"/>
      <c r="O215" s="1894"/>
      <c r="P215" s="1894"/>
      <c r="Q215" s="1894"/>
      <c r="R215" s="1894"/>
      <c r="S215" s="1894"/>
      <c r="T215" s="1894"/>
      <c r="U215" s="1894"/>
      <c r="V215" s="1894"/>
      <c r="W215" s="1895"/>
    </row>
    <row r="216" spans="1:23" ht="15" hidden="1" customHeight="1">
      <c r="A216" s="4643"/>
      <c r="B216" s="4667"/>
      <c r="C216" s="1893"/>
      <c r="D216" s="1893"/>
      <c r="E216" s="1893"/>
      <c r="F216" s="1894"/>
      <c r="G216" s="1894"/>
      <c r="H216" s="1894"/>
      <c r="I216" s="1894"/>
      <c r="J216" s="1894"/>
      <c r="K216" s="1894"/>
      <c r="L216" s="1894"/>
      <c r="M216" s="1894"/>
      <c r="N216" s="1894"/>
      <c r="O216" s="1894"/>
      <c r="P216" s="1894"/>
      <c r="Q216" s="1894"/>
      <c r="R216" s="1894"/>
      <c r="S216" s="1894"/>
      <c r="T216" s="1894"/>
      <c r="U216" s="1894"/>
      <c r="V216" s="1894"/>
      <c r="W216" s="1895"/>
    </row>
    <row r="217" spans="1:23" ht="15" hidden="1" customHeight="1">
      <c r="A217" s="4641">
        <v>42</v>
      </c>
      <c r="B217" s="4667"/>
      <c r="C217" s="1893"/>
      <c r="D217" s="1893"/>
      <c r="E217" s="1893"/>
      <c r="F217" s="1894"/>
      <c r="G217" s="1894"/>
      <c r="H217" s="1894"/>
      <c r="I217" s="1894"/>
      <c r="J217" s="1894"/>
      <c r="K217" s="1894"/>
      <c r="L217" s="1894"/>
      <c r="M217" s="1894"/>
      <c r="N217" s="1894"/>
      <c r="O217" s="1894"/>
      <c r="P217" s="1894"/>
      <c r="Q217" s="1894"/>
      <c r="R217" s="1894"/>
      <c r="S217" s="1894"/>
      <c r="T217" s="1894"/>
      <c r="U217" s="1894"/>
      <c r="V217" s="1894"/>
      <c r="W217" s="1895"/>
    </row>
    <row r="218" spans="1:23" ht="15" hidden="1" customHeight="1">
      <c r="A218" s="4642"/>
      <c r="B218" s="4667"/>
      <c r="C218" s="1893"/>
      <c r="D218" s="1893"/>
      <c r="E218" s="1893"/>
      <c r="F218" s="1894"/>
      <c r="G218" s="1894"/>
      <c r="H218" s="1894"/>
      <c r="I218" s="1894"/>
      <c r="J218" s="1894"/>
      <c r="K218" s="1894"/>
      <c r="L218" s="1894"/>
      <c r="M218" s="1894"/>
      <c r="N218" s="1894"/>
      <c r="O218" s="1894"/>
      <c r="P218" s="1894"/>
      <c r="Q218" s="1894"/>
      <c r="R218" s="1894"/>
      <c r="S218" s="1894"/>
      <c r="T218" s="1894"/>
      <c r="U218" s="1894"/>
      <c r="V218" s="1894"/>
      <c r="W218" s="1895"/>
    </row>
    <row r="219" spans="1:23" ht="15" hidden="1" customHeight="1">
      <c r="A219" s="4642"/>
      <c r="B219" s="4667"/>
      <c r="C219" s="1893"/>
      <c r="D219" s="1893"/>
      <c r="E219" s="1893"/>
      <c r="F219" s="1894"/>
      <c r="G219" s="1894"/>
      <c r="H219" s="1894"/>
      <c r="I219" s="1894"/>
      <c r="J219" s="1894"/>
      <c r="K219" s="1894"/>
      <c r="L219" s="1894"/>
      <c r="M219" s="1894"/>
      <c r="N219" s="1894"/>
      <c r="O219" s="1894"/>
      <c r="P219" s="1894"/>
      <c r="Q219" s="1894"/>
      <c r="R219" s="1894"/>
      <c r="S219" s="1894"/>
      <c r="T219" s="1894"/>
      <c r="U219" s="1894"/>
      <c r="V219" s="1894"/>
      <c r="W219" s="1895"/>
    </row>
    <row r="220" spans="1:23" ht="15" hidden="1" customHeight="1">
      <c r="A220" s="4642"/>
      <c r="B220" s="4667"/>
      <c r="C220" s="1893"/>
      <c r="D220" s="1893"/>
      <c r="E220" s="1893"/>
      <c r="F220" s="1894"/>
      <c r="G220" s="1894"/>
      <c r="H220" s="1894"/>
      <c r="I220" s="1894"/>
      <c r="J220" s="1894"/>
      <c r="K220" s="1894"/>
      <c r="L220" s="1894"/>
      <c r="M220" s="1894"/>
      <c r="N220" s="1894"/>
      <c r="O220" s="1894"/>
      <c r="P220" s="1894"/>
      <c r="Q220" s="1894"/>
      <c r="R220" s="1894"/>
      <c r="S220" s="1894"/>
      <c r="T220" s="1894"/>
      <c r="U220" s="1894"/>
      <c r="V220" s="1894"/>
      <c r="W220" s="1895"/>
    </row>
    <row r="221" spans="1:23" ht="15" hidden="1" customHeight="1">
      <c r="A221" s="4643"/>
      <c r="B221" s="4667"/>
      <c r="C221" s="1893"/>
      <c r="D221" s="1893"/>
      <c r="E221" s="1893"/>
      <c r="F221" s="1894"/>
      <c r="G221" s="1894"/>
      <c r="H221" s="1894"/>
      <c r="I221" s="1894"/>
      <c r="J221" s="1894"/>
      <c r="K221" s="1894"/>
      <c r="L221" s="1894"/>
      <c r="M221" s="1894"/>
      <c r="N221" s="1894"/>
      <c r="O221" s="1894"/>
      <c r="P221" s="1894"/>
      <c r="Q221" s="1894"/>
      <c r="R221" s="1894"/>
      <c r="S221" s="1894"/>
      <c r="T221" s="1894"/>
      <c r="U221" s="1894"/>
      <c r="V221" s="1894"/>
      <c r="W221" s="1895"/>
    </row>
    <row r="222" spans="1:23" ht="15" hidden="1" customHeight="1">
      <c r="A222" s="4641">
        <v>43</v>
      </c>
      <c r="B222" s="4667"/>
      <c r="C222" s="1893"/>
      <c r="D222" s="1893"/>
      <c r="E222" s="1893"/>
      <c r="F222" s="1894"/>
      <c r="G222" s="1894"/>
      <c r="H222" s="1894"/>
      <c r="I222" s="1894"/>
      <c r="J222" s="1894"/>
      <c r="K222" s="1894"/>
      <c r="L222" s="1894"/>
      <c r="M222" s="1894"/>
      <c r="N222" s="1894"/>
      <c r="O222" s="1894"/>
      <c r="P222" s="1894"/>
      <c r="Q222" s="1894"/>
      <c r="R222" s="1894"/>
      <c r="S222" s="1894"/>
      <c r="T222" s="1894"/>
      <c r="U222" s="1894"/>
      <c r="V222" s="1894"/>
      <c r="W222" s="1895"/>
    </row>
    <row r="223" spans="1:23" ht="15" hidden="1" customHeight="1">
      <c r="A223" s="4642"/>
      <c r="B223" s="4667"/>
      <c r="C223" s="1893"/>
      <c r="D223" s="1893"/>
      <c r="E223" s="1893"/>
      <c r="F223" s="1894"/>
      <c r="G223" s="1894"/>
      <c r="H223" s="1894"/>
      <c r="I223" s="1894"/>
      <c r="J223" s="1894"/>
      <c r="K223" s="1894"/>
      <c r="L223" s="1894"/>
      <c r="M223" s="1894"/>
      <c r="N223" s="1894"/>
      <c r="O223" s="1894"/>
      <c r="P223" s="1894"/>
      <c r="Q223" s="1894"/>
      <c r="R223" s="1894"/>
      <c r="S223" s="1894"/>
      <c r="T223" s="1894"/>
      <c r="U223" s="1894"/>
      <c r="V223" s="1894"/>
      <c r="W223" s="1895"/>
    </row>
    <row r="224" spans="1:23" ht="15" hidden="1" customHeight="1">
      <c r="A224" s="4642"/>
      <c r="B224" s="4667"/>
      <c r="C224" s="1893"/>
      <c r="D224" s="1893"/>
      <c r="E224" s="1893"/>
      <c r="F224" s="1894"/>
      <c r="G224" s="1894"/>
      <c r="H224" s="1894"/>
      <c r="I224" s="1894"/>
      <c r="J224" s="1894"/>
      <c r="K224" s="1894"/>
      <c r="L224" s="1894"/>
      <c r="M224" s="1894"/>
      <c r="N224" s="1894"/>
      <c r="O224" s="1894"/>
      <c r="P224" s="1894"/>
      <c r="Q224" s="1894"/>
      <c r="R224" s="1894"/>
      <c r="S224" s="1894"/>
      <c r="T224" s="1894"/>
      <c r="U224" s="1894"/>
      <c r="V224" s="1894"/>
      <c r="W224" s="1895"/>
    </row>
    <row r="225" spans="1:23" ht="15" hidden="1" customHeight="1">
      <c r="A225" s="4642"/>
      <c r="B225" s="4667"/>
      <c r="C225" s="1893"/>
      <c r="D225" s="1893"/>
      <c r="E225" s="1893"/>
      <c r="F225" s="1894"/>
      <c r="G225" s="1894"/>
      <c r="H225" s="1894"/>
      <c r="I225" s="1894"/>
      <c r="J225" s="1894"/>
      <c r="K225" s="1894"/>
      <c r="L225" s="1894"/>
      <c r="M225" s="1894"/>
      <c r="N225" s="1894"/>
      <c r="O225" s="1894"/>
      <c r="P225" s="1894"/>
      <c r="Q225" s="1894"/>
      <c r="R225" s="1894"/>
      <c r="S225" s="1894"/>
      <c r="T225" s="1894"/>
      <c r="U225" s="1894"/>
      <c r="V225" s="1894"/>
      <c r="W225" s="1895"/>
    </row>
    <row r="226" spans="1:23" ht="16.5" hidden="1" customHeight="1">
      <c r="A226" s="4643"/>
      <c r="B226" s="4667"/>
      <c r="C226" s="1893"/>
      <c r="D226" s="1893"/>
      <c r="E226" s="1893"/>
      <c r="F226" s="1894"/>
      <c r="G226" s="1894"/>
      <c r="H226" s="1894"/>
      <c r="I226" s="1894"/>
      <c r="J226" s="1894"/>
      <c r="K226" s="1894"/>
      <c r="L226" s="1894"/>
      <c r="M226" s="1894"/>
      <c r="N226" s="1894"/>
      <c r="O226" s="1894"/>
      <c r="P226" s="1894"/>
      <c r="Q226" s="1894"/>
      <c r="R226" s="1894"/>
      <c r="S226" s="1894"/>
      <c r="T226" s="1894"/>
      <c r="U226" s="1894"/>
      <c r="V226" s="1894"/>
      <c r="W226" s="1895"/>
    </row>
    <row r="227" spans="1:23" ht="16.5">
      <c r="S227" s="4668" t="s">
        <v>1119</v>
      </c>
      <c r="T227" s="4668"/>
      <c r="U227" s="4668"/>
      <c r="V227" s="4668"/>
      <c r="W227" s="4668"/>
    </row>
    <row r="228" spans="1:23" ht="17.25" customHeight="1">
      <c r="A228" s="1902" t="s">
        <v>1111</v>
      </c>
      <c r="B228" s="1902"/>
      <c r="C228" s="1902"/>
      <c r="D228" s="1902"/>
      <c r="E228" s="1902"/>
      <c r="F228" s="1902"/>
      <c r="H228" s="1897"/>
      <c r="J228" s="1897" t="s">
        <v>1112</v>
      </c>
      <c r="K228" s="1897"/>
      <c r="L228" s="1897"/>
      <c r="M228" s="4638" t="s">
        <v>1113</v>
      </c>
      <c r="N228" s="4638"/>
      <c r="O228" s="4638"/>
      <c r="P228" s="4638"/>
      <c r="Q228" s="4638"/>
      <c r="R228" s="4638"/>
      <c r="S228" s="1897"/>
      <c r="T228" s="1897"/>
      <c r="U228" s="4638" t="s">
        <v>1114</v>
      </c>
      <c r="V228" s="4638"/>
      <c r="W228" s="4638"/>
    </row>
    <row r="229" spans="1:23" ht="17.25" customHeight="1">
      <c r="B229" s="1898" t="s">
        <v>113</v>
      </c>
      <c r="C229" s="1898" t="s">
        <v>1115</v>
      </c>
      <c r="D229" s="1898"/>
      <c r="E229" s="1896"/>
    </row>
    <row r="230" spans="1:23" ht="17.25" customHeight="1">
      <c r="B230" s="1898" t="s">
        <v>113</v>
      </c>
      <c r="C230" s="1898" t="s">
        <v>52</v>
      </c>
      <c r="D230" s="1898"/>
      <c r="E230" s="1896"/>
      <c r="G230" s="4669"/>
      <c r="H230" s="4669"/>
      <c r="I230" s="4669"/>
      <c r="J230" s="4669"/>
      <c r="K230" s="4669"/>
      <c r="L230" s="4669"/>
      <c r="M230" s="4669"/>
      <c r="N230" s="4669"/>
      <c r="O230" s="4669"/>
      <c r="P230" s="4669"/>
      <c r="Q230" s="4669"/>
      <c r="R230" s="4669"/>
      <c r="S230" s="4669"/>
      <c r="T230" s="4669"/>
      <c r="U230" s="4669"/>
      <c r="V230" s="4669"/>
    </row>
    <row r="231" spans="1:23" ht="17.25" customHeight="1">
      <c r="B231" s="1898" t="s">
        <v>113</v>
      </c>
      <c r="C231" s="1898" t="s">
        <v>92</v>
      </c>
      <c r="D231" s="1898"/>
      <c r="E231" s="1896"/>
      <c r="G231" s="4669"/>
      <c r="H231" s="4669"/>
      <c r="I231" s="4669"/>
      <c r="J231" s="4669"/>
      <c r="K231" s="4669"/>
      <c r="L231" s="4669"/>
      <c r="M231" s="4669"/>
      <c r="N231" s="4669"/>
      <c r="O231" s="4669"/>
      <c r="P231" s="4669"/>
      <c r="Q231" s="4669"/>
      <c r="R231" s="4669"/>
      <c r="S231" s="4669"/>
      <c r="T231" s="4669"/>
      <c r="U231" s="4669"/>
      <c r="V231" s="4669"/>
    </row>
    <row r="232" spans="1:23" ht="17.25" customHeight="1">
      <c r="B232" s="1898" t="s">
        <v>113</v>
      </c>
      <c r="C232" s="1898" t="s">
        <v>53</v>
      </c>
      <c r="D232" s="1898"/>
      <c r="E232" s="1896"/>
      <c r="G232" s="4669"/>
      <c r="H232" s="4669"/>
      <c r="I232" s="4669"/>
      <c r="J232" s="4669"/>
      <c r="K232" s="4669"/>
      <c r="L232" s="4669"/>
      <c r="M232" s="4669"/>
      <c r="N232" s="4669"/>
      <c r="O232" s="4669"/>
      <c r="P232" s="4669"/>
      <c r="Q232" s="4669"/>
      <c r="R232" s="4669"/>
      <c r="S232" s="4669"/>
      <c r="T232" s="4669"/>
      <c r="U232" s="4669"/>
      <c r="V232" s="4669"/>
    </row>
    <row r="233" spans="1:23" ht="17.25" customHeight="1">
      <c r="B233" s="1898" t="s">
        <v>113</v>
      </c>
      <c r="C233" s="1898" t="s">
        <v>93</v>
      </c>
      <c r="D233" s="1898"/>
      <c r="E233" s="1896"/>
      <c r="G233" s="4669"/>
      <c r="H233" s="4669"/>
      <c r="I233" s="4669"/>
      <c r="J233" s="4669"/>
      <c r="K233" s="4669"/>
      <c r="L233" s="4669"/>
      <c r="M233" s="4669"/>
      <c r="N233" s="4669"/>
      <c r="O233" s="4669"/>
      <c r="P233" s="4669"/>
      <c r="Q233" s="4669"/>
      <c r="R233" s="4669"/>
      <c r="S233" s="4669"/>
      <c r="T233" s="4669"/>
      <c r="U233" s="4669"/>
      <c r="V233" s="4669"/>
    </row>
    <row r="234" spans="1:23" ht="17.25" customHeight="1">
      <c r="B234" s="4670" t="s">
        <v>21</v>
      </c>
      <c r="C234" s="4670"/>
      <c r="D234" s="1899"/>
      <c r="E234" s="1896"/>
      <c r="G234" s="4669"/>
      <c r="H234" s="4669"/>
      <c r="I234" s="4669"/>
      <c r="J234" s="4669"/>
      <c r="K234" s="4669"/>
      <c r="L234" s="4669"/>
      <c r="M234" s="4669"/>
      <c r="N234" s="4669"/>
      <c r="O234" s="4669"/>
      <c r="P234" s="4669"/>
      <c r="Q234" s="4669"/>
      <c r="R234" s="4669"/>
      <c r="S234" s="4669"/>
      <c r="T234" s="4669"/>
      <c r="U234" s="4669"/>
      <c r="V234" s="4669"/>
    </row>
    <row r="235" spans="1:23" s="1901" customFormat="1" ht="16.5">
      <c r="A235" s="4666"/>
      <c r="B235" s="4666"/>
      <c r="C235" s="4666"/>
      <c r="D235" s="4666"/>
      <c r="E235" s="4666"/>
      <c r="F235" s="4666"/>
      <c r="G235" s="1900"/>
      <c r="H235" s="1900"/>
      <c r="I235" s="1900"/>
      <c r="J235" s="4666"/>
      <c r="K235" s="4666"/>
      <c r="L235" s="4666"/>
      <c r="M235" s="4666"/>
      <c r="N235" s="4666"/>
      <c r="O235" s="4666"/>
      <c r="P235" s="1900"/>
      <c r="Q235" s="1900"/>
      <c r="R235" s="1900"/>
      <c r="S235" s="1900"/>
      <c r="T235" s="1900"/>
      <c r="U235" s="4666"/>
      <c r="V235" s="4666"/>
      <c r="W235" s="4666"/>
    </row>
    <row r="236" spans="1:23" ht="17.25" customHeight="1"/>
  </sheetData>
  <mergeCells count="152">
    <mergeCell ref="A107:A111"/>
    <mergeCell ref="B107:B111"/>
    <mergeCell ref="W107:W111"/>
    <mergeCell ref="A112:A116"/>
    <mergeCell ref="B112:B116"/>
    <mergeCell ref="W112:W116"/>
    <mergeCell ref="A97:A101"/>
    <mergeCell ref="B97:B101"/>
    <mergeCell ref="W97:W101"/>
    <mergeCell ref="A102:A106"/>
    <mergeCell ref="B102:B106"/>
    <mergeCell ref="W102:W106"/>
    <mergeCell ref="A157:A161"/>
    <mergeCell ref="B157:B161"/>
    <mergeCell ref="W157:W161"/>
    <mergeCell ref="A117:A121"/>
    <mergeCell ref="B117:B121"/>
    <mergeCell ref="W117:W121"/>
    <mergeCell ref="A122:A126"/>
    <mergeCell ref="B122:B126"/>
    <mergeCell ref="W122:W126"/>
    <mergeCell ref="B77:B81"/>
    <mergeCell ref="W77:W81"/>
    <mergeCell ref="B62:B66"/>
    <mergeCell ref="W62:W66"/>
    <mergeCell ref="A67:A71"/>
    <mergeCell ref="B67:B71"/>
    <mergeCell ref="W67:W71"/>
    <mergeCell ref="A62:A66"/>
    <mergeCell ref="A82:A86"/>
    <mergeCell ref="B82:B86"/>
    <mergeCell ref="W82:W86"/>
    <mergeCell ref="B57:B61"/>
    <mergeCell ref="W57:W61"/>
    <mergeCell ref="G230:V234"/>
    <mergeCell ref="B234:C234"/>
    <mergeCell ref="A192:A196"/>
    <mergeCell ref="B192:B196"/>
    <mergeCell ref="A197:A201"/>
    <mergeCell ref="B197:B201"/>
    <mergeCell ref="A147:A151"/>
    <mergeCell ref="B147:B151"/>
    <mergeCell ref="W147:W151"/>
    <mergeCell ref="A152:A156"/>
    <mergeCell ref="B152:B156"/>
    <mergeCell ref="W152:W156"/>
    <mergeCell ref="A162:A166"/>
    <mergeCell ref="B162:B166"/>
    <mergeCell ref="W162:W166"/>
    <mergeCell ref="A167:A171"/>
    <mergeCell ref="B167:B171"/>
    <mergeCell ref="W167:W171"/>
    <mergeCell ref="A72:A76"/>
    <mergeCell ref="B72:B76"/>
    <mergeCell ref="W72:W76"/>
    <mergeCell ref="A77:A81"/>
    <mergeCell ref="A235:F235"/>
    <mergeCell ref="J235:O235"/>
    <mergeCell ref="U235:W235"/>
    <mergeCell ref="A12:A16"/>
    <mergeCell ref="B12:B16"/>
    <mergeCell ref="W12:W16"/>
    <mergeCell ref="A17:A21"/>
    <mergeCell ref="B17:B21"/>
    <mergeCell ref="A217:A221"/>
    <mergeCell ref="B217:B221"/>
    <mergeCell ref="A222:A226"/>
    <mergeCell ref="B222:B226"/>
    <mergeCell ref="S227:W227"/>
    <mergeCell ref="M228:R228"/>
    <mergeCell ref="U228:W228"/>
    <mergeCell ref="A202:A206"/>
    <mergeCell ref="B202:B206"/>
    <mergeCell ref="A207:A211"/>
    <mergeCell ref="B207:B211"/>
    <mergeCell ref="A212:A216"/>
    <mergeCell ref="B212:B216"/>
    <mergeCell ref="A52:A56"/>
    <mergeCell ref="B52:B56"/>
    <mergeCell ref="W52:W56"/>
    <mergeCell ref="A187:A191"/>
    <mergeCell ref="B187:B191"/>
    <mergeCell ref="W187:W191"/>
    <mergeCell ref="W142:W146"/>
    <mergeCell ref="A127:A131"/>
    <mergeCell ref="B127:B131"/>
    <mergeCell ref="W127:W131"/>
    <mergeCell ref="A132:A136"/>
    <mergeCell ref="B132:B136"/>
    <mergeCell ref="W132:W136"/>
    <mergeCell ref="A137:A141"/>
    <mergeCell ref="B137:B141"/>
    <mergeCell ref="W137:W141"/>
    <mergeCell ref="A142:A146"/>
    <mergeCell ref="B142:B146"/>
    <mergeCell ref="A182:A186"/>
    <mergeCell ref="B182:B186"/>
    <mergeCell ref="W182:W186"/>
    <mergeCell ref="A172:A176"/>
    <mergeCell ref="B172:B176"/>
    <mergeCell ref="W172:W176"/>
    <mergeCell ref="A177:A181"/>
    <mergeCell ref="B177:B181"/>
    <mergeCell ref="W177:W181"/>
    <mergeCell ref="A92:A96"/>
    <mergeCell ref="B92:B96"/>
    <mergeCell ref="W92:W96"/>
    <mergeCell ref="W7:W11"/>
    <mergeCell ref="F8:F9"/>
    <mergeCell ref="G8:H8"/>
    <mergeCell ref="I8:J8"/>
    <mergeCell ref="K8:M8"/>
    <mergeCell ref="N8:Q8"/>
    <mergeCell ref="W17:W21"/>
    <mergeCell ref="A22:A26"/>
    <mergeCell ref="B22:B26"/>
    <mergeCell ref="W22:W26"/>
    <mergeCell ref="R8:R9"/>
    <mergeCell ref="S8:S9"/>
    <mergeCell ref="T8:T9"/>
    <mergeCell ref="U8:U9"/>
    <mergeCell ref="V8:V9"/>
    <mergeCell ref="A11:B11"/>
    <mergeCell ref="A7:A10"/>
    <mergeCell ref="B7:B10"/>
    <mergeCell ref="C7:E10"/>
    <mergeCell ref="F7:V7"/>
    <mergeCell ref="A27:A31"/>
    <mergeCell ref="P1:W1"/>
    <mergeCell ref="A2:I2"/>
    <mergeCell ref="P2:W2"/>
    <mergeCell ref="A3:G3"/>
    <mergeCell ref="A5:W5"/>
    <mergeCell ref="V6:W6"/>
    <mergeCell ref="A87:A91"/>
    <mergeCell ref="B87:B91"/>
    <mergeCell ref="W87:W91"/>
    <mergeCell ref="B27:B31"/>
    <mergeCell ref="W27:W31"/>
    <mergeCell ref="A42:A46"/>
    <mergeCell ref="B42:B46"/>
    <mergeCell ref="W42:W46"/>
    <mergeCell ref="A47:A51"/>
    <mergeCell ref="B47:B51"/>
    <mergeCell ref="W47:W51"/>
    <mergeCell ref="A32:A36"/>
    <mergeCell ref="B32:B36"/>
    <mergeCell ref="W32:W36"/>
    <mergeCell ref="A37:A41"/>
    <mergeCell ref="B37:B41"/>
    <mergeCell ref="W37:W41"/>
    <mergeCell ref="A57:A61"/>
  </mergeCells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36"/>
  <sheetViews>
    <sheetView topLeftCell="A57" workbookViewId="0">
      <selection activeCell="G230" sqref="G230:V234"/>
    </sheetView>
  </sheetViews>
  <sheetFormatPr defaultColWidth="9.25" defaultRowHeight="12.75"/>
  <cols>
    <col min="1" max="1" width="4.125" style="1886" customWidth="1"/>
    <col min="2" max="2" width="12.625" style="1886" customWidth="1"/>
    <col min="3" max="5" width="2.375" style="1886" customWidth="1"/>
    <col min="6" max="6" width="4.25" style="1886" customWidth="1"/>
    <col min="7" max="7" width="4.625" style="1886" customWidth="1"/>
    <col min="8" max="8" width="4.25" style="1886" customWidth="1"/>
    <col min="9" max="9" width="5" style="1886" customWidth="1"/>
    <col min="10" max="10" width="3.75" style="1886" customWidth="1"/>
    <col min="11" max="13" width="4.875" style="1886" customWidth="1"/>
    <col min="14" max="14" width="5.375" style="1886" customWidth="1"/>
    <col min="15" max="18" width="4.875" style="1886" customWidth="1"/>
    <col min="19" max="20" width="5.375" style="1886" customWidth="1"/>
    <col min="21" max="21" width="6.625" style="1886" customWidth="1"/>
    <col min="22" max="22" width="9" style="1886" customWidth="1"/>
    <col min="23" max="23" width="8.125" style="1886" customWidth="1"/>
    <col min="24" max="16384" width="9.25" style="1886"/>
  </cols>
  <sheetData>
    <row r="1" spans="1:25" s="1885" customFormat="1" ht="15.75">
      <c r="A1" s="1884" t="s">
        <v>574</v>
      </c>
      <c r="B1" s="1884"/>
      <c r="C1" s="1884"/>
      <c r="D1" s="1884"/>
      <c r="E1" s="1884"/>
      <c r="F1" s="1884"/>
      <c r="G1" s="1884"/>
      <c r="P1" s="4638" t="s">
        <v>165</v>
      </c>
      <c r="Q1" s="4638"/>
      <c r="R1" s="4638"/>
      <c r="S1" s="4638"/>
      <c r="T1" s="4638"/>
      <c r="U1" s="4638"/>
      <c r="V1" s="4638"/>
      <c r="W1" s="4638"/>
    </row>
    <row r="2" spans="1:25" ht="15.75">
      <c r="A2" s="4638" t="s">
        <v>1108</v>
      </c>
      <c r="B2" s="4638"/>
      <c r="C2" s="4638"/>
      <c r="D2" s="4638"/>
      <c r="E2" s="4638"/>
      <c r="F2" s="4638"/>
      <c r="G2" s="4638"/>
      <c r="H2" s="4638"/>
      <c r="I2" s="4638"/>
      <c r="P2" s="4638" t="s">
        <v>171</v>
      </c>
      <c r="Q2" s="4638"/>
      <c r="R2" s="4638"/>
      <c r="S2" s="4638"/>
      <c r="T2" s="4638"/>
      <c r="U2" s="4638"/>
      <c r="V2" s="4638"/>
      <c r="W2" s="4638"/>
    </row>
    <row r="3" spans="1:25" ht="15.75">
      <c r="A3" s="4638" t="s">
        <v>321</v>
      </c>
      <c r="B3" s="4638"/>
      <c r="C3" s="4638"/>
      <c r="D3" s="4638"/>
      <c r="E3" s="4638"/>
      <c r="F3" s="4638"/>
      <c r="G3" s="4638"/>
    </row>
    <row r="4" spans="1:25" ht="9" customHeight="1">
      <c r="A4" s="1887"/>
      <c r="B4" s="1887"/>
      <c r="C4" s="1887"/>
      <c r="D4" s="1887"/>
      <c r="E4" s="1887"/>
    </row>
    <row r="5" spans="1:25" ht="18.75">
      <c r="A5" s="4639" t="s">
        <v>1116</v>
      </c>
      <c r="B5" s="4639"/>
      <c r="C5" s="4639"/>
      <c r="D5" s="4639"/>
      <c r="E5" s="4639"/>
      <c r="F5" s="4639"/>
      <c r="G5" s="4639"/>
      <c r="H5" s="4639"/>
      <c r="I5" s="4639"/>
      <c r="J5" s="4639"/>
      <c r="K5" s="4639"/>
      <c r="L5" s="4639"/>
      <c r="M5" s="4639"/>
      <c r="N5" s="4639"/>
      <c r="O5" s="4639"/>
      <c r="P5" s="4639"/>
      <c r="Q5" s="4639"/>
      <c r="R5" s="4639"/>
      <c r="S5" s="4639"/>
      <c r="T5" s="4639"/>
      <c r="U5" s="4639"/>
      <c r="V5" s="4639"/>
      <c r="W5" s="4639"/>
    </row>
    <row r="6" spans="1:25" ht="21" customHeight="1">
      <c r="V6" s="4640"/>
      <c r="W6" s="4640"/>
    </row>
    <row r="7" spans="1:25" ht="17.25" customHeight="1">
      <c r="A7" s="4675" t="s">
        <v>19</v>
      </c>
      <c r="B7" s="4659" t="s">
        <v>1110</v>
      </c>
      <c r="C7" s="4659" t="s">
        <v>116</v>
      </c>
      <c r="D7" s="4659"/>
      <c r="E7" s="4659"/>
      <c r="F7" s="4664" t="s">
        <v>117</v>
      </c>
      <c r="G7" s="4664"/>
      <c r="H7" s="4664"/>
      <c r="I7" s="4664"/>
      <c r="J7" s="4664"/>
      <c r="K7" s="4664"/>
      <c r="L7" s="4664"/>
      <c r="M7" s="4664"/>
      <c r="N7" s="4664"/>
      <c r="O7" s="4664"/>
      <c r="P7" s="4664"/>
      <c r="Q7" s="4664"/>
      <c r="R7" s="4664"/>
      <c r="S7" s="4664"/>
      <c r="T7" s="4664"/>
      <c r="U7" s="4664"/>
      <c r="V7" s="4665"/>
      <c r="W7" s="4647" t="s">
        <v>118</v>
      </c>
      <c r="Y7" s="1888"/>
    </row>
    <row r="8" spans="1:25" ht="16.5">
      <c r="A8" s="4676"/>
      <c r="B8" s="4661"/>
      <c r="C8" s="4661"/>
      <c r="D8" s="4661"/>
      <c r="E8" s="4661"/>
      <c r="F8" s="4650" t="s">
        <v>119</v>
      </c>
      <c r="G8" s="4651" t="s">
        <v>120</v>
      </c>
      <c r="H8" s="4651"/>
      <c r="I8" s="4651" t="s">
        <v>121</v>
      </c>
      <c r="J8" s="4651"/>
      <c r="K8" s="4651" t="s">
        <v>122</v>
      </c>
      <c r="L8" s="4651"/>
      <c r="M8" s="4651"/>
      <c r="N8" s="4651" t="s">
        <v>123</v>
      </c>
      <c r="O8" s="4651"/>
      <c r="P8" s="4651"/>
      <c r="Q8" s="4651"/>
      <c r="R8" s="4650" t="s">
        <v>124</v>
      </c>
      <c r="S8" s="4650" t="s">
        <v>125</v>
      </c>
      <c r="T8" s="4650" t="s">
        <v>126</v>
      </c>
      <c r="U8" s="4650" t="s">
        <v>127</v>
      </c>
      <c r="V8" s="4652" t="s">
        <v>128</v>
      </c>
      <c r="W8" s="4648"/>
      <c r="Y8" s="1889"/>
    </row>
    <row r="9" spans="1:25" ht="54.75" customHeight="1">
      <c r="A9" s="4676"/>
      <c r="B9" s="4661"/>
      <c r="C9" s="4661"/>
      <c r="D9" s="4661"/>
      <c r="E9" s="4661"/>
      <c r="F9" s="4650"/>
      <c r="G9" s="1890" t="s">
        <v>129</v>
      </c>
      <c r="H9" s="1890" t="s">
        <v>130</v>
      </c>
      <c r="I9" s="1891" t="s">
        <v>129</v>
      </c>
      <c r="J9" s="1890" t="s">
        <v>130</v>
      </c>
      <c r="K9" s="1890" t="s">
        <v>131</v>
      </c>
      <c r="L9" s="1890" t="s">
        <v>132</v>
      </c>
      <c r="M9" s="1890" t="s">
        <v>133</v>
      </c>
      <c r="N9" s="1890" t="s">
        <v>134</v>
      </c>
      <c r="O9" s="1891" t="s">
        <v>135</v>
      </c>
      <c r="P9" s="1890" t="s">
        <v>136</v>
      </c>
      <c r="Q9" s="1890" t="s">
        <v>137</v>
      </c>
      <c r="R9" s="4650"/>
      <c r="S9" s="4650"/>
      <c r="T9" s="4650"/>
      <c r="U9" s="4650"/>
      <c r="V9" s="4652"/>
      <c r="W9" s="4648"/>
      <c r="Y9" s="1892"/>
    </row>
    <row r="10" spans="1:25" ht="23.25" customHeight="1">
      <c r="A10" s="4677"/>
      <c r="B10" s="4663"/>
      <c r="C10" s="4663"/>
      <c r="D10" s="4663"/>
      <c r="E10" s="4663"/>
      <c r="F10" s="1914" t="s">
        <v>138</v>
      </c>
      <c r="G10" s="1915" t="s">
        <v>139</v>
      </c>
      <c r="H10" s="1915" t="s">
        <v>139</v>
      </c>
      <c r="I10" s="1915" t="s">
        <v>140</v>
      </c>
      <c r="J10" s="1915" t="s">
        <v>140</v>
      </c>
      <c r="K10" s="1915" t="s">
        <v>141</v>
      </c>
      <c r="L10" s="1914"/>
      <c r="M10" s="1914" t="s">
        <v>142</v>
      </c>
      <c r="N10" s="1916"/>
      <c r="O10" s="1917"/>
      <c r="P10" s="1918" t="s">
        <v>143</v>
      </c>
      <c r="Q10" s="1918"/>
      <c r="R10" s="1919" t="s">
        <v>144</v>
      </c>
      <c r="S10" s="1916"/>
      <c r="T10" s="1920" t="s">
        <v>145</v>
      </c>
      <c r="U10" s="1918"/>
      <c r="V10" s="1921"/>
      <c r="W10" s="4648"/>
    </row>
    <row r="11" spans="1:25" ht="18" customHeight="1">
      <c r="A11" s="4673" t="s">
        <v>146</v>
      </c>
      <c r="B11" s="4674"/>
      <c r="C11" s="1912" t="s">
        <v>147</v>
      </c>
      <c r="D11" s="1912" t="s">
        <v>148</v>
      </c>
      <c r="E11" s="1912" t="s">
        <v>149</v>
      </c>
      <c r="F11" s="1913">
        <v>0</v>
      </c>
      <c r="G11" s="1913">
        <v>3</v>
      </c>
      <c r="H11" s="1913">
        <v>1</v>
      </c>
      <c r="I11" s="1913">
        <v>5</v>
      </c>
      <c r="J11" s="1913">
        <v>3</v>
      </c>
      <c r="K11" s="1913">
        <v>1</v>
      </c>
      <c r="L11" s="1913">
        <v>1</v>
      </c>
      <c r="M11" s="1913">
        <v>3</v>
      </c>
      <c r="N11" s="1913">
        <v>1</v>
      </c>
      <c r="O11" s="1913">
        <v>1</v>
      </c>
      <c r="P11" s="1913">
        <v>1</v>
      </c>
      <c r="Q11" s="1913">
        <v>1</v>
      </c>
      <c r="R11" s="1913">
        <v>3</v>
      </c>
      <c r="S11" s="1913">
        <v>5</v>
      </c>
      <c r="T11" s="1913">
        <v>2</v>
      </c>
      <c r="U11" s="1913">
        <v>2</v>
      </c>
      <c r="V11" s="1922">
        <v>2</v>
      </c>
      <c r="W11" s="4672"/>
    </row>
    <row r="12" spans="1:25" ht="17.25" customHeight="1">
      <c r="A12" s="4641">
        <v>1</v>
      </c>
      <c r="B12" s="4641" t="str">
        <f>'kt1'!B14</f>
        <v>Vắt Đi</v>
      </c>
      <c r="C12" s="1929"/>
      <c r="D12" s="1910"/>
      <c r="E12" s="1910"/>
      <c r="F12" s="1911"/>
      <c r="G12" s="1911"/>
      <c r="H12" s="1911"/>
      <c r="I12" s="1911"/>
      <c r="J12" s="1911"/>
      <c r="K12" s="1911"/>
      <c r="L12" s="1911"/>
      <c r="M12" s="1911"/>
      <c r="N12" s="1911"/>
      <c r="O12" s="1911"/>
      <c r="P12" s="1911"/>
      <c r="Q12" s="1911"/>
      <c r="R12" s="1911"/>
      <c r="S12" s="1911"/>
      <c r="T12" s="1911"/>
      <c r="U12" s="1911"/>
      <c r="V12" s="1923"/>
      <c r="W12" s="4644"/>
    </row>
    <row r="13" spans="1:25" ht="17.25" customHeight="1">
      <c r="A13" s="4642"/>
      <c r="B13" s="4642"/>
      <c r="C13" s="1930"/>
      <c r="D13" s="1893"/>
      <c r="E13" s="1893"/>
      <c r="F13" s="1894"/>
      <c r="G13" s="1894"/>
      <c r="H13" s="1894"/>
      <c r="I13" s="1894"/>
      <c r="J13" s="1894"/>
      <c r="K13" s="1894"/>
      <c r="L13" s="1894"/>
      <c r="M13" s="1894"/>
      <c r="N13" s="1894"/>
      <c r="O13" s="1894"/>
      <c r="P13" s="1894"/>
      <c r="Q13" s="1894"/>
      <c r="R13" s="1894"/>
      <c r="S13" s="1894"/>
      <c r="T13" s="1894"/>
      <c r="U13" s="1894"/>
      <c r="V13" s="1924"/>
      <c r="W13" s="4645"/>
    </row>
    <row r="14" spans="1:25" ht="17.25" customHeight="1">
      <c r="A14" s="4642"/>
      <c r="B14" s="4642"/>
      <c r="C14" s="1930"/>
      <c r="D14" s="1893"/>
      <c r="E14" s="1893"/>
      <c r="F14" s="1894"/>
      <c r="G14" s="1894"/>
      <c r="H14" s="1894"/>
      <c r="I14" s="1894"/>
      <c r="J14" s="1894"/>
      <c r="K14" s="1894"/>
      <c r="L14" s="1894"/>
      <c r="M14" s="1894"/>
      <c r="N14" s="1894"/>
      <c r="O14" s="1894"/>
      <c r="P14" s="1894"/>
      <c r="Q14" s="1894"/>
      <c r="R14" s="1894"/>
      <c r="S14" s="1894"/>
      <c r="T14" s="1894"/>
      <c r="U14" s="1894"/>
      <c r="V14" s="1924"/>
      <c r="W14" s="4645"/>
    </row>
    <row r="15" spans="1:25" ht="17.25" customHeight="1">
      <c r="A15" s="4642"/>
      <c r="B15" s="4642"/>
      <c r="C15" s="1930"/>
      <c r="D15" s="1893"/>
      <c r="E15" s="1893"/>
      <c r="F15" s="1894"/>
      <c r="G15" s="1894"/>
      <c r="H15" s="1894"/>
      <c r="I15" s="1894"/>
      <c r="J15" s="1894"/>
      <c r="K15" s="1894"/>
      <c r="L15" s="1894"/>
      <c r="M15" s="1894"/>
      <c r="N15" s="1894"/>
      <c r="O15" s="1894"/>
      <c r="P15" s="1894"/>
      <c r="Q15" s="1894"/>
      <c r="R15" s="1894"/>
      <c r="S15" s="1894"/>
      <c r="T15" s="1894"/>
      <c r="U15" s="1894"/>
      <c r="V15" s="1924"/>
      <c r="W15" s="4645"/>
    </row>
    <row r="16" spans="1:25" ht="17.25" customHeight="1">
      <c r="A16" s="4643"/>
      <c r="B16" s="4643"/>
      <c r="C16" s="1931"/>
      <c r="D16" s="1908"/>
      <c r="E16" s="1908"/>
      <c r="F16" s="1909"/>
      <c r="G16" s="1909"/>
      <c r="H16" s="1909"/>
      <c r="I16" s="1909"/>
      <c r="J16" s="1909"/>
      <c r="K16" s="1909"/>
      <c r="L16" s="1909"/>
      <c r="M16" s="1909"/>
      <c r="N16" s="1909"/>
      <c r="O16" s="1909"/>
      <c r="P16" s="1909"/>
      <c r="Q16" s="1909"/>
      <c r="R16" s="1909"/>
      <c r="S16" s="1909"/>
      <c r="T16" s="1909"/>
      <c r="U16" s="1909"/>
      <c r="V16" s="1925"/>
      <c r="W16" s="4646"/>
    </row>
    <row r="17" spans="1:23" ht="17.25" customHeight="1">
      <c r="A17" s="4641">
        <v>2</v>
      </c>
      <c r="B17" s="4641" t="str">
        <f>'kt1'!B15</f>
        <v>T Ô Vên</v>
      </c>
      <c r="C17" s="1929"/>
      <c r="D17" s="1910"/>
      <c r="E17" s="1910"/>
      <c r="F17" s="1911"/>
      <c r="G17" s="1911"/>
      <c r="H17" s="1911"/>
      <c r="I17" s="1911"/>
      <c r="J17" s="1911"/>
      <c r="K17" s="1911"/>
      <c r="L17" s="1911"/>
      <c r="M17" s="1911"/>
      <c r="N17" s="1911"/>
      <c r="O17" s="1911"/>
      <c r="P17" s="1911"/>
      <c r="Q17" s="1911"/>
      <c r="R17" s="1911"/>
      <c r="S17" s="1911"/>
      <c r="T17" s="1911"/>
      <c r="U17" s="1911"/>
      <c r="V17" s="1923"/>
      <c r="W17" s="4644"/>
    </row>
    <row r="18" spans="1:23" ht="17.25" customHeight="1">
      <c r="A18" s="4642"/>
      <c r="B18" s="4642"/>
      <c r="C18" s="1930"/>
      <c r="D18" s="1893"/>
      <c r="E18" s="1893"/>
      <c r="F18" s="1894"/>
      <c r="G18" s="1894"/>
      <c r="H18" s="1894"/>
      <c r="I18" s="1894"/>
      <c r="J18" s="1894"/>
      <c r="K18" s="1894"/>
      <c r="L18" s="1894"/>
      <c r="M18" s="1894"/>
      <c r="N18" s="1894"/>
      <c r="O18" s="1894"/>
      <c r="P18" s="1894"/>
      <c r="Q18" s="1894"/>
      <c r="R18" s="1894"/>
      <c r="S18" s="1894"/>
      <c r="T18" s="1894"/>
      <c r="U18" s="1894"/>
      <c r="V18" s="1924"/>
      <c r="W18" s="4645"/>
    </row>
    <row r="19" spans="1:23" ht="17.25" customHeight="1">
      <c r="A19" s="4642"/>
      <c r="B19" s="4642"/>
      <c r="C19" s="1930"/>
      <c r="D19" s="1893"/>
      <c r="E19" s="1893"/>
      <c r="F19" s="1894"/>
      <c r="G19" s="1894"/>
      <c r="H19" s="1894"/>
      <c r="I19" s="1894"/>
      <c r="J19" s="1894"/>
      <c r="K19" s="1894"/>
      <c r="L19" s="1894"/>
      <c r="M19" s="1894"/>
      <c r="N19" s="1894"/>
      <c r="O19" s="1894"/>
      <c r="P19" s="1894"/>
      <c r="Q19" s="1894"/>
      <c r="R19" s="1894"/>
      <c r="S19" s="1894"/>
      <c r="T19" s="1894"/>
      <c r="U19" s="1894"/>
      <c r="V19" s="1924"/>
      <c r="W19" s="4645"/>
    </row>
    <row r="20" spans="1:23" ht="17.25" customHeight="1">
      <c r="A20" s="4642"/>
      <c r="B20" s="4642"/>
      <c r="C20" s="1930"/>
      <c r="D20" s="1893"/>
      <c r="E20" s="1893"/>
      <c r="F20" s="1894"/>
      <c r="G20" s="1894"/>
      <c r="H20" s="1894"/>
      <c r="I20" s="1894"/>
      <c r="J20" s="1894"/>
      <c r="K20" s="1894"/>
      <c r="L20" s="1894"/>
      <c r="M20" s="1894"/>
      <c r="N20" s="1894"/>
      <c r="O20" s="1894"/>
      <c r="P20" s="1894"/>
      <c r="Q20" s="1894"/>
      <c r="R20" s="1894"/>
      <c r="S20" s="1894"/>
      <c r="T20" s="1894"/>
      <c r="U20" s="1894"/>
      <c r="V20" s="1924"/>
      <c r="W20" s="4645"/>
    </row>
    <row r="21" spans="1:23" ht="17.25" customHeight="1">
      <c r="A21" s="4643"/>
      <c r="B21" s="4643"/>
      <c r="C21" s="1931"/>
      <c r="D21" s="1908"/>
      <c r="E21" s="1908"/>
      <c r="F21" s="1909"/>
      <c r="G21" s="1909"/>
      <c r="H21" s="1909"/>
      <c r="I21" s="1909"/>
      <c r="J21" s="1909"/>
      <c r="K21" s="1909"/>
      <c r="L21" s="1909"/>
      <c r="M21" s="1909"/>
      <c r="N21" s="1909"/>
      <c r="O21" s="1909"/>
      <c r="P21" s="1909"/>
      <c r="Q21" s="1909"/>
      <c r="R21" s="1909"/>
      <c r="S21" s="1909"/>
      <c r="T21" s="1909"/>
      <c r="U21" s="1909"/>
      <c r="V21" s="1925"/>
      <c r="W21" s="4646"/>
    </row>
    <row r="22" spans="1:23" ht="21" customHeight="1">
      <c r="A22" s="4641">
        <v>3</v>
      </c>
      <c r="B22" s="4641" t="str">
        <f>'kt1'!B16</f>
        <v>Nàng Túc</v>
      </c>
      <c r="C22" s="1929"/>
      <c r="D22" s="1910"/>
      <c r="E22" s="1910"/>
      <c r="F22" s="1911"/>
      <c r="G22" s="1911"/>
      <c r="H22" s="1911"/>
      <c r="I22" s="1911"/>
      <c r="J22" s="1911"/>
      <c r="K22" s="1911"/>
      <c r="L22" s="1911"/>
      <c r="M22" s="1911"/>
      <c r="N22" s="1911"/>
      <c r="O22" s="1911"/>
      <c r="P22" s="1911"/>
      <c r="Q22" s="1911"/>
      <c r="R22" s="1911"/>
      <c r="S22" s="1911"/>
      <c r="T22" s="1911"/>
      <c r="U22" s="1911"/>
      <c r="V22" s="1923"/>
      <c r="W22" s="4644"/>
    </row>
    <row r="23" spans="1:23" ht="21" customHeight="1">
      <c r="A23" s="4642"/>
      <c r="B23" s="4642"/>
      <c r="C23" s="1930"/>
      <c r="D23" s="1893"/>
      <c r="E23" s="1893"/>
      <c r="F23" s="1894"/>
      <c r="G23" s="1894"/>
      <c r="H23" s="1894"/>
      <c r="I23" s="1894"/>
      <c r="J23" s="1894"/>
      <c r="K23" s="1894"/>
      <c r="L23" s="1894"/>
      <c r="M23" s="1894"/>
      <c r="N23" s="1894"/>
      <c r="O23" s="1894"/>
      <c r="P23" s="1894"/>
      <c r="Q23" s="1894"/>
      <c r="R23" s="1894"/>
      <c r="S23" s="1894"/>
      <c r="T23" s="1894"/>
      <c r="U23" s="1894"/>
      <c r="V23" s="1924"/>
      <c r="W23" s="4645"/>
    </row>
    <row r="24" spans="1:23" ht="21" customHeight="1">
      <c r="A24" s="4642"/>
      <c r="B24" s="4642"/>
      <c r="C24" s="1930"/>
      <c r="D24" s="1893"/>
      <c r="E24" s="1893"/>
      <c r="F24" s="1894"/>
      <c r="G24" s="1894"/>
      <c r="H24" s="1894"/>
      <c r="I24" s="1894"/>
      <c r="J24" s="1894"/>
      <c r="K24" s="1894"/>
      <c r="L24" s="1894"/>
      <c r="M24" s="1894"/>
      <c r="N24" s="1894"/>
      <c r="O24" s="1894"/>
      <c r="P24" s="1894"/>
      <c r="Q24" s="1894"/>
      <c r="R24" s="1894"/>
      <c r="S24" s="1894"/>
      <c r="T24" s="1894"/>
      <c r="U24" s="1894"/>
      <c r="V24" s="1924"/>
      <c r="W24" s="4645"/>
    </row>
    <row r="25" spans="1:23" ht="21" customHeight="1">
      <c r="A25" s="4642"/>
      <c r="B25" s="4642"/>
      <c r="C25" s="1930"/>
      <c r="D25" s="1893"/>
      <c r="E25" s="1893"/>
      <c r="F25" s="1894"/>
      <c r="G25" s="1894"/>
      <c r="H25" s="1894"/>
      <c r="I25" s="1894"/>
      <c r="J25" s="1894"/>
      <c r="K25" s="1894"/>
      <c r="L25" s="1894"/>
      <c r="M25" s="1894"/>
      <c r="N25" s="1894"/>
      <c r="O25" s="1894"/>
      <c r="P25" s="1894"/>
      <c r="Q25" s="1894"/>
      <c r="R25" s="1894"/>
      <c r="S25" s="1894"/>
      <c r="T25" s="1894"/>
      <c r="U25" s="1894"/>
      <c r="V25" s="1924"/>
      <c r="W25" s="4645"/>
    </row>
    <row r="26" spans="1:23" ht="21" customHeight="1">
      <c r="A26" s="4643"/>
      <c r="B26" s="4643"/>
      <c r="C26" s="1931"/>
      <c r="D26" s="1908"/>
      <c r="E26" s="1908"/>
      <c r="F26" s="1909"/>
      <c r="G26" s="1909"/>
      <c r="H26" s="1909"/>
      <c r="I26" s="1909"/>
      <c r="J26" s="1909"/>
      <c r="K26" s="1909"/>
      <c r="L26" s="1909"/>
      <c r="M26" s="1909"/>
      <c r="N26" s="1909"/>
      <c r="O26" s="1909"/>
      <c r="P26" s="1909"/>
      <c r="Q26" s="1909"/>
      <c r="R26" s="1909"/>
      <c r="S26" s="1909"/>
      <c r="T26" s="1909"/>
      <c r="U26" s="1909"/>
      <c r="V26" s="1925"/>
      <c r="W26" s="4646"/>
    </row>
    <row r="27" spans="1:23" ht="19.5" hidden="1" customHeight="1">
      <c r="A27" s="4641">
        <v>4</v>
      </c>
      <c r="B27" s="4641" t="str">
        <f>'kt1'!B17</f>
        <v>Thảo Say</v>
      </c>
      <c r="C27" s="1929"/>
      <c r="D27" s="1910"/>
      <c r="E27" s="1910"/>
      <c r="F27" s="1911"/>
      <c r="G27" s="1911"/>
      <c r="H27" s="1911"/>
      <c r="I27" s="1911"/>
      <c r="J27" s="1911"/>
      <c r="K27" s="1911"/>
      <c r="L27" s="1911"/>
      <c r="M27" s="1911"/>
      <c r="N27" s="1911"/>
      <c r="O27" s="1911"/>
      <c r="P27" s="1911"/>
      <c r="Q27" s="1911"/>
      <c r="R27" s="1911"/>
      <c r="S27" s="1911"/>
      <c r="T27" s="1911"/>
      <c r="U27" s="1911"/>
      <c r="V27" s="1923"/>
      <c r="W27" s="4644"/>
    </row>
    <row r="28" spans="1:23" ht="19.5" hidden="1" customHeight="1">
      <c r="A28" s="4642"/>
      <c r="B28" s="4642"/>
      <c r="C28" s="1930"/>
      <c r="D28" s="1893"/>
      <c r="E28" s="1893"/>
      <c r="F28" s="1894"/>
      <c r="G28" s="1894"/>
      <c r="H28" s="1894"/>
      <c r="I28" s="1894"/>
      <c r="J28" s="1894"/>
      <c r="K28" s="1894"/>
      <c r="L28" s="1894"/>
      <c r="M28" s="1894"/>
      <c r="N28" s="1894"/>
      <c r="O28" s="1894"/>
      <c r="P28" s="1894"/>
      <c r="Q28" s="1894"/>
      <c r="R28" s="1894"/>
      <c r="S28" s="1894"/>
      <c r="T28" s="1894"/>
      <c r="U28" s="1894"/>
      <c r="V28" s="1924"/>
      <c r="W28" s="4645"/>
    </row>
    <row r="29" spans="1:23" ht="19.5" hidden="1" customHeight="1">
      <c r="A29" s="4642"/>
      <c r="B29" s="4642"/>
      <c r="C29" s="1930"/>
      <c r="D29" s="1893"/>
      <c r="E29" s="1893"/>
      <c r="F29" s="1894"/>
      <c r="G29" s="1894"/>
      <c r="H29" s="1894"/>
      <c r="I29" s="1894"/>
      <c r="J29" s="1894"/>
      <c r="K29" s="1894"/>
      <c r="L29" s="1894"/>
      <c r="M29" s="1894"/>
      <c r="N29" s="1894"/>
      <c r="O29" s="1894"/>
      <c r="P29" s="1894"/>
      <c r="Q29" s="1894"/>
      <c r="R29" s="1894"/>
      <c r="S29" s="1894"/>
      <c r="T29" s="1894"/>
      <c r="U29" s="1894"/>
      <c r="V29" s="1924"/>
      <c r="W29" s="4645"/>
    </row>
    <row r="30" spans="1:23" ht="19.5" hidden="1" customHeight="1">
      <c r="A30" s="4642"/>
      <c r="B30" s="4642"/>
      <c r="C30" s="1930"/>
      <c r="D30" s="1893"/>
      <c r="E30" s="1893"/>
      <c r="F30" s="1894"/>
      <c r="G30" s="1894"/>
      <c r="H30" s="1894"/>
      <c r="I30" s="1894"/>
      <c r="J30" s="1894"/>
      <c r="K30" s="1894"/>
      <c r="L30" s="1894"/>
      <c r="M30" s="1894"/>
      <c r="N30" s="1894"/>
      <c r="O30" s="1894"/>
      <c r="P30" s="1894"/>
      <c r="Q30" s="1894"/>
      <c r="R30" s="1894"/>
      <c r="S30" s="1894"/>
      <c r="T30" s="1894"/>
      <c r="U30" s="1894"/>
      <c r="V30" s="1924"/>
      <c r="W30" s="4645"/>
    </row>
    <row r="31" spans="1:23" ht="19.5" hidden="1" customHeight="1">
      <c r="A31" s="4643"/>
      <c r="B31" s="4643"/>
      <c r="C31" s="1931"/>
      <c r="D31" s="1908"/>
      <c r="E31" s="1908"/>
      <c r="F31" s="1909"/>
      <c r="G31" s="1909"/>
      <c r="H31" s="1909"/>
      <c r="I31" s="1909"/>
      <c r="J31" s="1909"/>
      <c r="K31" s="1909"/>
      <c r="L31" s="1909"/>
      <c r="M31" s="1909"/>
      <c r="N31" s="1909"/>
      <c r="O31" s="1909"/>
      <c r="P31" s="1909"/>
      <c r="Q31" s="1909"/>
      <c r="R31" s="1909"/>
      <c r="S31" s="1909"/>
      <c r="T31" s="1909"/>
      <c r="U31" s="1909"/>
      <c r="V31" s="1925"/>
      <c r="W31" s="4646"/>
    </row>
    <row r="32" spans="1:23" ht="18" customHeight="1">
      <c r="A32" s="4641">
        <v>5</v>
      </c>
      <c r="B32" s="4641" t="str">
        <f>'kt1'!B18</f>
        <v>Thảo Pheng</v>
      </c>
      <c r="C32" s="1929"/>
      <c r="D32" s="1910"/>
      <c r="E32" s="1910"/>
      <c r="F32" s="1911"/>
      <c r="G32" s="1911"/>
      <c r="H32" s="1911"/>
      <c r="I32" s="1911"/>
      <c r="J32" s="1911"/>
      <c r="K32" s="1911"/>
      <c r="L32" s="1911"/>
      <c r="M32" s="1911"/>
      <c r="N32" s="1911"/>
      <c r="O32" s="1911"/>
      <c r="P32" s="1911"/>
      <c r="Q32" s="1911"/>
      <c r="R32" s="1911"/>
      <c r="S32" s="1911"/>
      <c r="T32" s="1911"/>
      <c r="U32" s="1911"/>
      <c r="V32" s="1923"/>
      <c r="W32" s="4644"/>
    </row>
    <row r="33" spans="1:23" ht="18" customHeight="1">
      <c r="A33" s="4642"/>
      <c r="B33" s="4642"/>
      <c r="C33" s="1930"/>
      <c r="D33" s="1893"/>
      <c r="E33" s="1893"/>
      <c r="F33" s="1894"/>
      <c r="G33" s="1894"/>
      <c r="H33" s="1894"/>
      <c r="I33" s="1894"/>
      <c r="J33" s="1894"/>
      <c r="K33" s="1894"/>
      <c r="L33" s="1894"/>
      <c r="M33" s="1894"/>
      <c r="N33" s="1894"/>
      <c r="O33" s="1894"/>
      <c r="P33" s="1894"/>
      <c r="Q33" s="1894"/>
      <c r="R33" s="1894"/>
      <c r="S33" s="1894"/>
      <c r="T33" s="1894"/>
      <c r="U33" s="1894"/>
      <c r="V33" s="1924"/>
      <c r="W33" s="4645"/>
    </row>
    <row r="34" spans="1:23" ht="18" customHeight="1">
      <c r="A34" s="4642"/>
      <c r="B34" s="4642"/>
      <c r="C34" s="1930"/>
      <c r="D34" s="1893"/>
      <c r="E34" s="1893"/>
      <c r="F34" s="1894"/>
      <c r="G34" s="1894"/>
      <c r="H34" s="1894"/>
      <c r="I34" s="1894"/>
      <c r="J34" s="1894"/>
      <c r="K34" s="1894"/>
      <c r="L34" s="1894"/>
      <c r="M34" s="1894"/>
      <c r="N34" s="1894"/>
      <c r="O34" s="1894"/>
      <c r="P34" s="1894"/>
      <c r="Q34" s="1894"/>
      <c r="R34" s="1894"/>
      <c r="S34" s="1894"/>
      <c r="T34" s="1894"/>
      <c r="U34" s="1894"/>
      <c r="V34" s="1924"/>
      <c r="W34" s="4645"/>
    </row>
    <row r="35" spans="1:23" ht="18" customHeight="1">
      <c r="A35" s="4642"/>
      <c r="B35" s="4642"/>
      <c r="C35" s="1930"/>
      <c r="D35" s="1893"/>
      <c r="E35" s="1893"/>
      <c r="F35" s="1894"/>
      <c r="G35" s="1894"/>
      <c r="H35" s="1894"/>
      <c r="I35" s="1894"/>
      <c r="J35" s="1894"/>
      <c r="K35" s="1894"/>
      <c r="L35" s="1894"/>
      <c r="M35" s="1894"/>
      <c r="N35" s="1894"/>
      <c r="O35" s="1894"/>
      <c r="P35" s="1894"/>
      <c r="Q35" s="1894"/>
      <c r="R35" s="1894"/>
      <c r="S35" s="1894"/>
      <c r="T35" s="1894"/>
      <c r="U35" s="1894"/>
      <c r="V35" s="1924"/>
      <c r="W35" s="4645"/>
    </row>
    <row r="36" spans="1:23" ht="18" customHeight="1">
      <c r="A36" s="4643"/>
      <c r="B36" s="4643"/>
      <c r="C36" s="1931"/>
      <c r="D36" s="1908"/>
      <c r="E36" s="1908"/>
      <c r="F36" s="1909"/>
      <c r="G36" s="1909"/>
      <c r="H36" s="1909"/>
      <c r="I36" s="1909"/>
      <c r="J36" s="1909"/>
      <c r="K36" s="1909"/>
      <c r="L36" s="1909"/>
      <c r="M36" s="1909"/>
      <c r="N36" s="1909"/>
      <c r="O36" s="1909"/>
      <c r="P36" s="1909"/>
      <c r="Q36" s="1909"/>
      <c r="R36" s="1909"/>
      <c r="S36" s="1909"/>
      <c r="T36" s="1909"/>
      <c r="U36" s="1909"/>
      <c r="V36" s="1925"/>
      <c r="W36" s="4646"/>
    </row>
    <row r="37" spans="1:23" ht="18" customHeight="1">
      <c r="A37" s="4641">
        <v>6</v>
      </c>
      <c r="B37" s="4641" t="str">
        <f>'kt1'!B19</f>
        <v>Nàng Chay</v>
      </c>
      <c r="C37" s="1929"/>
      <c r="D37" s="1910"/>
      <c r="E37" s="1910"/>
      <c r="F37" s="1911"/>
      <c r="G37" s="1911"/>
      <c r="H37" s="1911"/>
      <c r="I37" s="1911"/>
      <c r="J37" s="1911"/>
      <c r="K37" s="1911"/>
      <c r="L37" s="1911"/>
      <c r="M37" s="1911"/>
      <c r="N37" s="1911"/>
      <c r="O37" s="1911"/>
      <c r="P37" s="1911"/>
      <c r="Q37" s="1911"/>
      <c r="R37" s="1911"/>
      <c r="S37" s="1911"/>
      <c r="T37" s="1911"/>
      <c r="U37" s="1911"/>
      <c r="V37" s="1926"/>
      <c r="W37" s="4644"/>
    </row>
    <row r="38" spans="1:23" ht="18" customHeight="1">
      <c r="A38" s="4642"/>
      <c r="B38" s="4642"/>
      <c r="C38" s="1930"/>
      <c r="D38" s="1893"/>
      <c r="E38" s="1893"/>
      <c r="F38" s="1894"/>
      <c r="G38" s="1894"/>
      <c r="H38" s="1894"/>
      <c r="I38" s="1894"/>
      <c r="J38" s="1894"/>
      <c r="K38" s="1894"/>
      <c r="L38" s="1894"/>
      <c r="M38" s="1894"/>
      <c r="N38" s="1894"/>
      <c r="O38" s="1894"/>
      <c r="P38" s="1894"/>
      <c r="Q38" s="1894"/>
      <c r="R38" s="1894"/>
      <c r="S38" s="1894"/>
      <c r="T38" s="1894"/>
      <c r="U38" s="1894"/>
      <c r="V38" s="1927"/>
      <c r="W38" s="4645"/>
    </row>
    <row r="39" spans="1:23" ht="18" customHeight="1">
      <c r="A39" s="4642"/>
      <c r="B39" s="4642"/>
      <c r="C39" s="1930"/>
      <c r="D39" s="1893"/>
      <c r="E39" s="1893"/>
      <c r="F39" s="1894"/>
      <c r="G39" s="1894"/>
      <c r="H39" s="1894"/>
      <c r="I39" s="1894"/>
      <c r="J39" s="1894"/>
      <c r="K39" s="1894"/>
      <c r="L39" s="1894"/>
      <c r="M39" s="1894"/>
      <c r="N39" s="1894"/>
      <c r="O39" s="1894"/>
      <c r="P39" s="1894"/>
      <c r="Q39" s="1894"/>
      <c r="R39" s="1894"/>
      <c r="S39" s="1894"/>
      <c r="T39" s="1894"/>
      <c r="U39" s="1894"/>
      <c r="V39" s="1927"/>
      <c r="W39" s="4645"/>
    </row>
    <row r="40" spans="1:23" ht="18" customHeight="1">
      <c r="A40" s="4642"/>
      <c r="B40" s="4642"/>
      <c r="C40" s="1930"/>
      <c r="D40" s="1893"/>
      <c r="E40" s="1893"/>
      <c r="F40" s="1894"/>
      <c r="G40" s="1894"/>
      <c r="H40" s="1894"/>
      <c r="I40" s="1894"/>
      <c r="J40" s="1894"/>
      <c r="K40" s="1894"/>
      <c r="L40" s="1894"/>
      <c r="M40" s="1894"/>
      <c r="N40" s="1894"/>
      <c r="O40" s="1894"/>
      <c r="P40" s="1894"/>
      <c r="Q40" s="1894"/>
      <c r="R40" s="1894"/>
      <c r="S40" s="1894"/>
      <c r="T40" s="1894"/>
      <c r="U40" s="1894"/>
      <c r="V40" s="1927"/>
      <c r="W40" s="4645"/>
    </row>
    <row r="41" spans="1:23" ht="18" customHeight="1">
      <c r="A41" s="4643"/>
      <c r="B41" s="4643"/>
      <c r="C41" s="1931"/>
      <c r="D41" s="1908"/>
      <c r="E41" s="1908"/>
      <c r="F41" s="1909"/>
      <c r="G41" s="1909"/>
      <c r="H41" s="1909"/>
      <c r="I41" s="1909"/>
      <c r="J41" s="1909"/>
      <c r="K41" s="1909"/>
      <c r="L41" s="1909"/>
      <c r="M41" s="1909"/>
      <c r="N41" s="1909"/>
      <c r="O41" s="1909"/>
      <c r="P41" s="1909"/>
      <c r="Q41" s="1909"/>
      <c r="R41" s="1909"/>
      <c r="S41" s="1909"/>
      <c r="T41" s="1909"/>
      <c r="U41" s="1909"/>
      <c r="V41" s="1928"/>
      <c r="W41" s="4646"/>
    </row>
    <row r="42" spans="1:23" ht="18" customHeight="1">
      <c r="A42" s="4641">
        <v>7</v>
      </c>
      <c r="B42" s="4641" t="str">
        <f>'kt1'!B20</f>
        <v>Nàng Hđao</v>
      </c>
      <c r="C42" s="1929"/>
      <c r="D42" s="1910"/>
      <c r="E42" s="1910"/>
      <c r="F42" s="1911"/>
      <c r="G42" s="1911"/>
      <c r="H42" s="1911"/>
      <c r="I42" s="1911"/>
      <c r="J42" s="1911"/>
      <c r="K42" s="1911"/>
      <c r="L42" s="1911"/>
      <c r="M42" s="1911"/>
      <c r="N42" s="1911"/>
      <c r="O42" s="1911"/>
      <c r="P42" s="1911"/>
      <c r="Q42" s="1911"/>
      <c r="R42" s="1911"/>
      <c r="S42" s="1911"/>
      <c r="T42" s="1911"/>
      <c r="U42" s="1911"/>
      <c r="V42" s="1923"/>
      <c r="W42" s="4644"/>
    </row>
    <row r="43" spans="1:23" ht="18" customHeight="1">
      <c r="A43" s="4642"/>
      <c r="B43" s="4642"/>
      <c r="C43" s="1930"/>
      <c r="D43" s="1893"/>
      <c r="E43" s="1893"/>
      <c r="F43" s="1894"/>
      <c r="G43" s="1894"/>
      <c r="H43" s="1894"/>
      <c r="I43" s="1894"/>
      <c r="J43" s="1894"/>
      <c r="K43" s="1894"/>
      <c r="L43" s="1894"/>
      <c r="M43" s="1894"/>
      <c r="N43" s="1894"/>
      <c r="O43" s="1894"/>
      <c r="P43" s="1894"/>
      <c r="Q43" s="1894"/>
      <c r="R43" s="1894"/>
      <c r="S43" s="1894"/>
      <c r="T43" s="1894"/>
      <c r="U43" s="1894"/>
      <c r="V43" s="1924"/>
      <c r="W43" s="4645"/>
    </row>
    <row r="44" spans="1:23" ht="18" customHeight="1">
      <c r="A44" s="4642"/>
      <c r="B44" s="4642"/>
      <c r="C44" s="1930"/>
      <c r="D44" s="1893"/>
      <c r="E44" s="1893"/>
      <c r="F44" s="1894"/>
      <c r="G44" s="1894"/>
      <c r="H44" s="1894"/>
      <c r="I44" s="1894"/>
      <c r="J44" s="1894"/>
      <c r="K44" s="1894"/>
      <c r="L44" s="1894"/>
      <c r="M44" s="1894"/>
      <c r="N44" s="1894"/>
      <c r="O44" s="1894"/>
      <c r="P44" s="1894"/>
      <c r="Q44" s="1894"/>
      <c r="R44" s="1894"/>
      <c r="S44" s="1894"/>
      <c r="T44" s="1894"/>
      <c r="U44" s="1894"/>
      <c r="V44" s="1924"/>
      <c r="W44" s="4645"/>
    </row>
    <row r="45" spans="1:23" ht="18" customHeight="1">
      <c r="A45" s="4642"/>
      <c r="B45" s="4642"/>
      <c r="C45" s="1930"/>
      <c r="D45" s="1893"/>
      <c r="E45" s="1893"/>
      <c r="F45" s="1894"/>
      <c r="G45" s="1894"/>
      <c r="H45" s="1894"/>
      <c r="I45" s="1894"/>
      <c r="J45" s="1894"/>
      <c r="K45" s="1894"/>
      <c r="L45" s="1894"/>
      <c r="M45" s="1894"/>
      <c r="N45" s="1894"/>
      <c r="O45" s="1894"/>
      <c r="P45" s="1894"/>
      <c r="Q45" s="1894"/>
      <c r="R45" s="1894"/>
      <c r="S45" s="1894"/>
      <c r="T45" s="1894"/>
      <c r="U45" s="1894"/>
      <c r="V45" s="1924"/>
      <c r="W45" s="4645"/>
    </row>
    <row r="46" spans="1:23" ht="18" customHeight="1">
      <c r="A46" s="4643"/>
      <c r="B46" s="4643"/>
      <c r="C46" s="1931"/>
      <c r="D46" s="1908"/>
      <c r="E46" s="1908"/>
      <c r="F46" s="1909"/>
      <c r="G46" s="1909"/>
      <c r="H46" s="1909"/>
      <c r="I46" s="1909"/>
      <c r="J46" s="1909"/>
      <c r="K46" s="1909"/>
      <c r="L46" s="1909"/>
      <c r="M46" s="1909"/>
      <c r="N46" s="1909"/>
      <c r="O46" s="1909"/>
      <c r="P46" s="1909"/>
      <c r="Q46" s="1909"/>
      <c r="R46" s="1909"/>
      <c r="S46" s="1909"/>
      <c r="T46" s="1909"/>
      <c r="U46" s="1909"/>
      <c r="V46" s="1925"/>
      <c r="W46" s="4646"/>
    </row>
    <row r="47" spans="1:23" ht="18" customHeight="1">
      <c r="A47" s="4641">
        <v>8</v>
      </c>
      <c r="B47" s="4641" t="str">
        <f>'kt1'!B21</f>
        <v xml:space="preserve">Thảo Ken </v>
      </c>
      <c r="C47" s="1929"/>
      <c r="D47" s="1910"/>
      <c r="E47" s="1910"/>
      <c r="F47" s="1911"/>
      <c r="G47" s="1911"/>
      <c r="H47" s="1911"/>
      <c r="I47" s="1911"/>
      <c r="J47" s="1911"/>
      <c r="K47" s="1911"/>
      <c r="L47" s="1911"/>
      <c r="M47" s="1911"/>
      <c r="N47" s="1911"/>
      <c r="O47" s="1911"/>
      <c r="P47" s="1911"/>
      <c r="Q47" s="1911"/>
      <c r="R47" s="1911"/>
      <c r="S47" s="1911"/>
      <c r="T47" s="1911"/>
      <c r="U47" s="1911"/>
      <c r="V47" s="1923"/>
      <c r="W47" s="4644"/>
    </row>
    <row r="48" spans="1:23" ht="18" customHeight="1">
      <c r="A48" s="4642"/>
      <c r="B48" s="4642"/>
      <c r="C48" s="1930"/>
      <c r="D48" s="1893"/>
      <c r="E48" s="1893"/>
      <c r="F48" s="1894"/>
      <c r="G48" s="1894"/>
      <c r="H48" s="1894"/>
      <c r="I48" s="1894"/>
      <c r="J48" s="1894"/>
      <c r="K48" s="1894"/>
      <c r="L48" s="1894"/>
      <c r="M48" s="1894"/>
      <c r="N48" s="1894"/>
      <c r="O48" s="1894"/>
      <c r="P48" s="1894"/>
      <c r="Q48" s="1894"/>
      <c r="R48" s="1894"/>
      <c r="S48" s="1894"/>
      <c r="T48" s="1894"/>
      <c r="U48" s="1894"/>
      <c r="V48" s="1924"/>
      <c r="W48" s="4645"/>
    </row>
    <row r="49" spans="1:23" ht="18" customHeight="1">
      <c r="A49" s="4642"/>
      <c r="B49" s="4642"/>
      <c r="C49" s="1930"/>
      <c r="D49" s="1893"/>
      <c r="E49" s="1893"/>
      <c r="F49" s="1894"/>
      <c r="G49" s="1894"/>
      <c r="H49" s="1894"/>
      <c r="I49" s="1894"/>
      <c r="J49" s="1894"/>
      <c r="K49" s="1894"/>
      <c r="L49" s="1894"/>
      <c r="M49" s="1894"/>
      <c r="N49" s="1894"/>
      <c r="O49" s="1894"/>
      <c r="P49" s="1894"/>
      <c r="Q49" s="1894"/>
      <c r="R49" s="1894"/>
      <c r="S49" s="1894"/>
      <c r="T49" s="1894"/>
      <c r="U49" s="1894"/>
      <c r="V49" s="1924"/>
      <c r="W49" s="4645"/>
    </row>
    <row r="50" spans="1:23" ht="18" customHeight="1">
      <c r="A50" s="4642"/>
      <c r="B50" s="4642"/>
      <c r="C50" s="1930"/>
      <c r="D50" s="1893"/>
      <c r="E50" s="1893"/>
      <c r="F50" s="1894"/>
      <c r="G50" s="1894"/>
      <c r="H50" s="1894"/>
      <c r="I50" s="1894"/>
      <c r="J50" s="1894"/>
      <c r="K50" s="1894"/>
      <c r="L50" s="1894"/>
      <c r="M50" s="1894"/>
      <c r="N50" s="1894"/>
      <c r="O50" s="1894"/>
      <c r="P50" s="1894"/>
      <c r="Q50" s="1894"/>
      <c r="R50" s="1894"/>
      <c r="S50" s="1894"/>
      <c r="T50" s="1894"/>
      <c r="U50" s="1894"/>
      <c r="V50" s="1924"/>
      <c r="W50" s="4645"/>
    </row>
    <row r="51" spans="1:23" ht="18" customHeight="1">
      <c r="A51" s="4643"/>
      <c r="B51" s="4643"/>
      <c r="C51" s="1931"/>
      <c r="D51" s="1908"/>
      <c r="E51" s="1908"/>
      <c r="F51" s="1909"/>
      <c r="G51" s="1909"/>
      <c r="H51" s="1909"/>
      <c r="I51" s="1909"/>
      <c r="J51" s="1909"/>
      <c r="K51" s="1909"/>
      <c r="L51" s="1909"/>
      <c r="M51" s="1909"/>
      <c r="N51" s="1909"/>
      <c r="O51" s="1909"/>
      <c r="P51" s="1909"/>
      <c r="Q51" s="1909"/>
      <c r="R51" s="1909"/>
      <c r="S51" s="1909"/>
      <c r="T51" s="1909"/>
      <c r="U51" s="1909"/>
      <c r="V51" s="1925"/>
      <c r="W51" s="4646"/>
    </row>
    <row r="52" spans="1:23" ht="18" customHeight="1">
      <c r="A52" s="4641">
        <v>9</v>
      </c>
      <c r="B52" s="4641" t="str">
        <f>'kt1'!B22</f>
        <v>Thảo Cợt</v>
      </c>
      <c r="C52" s="1929"/>
      <c r="D52" s="1910"/>
      <c r="E52" s="1910"/>
      <c r="F52" s="1911"/>
      <c r="G52" s="1911"/>
      <c r="H52" s="1911"/>
      <c r="I52" s="1911"/>
      <c r="J52" s="1911"/>
      <c r="K52" s="1911"/>
      <c r="L52" s="1911"/>
      <c r="M52" s="1911"/>
      <c r="N52" s="1911"/>
      <c r="O52" s="1911"/>
      <c r="P52" s="1911"/>
      <c r="Q52" s="1911"/>
      <c r="R52" s="1911"/>
      <c r="S52" s="1911"/>
      <c r="T52" s="1911"/>
      <c r="U52" s="1911"/>
      <c r="V52" s="1923"/>
      <c r="W52" s="4644"/>
    </row>
    <row r="53" spans="1:23" ht="18" customHeight="1">
      <c r="A53" s="4642"/>
      <c r="B53" s="4642"/>
      <c r="C53" s="1930"/>
      <c r="D53" s="1893"/>
      <c r="E53" s="1893"/>
      <c r="F53" s="1894"/>
      <c r="G53" s="1894"/>
      <c r="H53" s="1894"/>
      <c r="I53" s="1894"/>
      <c r="J53" s="1894"/>
      <c r="K53" s="1894"/>
      <c r="L53" s="1894"/>
      <c r="M53" s="1894"/>
      <c r="N53" s="1894"/>
      <c r="O53" s="1894"/>
      <c r="P53" s="1894"/>
      <c r="Q53" s="1894"/>
      <c r="R53" s="1894"/>
      <c r="S53" s="1894"/>
      <c r="T53" s="1894"/>
      <c r="U53" s="1894"/>
      <c r="V53" s="1924"/>
      <c r="W53" s="4645"/>
    </row>
    <row r="54" spans="1:23" ht="18" customHeight="1">
      <c r="A54" s="4642"/>
      <c r="B54" s="4642"/>
      <c r="C54" s="1930"/>
      <c r="D54" s="1893"/>
      <c r="E54" s="1893"/>
      <c r="F54" s="1894"/>
      <c r="G54" s="1894"/>
      <c r="H54" s="1894"/>
      <c r="I54" s="1894"/>
      <c r="J54" s="1894"/>
      <c r="K54" s="1894"/>
      <c r="L54" s="1894"/>
      <c r="M54" s="1894"/>
      <c r="N54" s="1894"/>
      <c r="O54" s="1894"/>
      <c r="P54" s="1894"/>
      <c r="Q54" s="1894"/>
      <c r="R54" s="1894"/>
      <c r="S54" s="1894"/>
      <c r="T54" s="1894"/>
      <c r="U54" s="1894"/>
      <c r="V54" s="1924"/>
      <c r="W54" s="4645"/>
    </row>
    <row r="55" spans="1:23" ht="18" customHeight="1">
      <c r="A55" s="4642"/>
      <c r="B55" s="4642"/>
      <c r="C55" s="1930"/>
      <c r="D55" s="1893"/>
      <c r="E55" s="1893"/>
      <c r="F55" s="1894"/>
      <c r="G55" s="1894"/>
      <c r="H55" s="1894"/>
      <c r="I55" s="1894"/>
      <c r="J55" s="1894"/>
      <c r="K55" s="1894"/>
      <c r="L55" s="1894"/>
      <c r="M55" s="1894"/>
      <c r="N55" s="1894"/>
      <c r="O55" s="1894"/>
      <c r="P55" s="1894"/>
      <c r="Q55" s="1894"/>
      <c r="R55" s="1894"/>
      <c r="S55" s="1894"/>
      <c r="T55" s="1894"/>
      <c r="U55" s="1894"/>
      <c r="V55" s="1924"/>
      <c r="W55" s="4645"/>
    </row>
    <row r="56" spans="1:23" ht="18" customHeight="1">
      <c r="A56" s="4643"/>
      <c r="B56" s="4643"/>
      <c r="C56" s="1931"/>
      <c r="D56" s="1908"/>
      <c r="E56" s="1908"/>
      <c r="F56" s="1909"/>
      <c r="G56" s="1909"/>
      <c r="H56" s="1909"/>
      <c r="I56" s="1909"/>
      <c r="J56" s="1909"/>
      <c r="K56" s="1909"/>
      <c r="L56" s="1909"/>
      <c r="M56" s="1909"/>
      <c r="N56" s="1909"/>
      <c r="O56" s="1909"/>
      <c r="P56" s="1909"/>
      <c r="Q56" s="1909"/>
      <c r="R56" s="1909"/>
      <c r="S56" s="1909"/>
      <c r="T56" s="1909"/>
      <c r="U56" s="1909"/>
      <c r="V56" s="1925"/>
      <c r="W56" s="4646"/>
    </row>
    <row r="57" spans="1:23" ht="15.75" customHeight="1">
      <c r="A57" s="4641">
        <v>10</v>
      </c>
      <c r="B57" s="4641" t="str">
        <f>'kt1'!B23</f>
        <v>Thảo Mi</v>
      </c>
      <c r="C57" s="1929"/>
      <c r="D57" s="1910"/>
      <c r="E57" s="1910"/>
      <c r="F57" s="1911"/>
      <c r="G57" s="1911"/>
      <c r="H57" s="1911"/>
      <c r="I57" s="1911"/>
      <c r="J57" s="1911"/>
      <c r="K57" s="1911"/>
      <c r="L57" s="1911"/>
      <c r="M57" s="1911"/>
      <c r="N57" s="1911"/>
      <c r="O57" s="1911"/>
      <c r="P57" s="1911"/>
      <c r="Q57" s="1911"/>
      <c r="R57" s="1911"/>
      <c r="S57" s="1911"/>
      <c r="T57" s="1911"/>
      <c r="U57" s="1911"/>
      <c r="V57" s="1923"/>
      <c r="W57" s="4644"/>
    </row>
    <row r="58" spans="1:23" ht="15.75" customHeight="1">
      <c r="A58" s="4642"/>
      <c r="B58" s="4642"/>
      <c r="C58" s="1930"/>
      <c r="D58" s="1893"/>
      <c r="E58" s="1893"/>
      <c r="F58" s="1894"/>
      <c r="G58" s="1894"/>
      <c r="H58" s="1894"/>
      <c r="I58" s="1894"/>
      <c r="J58" s="1894"/>
      <c r="K58" s="1894"/>
      <c r="L58" s="1894"/>
      <c r="M58" s="1894"/>
      <c r="N58" s="1894"/>
      <c r="O58" s="1894"/>
      <c r="P58" s="1894"/>
      <c r="Q58" s="1894"/>
      <c r="R58" s="1894"/>
      <c r="S58" s="1894"/>
      <c r="T58" s="1894"/>
      <c r="U58" s="1894"/>
      <c r="V58" s="1924"/>
      <c r="W58" s="4645"/>
    </row>
    <row r="59" spans="1:23" ht="15.75" customHeight="1">
      <c r="A59" s="4642"/>
      <c r="B59" s="4642"/>
      <c r="C59" s="1930"/>
      <c r="D59" s="1893"/>
      <c r="E59" s="1893"/>
      <c r="F59" s="1894"/>
      <c r="G59" s="1894"/>
      <c r="H59" s="1894"/>
      <c r="I59" s="1894"/>
      <c r="J59" s="1894"/>
      <c r="K59" s="1894"/>
      <c r="L59" s="1894"/>
      <c r="M59" s="1894"/>
      <c r="N59" s="1894"/>
      <c r="O59" s="1894"/>
      <c r="P59" s="1894"/>
      <c r="Q59" s="1894"/>
      <c r="R59" s="1894"/>
      <c r="S59" s="1894"/>
      <c r="T59" s="1894"/>
      <c r="U59" s="1894"/>
      <c r="V59" s="1924"/>
      <c r="W59" s="4645"/>
    </row>
    <row r="60" spans="1:23" ht="15.75" customHeight="1">
      <c r="A60" s="4642"/>
      <c r="B60" s="4642"/>
      <c r="C60" s="1930"/>
      <c r="D60" s="1893"/>
      <c r="E60" s="1893"/>
      <c r="F60" s="1894"/>
      <c r="G60" s="1894"/>
      <c r="H60" s="1894"/>
      <c r="I60" s="1894"/>
      <c r="J60" s="1894"/>
      <c r="K60" s="1894"/>
      <c r="L60" s="1894"/>
      <c r="M60" s="1894"/>
      <c r="N60" s="1894"/>
      <c r="O60" s="1894"/>
      <c r="P60" s="1894"/>
      <c r="Q60" s="1894"/>
      <c r="R60" s="1894"/>
      <c r="S60" s="1894"/>
      <c r="T60" s="1894"/>
      <c r="U60" s="1894"/>
      <c r="V60" s="1924"/>
      <c r="W60" s="4645"/>
    </row>
    <row r="61" spans="1:23" ht="17.25" customHeight="1">
      <c r="A61" s="4643"/>
      <c r="B61" s="4643"/>
      <c r="C61" s="1931"/>
      <c r="D61" s="1908"/>
      <c r="E61" s="1908"/>
      <c r="F61" s="1909"/>
      <c r="G61" s="1909"/>
      <c r="H61" s="1909"/>
      <c r="I61" s="1909"/>
      <c r="J61" s="1909"/>
      <c r="K61" s="1909"/>
      <c r="L61" s="1909"/>
      <c r="M61" s="1909"/>
      <c r="N61" s="1909"/>
      <c r="O61" s="1909"/>
      <c r="P61" s="1909"/>
      <c r="Q61" s="1909"/>
      <c r="R61" s="1909"/>
      <c r="S61" s="1909"/>
      <c r="T61" s="1909"/>
      <c r="U61" s="1909"/>
      <c r="V61" s="1925"/>
      <c r="W61" s="4646"/>
    </row>
    <row r="62" spans="1:23" ht="20.25" customHeight="1">
      <c r="A62" s="4641">
        <v>11</v>
      </c>
      <c r="B62" s="4641" t="str">
        <f>'kt1'!B24</f>
        <v>Thảo Phét</v>
      </c>
      <c r="C62" s="1929"/>
      <c r="D62" s="1910"/>
      <c r="E62" s="1910"/>
      <c r="F62" s="1911"/>
      <c r="G62" s="1911"/>
      <c r="H62" s="1911"/>
      <c r="I62" s="1911"/>
      <c r="J62" s="1911"/>
      <c r="K62" s="1911"/>
      <c r="L62" s="1911"/>
      <c r="M62" s="1911"/>
      <c r="N62" s="1911"/>
      <c r="O62" s="1911"/>
      <c r="P62" s="1911"/>
      <c r="Q62" s="1911"/>
      <c r="R62" s="1911"/>
      <c r="S62" s="1911"/>
      <c r="T62" s="1911"/>
      <c r="U62" s="1911"/>
      <c r="V62" s="1923"/>
      <c r="W62" s="4644"/>
    </row>
    <row r="63" spans="1:23" ht="20.25" customHeight="1">
      <c r="A63" s="4642"/>
      <c r="B63" s="4642"/>
      <c r="C63" s="1930"/>
      <c r="D63" s="1893"/>
      <c r="E63" s="1893"/>
      <c r="F63" s="1894"/>
      <c r="G63" s="1894"/>
      <c r="H63" s="1894"/>
      <c r="I63" s="1894"/>
      <c r="J63" s="1894"/>
      <c r="K63" s="1894"/>
      <c r="L63" s="1894"/>
      <c r="M63" s="1894"/>
      <c r="N63" s="1894"/>
      <c r="O63" s="1894"/>
      <c r="P63" s="1894"/>
      <c r="Q63" s="1894"/>
      <c r="R63" s="1894"/>
      <c r="S63" s="1894"/>
      <c r="T63" s="1894"/>
      <c r="U63" s="1894"/>
      <c r="V63" s="1924"/>
      <c r="W63" s="4645"/>
    </row>
    <row r="64" spans="1:23" ht="20.25" customHeight="1">
      <c r="A64" s="4642"/>
      <c r="B64" s="4642"/>
      <c r="C64" s="1930"/>
      <c r="D64" s="1893"/>
      <c r="E64" s="1893"/>
      <c r="F64" s="1894"/>
      <c r="G64" s="1894"/>
      <c r="H64" s="1894"/>
      <c r="I64" s="1894"/>
      <c r="J64" s="1894"/>
      <c r="K64" s="1894"/>
      <c r="L64" s="1894"/>
      <c r="M64" s="1894"/>
      <c r="N64" s="1894"/>
      <c r="O64" s="1894"/>
      <c r="P64" s="1894"/>
      <c r="Q64" s="1894"/>
      <c r="R64" s="1894"/>
      <c r="S64" s="1894"/>
      <c r="T64" s="1894"/>
      <c r="U64" s="1894"/>
      <c r="V64" s="1924"/>
      <c r="W64" s="4645"/>
    </row>
    <row r="65" spans="1:23" ht="20.25" customHeight="1">
      <c r="A65" s="4642"/>
      <c r="B65" s="4642"/>
      <c r="C65" s="1930"/>
      <c r="D65" s="1893"/>
      <c r="E65" s="1893"/>
      <c r="F65" s="1894"/>
      <c r="G65" s="1894"/>
      <c r="H65" s="1894"/>
      <c r="I65" s="1894"/>
      <c r="J65" s="1894"/>
      <c r="K65" s="1894"/>
      <c r="L65" s="1894"/>
      <c r="M65" s="1894"/>
      <c r="N65" s="1894"/>
      <c r="O65" s="1894"/>
      <c r="P65" s="1894"/>
      <c r="Q65" s="1894"/>
      <c r="R65" s="1894"/>
      <c r="S65" s="1894"/>
      <c r="T65" s="1894"/>
      <c r="U65" s="1894"/>
      <c r="V65" s="1924"/>
      <c r="W65" s="4645"/>
    </row>
    <row r="66" spans="1:23" ht="20.25" customHeight="1">
      <c r="A66" s="4643"/>
      <c r="B66" s="4643"/>
      <c r="C66" s="1931"/>
      <c r="D66" s="1908"/>
      <c r="E66" s="1908"/>
      <c r="F66" s="1909"/>
      <c r="G66" s="1909"/>
      <c r="H66" s="1909"/>
      <c r="I66" s="1909"/>
      <c r="J66" s="1909"/>
      <c r="K66" s="1909"/>
      <c r="L66" s="1909"/>
      <c r="M66" s="1909"/>
      <c r="N66" s="1909"/>
      <c r="O66" s="1909"/>
      <c r="P66" s="1909"/>
      <c r="Q66" s="1909"/>
      <c r="R66" s="1909"/>
      <c r="S66" s="1909"/>
      <c r="T66" s="1909"/>
      <c r="U66" s="1909"/>
      <c r="V66" s="1925"/>
      <c r="W66" s="4646"/>
    </row>
    <row r="67" spans="1:23" ht="20.25" customHeight="1">
      <c r="A67" s="4641">
        <v>12</v>
      </c>
      <c r="B67" s="4641" t="str">
        <f>'kt1'!B25</f>
        <v>Thảo Hăm</v>
      </c>
      <c r="C67" s="1929"/>
      <c r="D67" s="1910"/>
      <c r="E67" s="1910"/>
      <c r="F67" s="1911"/>
      <c r="G67" s="1911"/>
      <c r="H67" s="1911"/>
      <c r="I67" s="1911"/>
      <c r="J67" s="1911"/>
      <c r="K67" s="1911"/>
      <c r="L67" s="1911"/>
      <c r="M67" s="1911"/>
      <c r="N67" s="1911"/>
      <c r="O67" s="1911"/>
      <c r="P67" s="1911"/>
      <c r="Q67" s="1911"/>
      <c r="R67" s="1911"/>
      <c r="S67" s="1911"/>
      <c r="T67" s="1911"/>
      <c r="U67" s="1911"/>
      <c r="V67" s="1923"/>
      <c r="W67" s="4644"/>
    </row>
    <row r="68" spans="1:23" ht="20.25" customHeight="1">
      <c r="A68" s="4642"/>
      <c r="B68" s="4642"/>
      <c r="C68" s="1930"/>
      <c r="D68" s="1893"/>
      <c r="E68" s="1893"/>
      <c r="F68" s="1894"/>
      <c r="G68" s="1894"/>
      <c r="H68" s="1894"/>
      <c r="I68" s="1894"/>
      <c r="J68" s="1894"/>
      <c r="K68" s="1894"/>
      <c r="L68" s="1894"/>
      <c r="M68" s="1894"/>
      <c r="N68" s="1894"/>
      <c r="O68" s="1894"/>
      <c r="P68" s="1894"/>
      <c r="Q68" s="1894"/>
      <c r="R68" s="1894"/>
      <c r="S68" s="1894"/>
      <c r="T68" s="1894"/>
      <c r="U68" s="1894"/>
      <c r="V68" s="1924"/>
      <c r="W68" s="4645"/>
    </row>
    <row r="69" spans="1:23" ht="20.25" customHeight="1">
      <c r="A69" s="4642"/>
      <c r="B69" s="4642"/>
      <c r="C69" s="1930"/>
      <c r="D69" s="1893"/>
      <c r="E69" s="1893"/>
      <c r="F69" s="1894"/>
      <c r="G69" s="1894"/>
      <c r="H69" s="1894"/>
      <c r="I69" s="1894"/>
      <c r="J69" s="1894"/>
      <c r="K69" s="1894"/>
      <c r="L69" s="1894"/>
      <c r="M69" s="1894"/>
      <c r="N69" s="1894"/>
      <c r="O69" s="1894"/>
      <c r="P69" s="1894"/>
      <c r="Q69" s="1894"/>
      <c r="R69" s="1894"/>
      <c r="S69" s="1894"/>
      <c r="T69" s="1894"/>
      <c r="U69" s="1894"/>
      <c r="V69" s="1924"/>
      <c r="W69" s="4645"/>
    </row>
    <row r="70" spans="1:23" ht="20.25" customHeight="1">
      <c r="A70" s="4642"/>
      <c r="B70" s="4642"/>
      <c r="C70" s="1930"/>
      <c r="D70" s="1893"/>
      <c r="E70" s="1893"/>
      <c r="F70" s="1894"/>
      <c r="G70" s="1894"/>
      <c r="H70" s="1894"/>
      <c r="I70" s="1894"/>
      <c r="J70" s="1894"/>
      <c r="K70" s="1894"/>
      <c r="L70" s="1894"/>
      <c r="M70" s="1894"/>
      <c r="N70" s="1894"/>
      <c r="O70" s="1894"/>
      <c r="P70" s="1894"/>
      <c r="Q70" s="1894"/>
      <c r="R70" s="1894"/>
      <c r="S70" s="1894"/>
      <c r="T70" s="1894"/>
      <c r="U70" s="1894"/>
      <c r="V70" s="1924"/>
      <c r="W70" s="4645"/>
    </row>
    <row r="71" spans="1:23" ht="20.25" customHeight="1">
      <c r="A71" s="4643"/>
      <c r="B71" s="4643"/>
      <c r="C71" s="1931"/>
      <c r="D71" s="1908"/>
      <c r="E71" s="1908"/>
      <c r="F71" s="1909"/>
      <c r="G71" s="1909"/>
      <c r="H71" s="1909"/>
      <c r="I71" s="1909"/>
      <c r="J71" s="1909"/>
      <c r="K71" s="1909"/>
      <c r="L71" s="1909"/>
      <c r="M71" s="1909"/>
      <c r="N71" s="1909"/>
      <c r="O71" s="1909"/>
      <c r="P71" s="1909"/>
      <c r="Q71" s="1909"/>
      <c r="R71" s="1909"/>
      <c r="S71" s="1909"/>
      <c r="T71" s="1909"/>
      <c r="U71" s="1909"/>
      <c r="V71" s="1925"/>
      <c r="W71" s="4646"/>
    </row>
    <row r="72" spans="1:23" ht="15" customHeight="1">
      <c r="A72" s="4641">
        <v>13</v>
      </c>
      <c r="B72" s="4641" t="str">
        <f>'kt1'!B26</f>
        <v>Nang Lon</v>
      </c>
      <c r="C72" s="1929"/>
      <c r="D72" s="1910"/>
      <c r="E72" s="1910"/>
      <c r="F72" s="1911"/>
      <c r="G72" s="1911"/>
      <c r="H72" s="1911"/>
      <c r="I72" s="1911"/>
      <c r="J72" s="1911"/>
      <c r="K72" s="1911"/>
      <c r="L72" s="1911"/>
      <c r="M72" s="1911"/>
      <c r="N72" s="1911"/>
      <c r="O72" s="1911"/>
      <c r="P72" s="1911"/>
      <c r="Q72" s="1911"/>
      <c r="R72" s="1911"/>
      <c r="S72" s="1911"/>
      <c r="T72" s="1911"/>
      <c r="U72" s="1911"/>
      <c r="V72" s="1923"/>
      <c r="W72" s="4644"/>
    </row>
    <row r="73" spans="1:23" ht="15" customHeight="1">
      <c r="A73" s="4642"/>
      <c r="B73" s="4642"/>
      <c r="C73" s="1930"/>
      <c r="D73" s="1893"/>
      <c r="E73" s="1893"/>
      <c r="F73" s="1894"/>
      <c r="G73" s="1894"/>
      <c r="H73" s="1894"/>
      <c r="I73" s="1894"/>
      <c r="J73" s="1894"/>
      <c r="K73" s="1894"/>
      <c r="L73" s="1894"/>
      <c r="M73" s="1894"/>
      <c r="N73" s="1894"/>
      <c r="O73" s="1894"/>
      <c r="P73" s="1894"/>
      <c r="Q73" s="1894"/>
      <c r="R73" s="1894"/>
      <c r="S73" s="1894"/>
      <c r="T73" s="1894"/>
      <c r="U73" s="1894"/>
      <c r="V73" s="1924"/>
      <c r="W73" s="4645"/>
    </row>
    <row r="74" spans="1:23" ht="15" customHeight="1">
      <c r="A74" s="4642"/>
      <c r="B74" s="4642"/>
      <c r="C74" s="1930"/>
      <c r="D74" s="1893"/>
      <c r="E74" s="1893"/>
      <c r="F74" s="1894"/>
      <c r="G74" s="1894"/>
      <c r="H74" s="1894"/>
      <c r="I74" s="1894"/>
      <c r="J74" s="1894"/>
      <c r="K74" s="1894"/>
      <c r="L74" s="1894"/>
      <c r="M74" s="1894"/>
      <c r="N74" s="1894"/>
      <c r="O74" s="1894"/>
      <c r="P74" s="1894"/>
      <c r="Q74" s="1894"/>
      <c r="R74" s="1894"/>
      <c r="S74" s="1894"/>
      <c r="T74" s="1894"/>
      <c r="U74" s="1894"/>
      <c r="V74" s="1924"/>
      <c r="W74" s="4645"/>
    </row>
    <row r="75" spans="1:23" ht="15" customHeight="1">
      <c r="A75" s="4642"/>
      <c r="B75" s="4642"/>
      <c r="C75" s="1930"/>
      <c r="D75" s="1893"/>
      <c r="E75" s="1893"/>
      <c r="F75" s="1894"/>
      <c r="G75" s="1894"/>
      <c r="H75" s="1894"/>
      <c r="I75" s="1894"/>
      <c r="J75" s="1894"/>
      <c r="K75" s="1894"/>
      <c r="L75" s="1894"/>
      <c r="M75" s="1894"/>
      <c r="N75" s="1894"/>
      <c r="O75" s="1894"/>
      <c r="P75" s="1894"/>
      <c r="Q75" s="1894"/>
      <c r="R75" s="1894"/>
      <c r="S75" s="1894"/>
      <c r="T75" s="1894"/>
      <c r="U75" s="1894"/>
      <c r="V75" s="1924"/>
      <c r="W75" s="4645"/>
    </row>
    <row r="76" spans="1:23" ht="15" customHeight="1">
      <c r="A76" s="4643"/>
      <c r="B76" s="4643"/>
      <c r="C76" s="1931"/>
      <c r="D76" s="1908"/>
      <c r="E76" s="1908"/>
      <c r="F76" s="1909"/>
      <c r="G76" s="1909"/>
      <c r="H76" s="1909"/>
      <c r="I76" s="1909"/>
      <c r="J76" s="1909"/>
      <c r="K76" s="1909"/>
      <c r="L76" s="1909"/>
      <c r="M76" s="1909"/>
      <c r="N76" s="1909"/>
      <c r="O76" s="1909"/>
      <c r="P76" s="1909"/>
      <c r="Q76" s="1909"/>
      <c r="R76" s="1909"/>
      <c r="S76" s="1909"/>
      <c r="T76" s="1909"/>
      <c r="U76" s="1909"/>
      <c r="V76" s="1925"/>
      <c r="W76" s="4646"/>
    </row>
    <row r="77" spans="1:23" ht="15" customHeight="1">
      <c r="A77" s="4641">
        <v>14</v>
      </c>
      <c r="B77" s="4641" t="str">
        <f>'kt1'!B27</f>
        <v>Thảo Phết</v>
      </c>
      <c r="C77" s="1929"/>
      <c r="D77" s="1910"/>
      <c r="E77" s="1910"/>
      <c r="F77" s="1911"/>
      <c r="G77" s="1911"/>
      <c r="H77" s="1911"/>
      <c r="I77" s="1911"/>
      <c r="J77" s="1911"/>
      <c r="K77" s="1911"/>
      <c r="L77" s="1911"/>
      <c r="M77" s="1911"/>
      <c r="N77" s="1911"/>
      <c r="O77" s="1911"/>
      <c r="P77" s="1911"/>
      <c r="Q77" s="1911"/>
      <c r="R77" s="1911"/>
      <c r="S77" s="1911"/>
      <c r="T77" s="1911"/>
      <c r="U77" s="1911"/>
      <c r="V77" s="1923"/>
      <c r="W77" s="4644"/>
    </row>
    <row r="78" spans="1:23" ht="15" customHeight="1">
      <c r="A78" s="4642"/>
      <c r="B78" s="4642"/>
      <c r="C78" s="1930"/>
      <c r="D78" s="1893"/>
      <c r="E78" s="1893"/>
      <c r="F78" s="1894"/>
      <c r="G78" s="1894"/>
      <c r="H78" s="1894"/>
      <c r="I78" s="1894"/>
      <c r="J78" s="1894"/>
      <c r="K78" s="1894"/>
      <c r="L78" s="1894"/>
      <c r="M78" s="1894"/>
      <c r="N78" s="1894"/>
      <c r="O78" s="1894"/>
      <c r="P78" s="1894"/>
      <c r="Q78" s="1894"/>
      <c r="R78" s="1894"/>
      <c r="S78" s="1894"/>
      <c r="T78" s="1894"/>
      <c r="U78" s="1894"/>
      <c r="V78" s="1924"/>
      <c r="W78" s="4645"/>
    </row>
    <row r="79" spans="1:23" ht="15" customHeight="1">
      <c r="A79" s="4642"/>
      <c r="B79" s="4642"/>
      <c r="C79" s="1930"/>
      <c r="D79" s="1893"/>
      <c r="E79" s="1893"/>
      <c r="F79" s="1894"/>
      <c r="G79" s="1894"/>
      <c r="H79" s="1894"/>
      <c r="I79" s="1894"/>
      <c r="J79" s="1894"/>
      <c r="K79" s="1894"/>
      <c r="L79" s="1894"/>
      <c r="M79" s="1894"/>
      <c r="N79" s="1894"/>
      <c r="O79" s="1894"/>
      <c r="P79" s="1894"/>
      <c r="Q79" s="1894"/>
      <c r="R79" s="1894"/>
      <c r="S79" s="1894"/>
      <c r="T79" s="1894"/>
      <c r="U79" s="1894"/>
      <c r="V79" s="1924"/>
      <c r="W79" s="4645"/>
    </row>
    <row r="80" spans="1:23" ht="15" customHeight="1">
      <c r="A80" s="4642"/>
      <c r="B80" s="4642"/>
      <c r="C80" s="1930"/>
      <c r="D80" s="1893"/>
      <c r="E80" s="1893"/>
      <c r="F80" s="1894"/>
      <c r="G80" s="1894"/>
      <c r="H80" s="1894"/>
      <c r="I80" s="1894"/>
      <c r="J80" s="1894"/>
      <c r="K80" s="1894"/>
      <c r="L80" s="1894"/>
      <c r="M80" s="1894"/>
      <c r="N80" s="1894"/>
      <c r="O80" s="1894"/>
      <c r="P80" s="1894"/>
      <c r="Q80" s="1894"/>
      <c r="R80" s="1894"/>
      <c r="S80" s="1894"/>
      <c r="T80" s="1894"/>
      <c r="U80" s="1894"/>
      <c r="V80" s="1924"/>
      <c r="W80" s="4645"/>
    </row>
    <row r="81" spans="1:23" ht="15" customHeight="1">
      <c r="A81" s="4643"/>
      <c r="B81" s="4643"/>
      <c r="C81" s="1931"/>
      <c r="D81" s="1908"/>
      <c r="E81" s="1908"/>
      <c r="F81" s="1909"/>
      <c r="G81" s="1909"/>
      <c r="H81" s="1909"/>
      <c r="I81" s="1909"/>
      <c r="J81" s="1909"/>
      <c r="K81" s="1909"/>
      <c r="L81" s="1909"/>
      <c r="M81" s="1909"/>
      <c r="N81" s="1909"/>
      <c r="O81" s="1909"/>
      <c r="P81" s="1909"/>
      <c r="Q81" s="1909"/>
      <c r="R81" s="1909"/>
      <c r="S81" s="1909"/>
      <c r="T81" s="1909"/>
      <c r="U81" s="1909"/>
      <c r="V81" s="1925"/>
      <c r="W81" s="4646"/>
    </row>
    <row r="82" spans="1:23" ht="15" customHeight="1">
      <c r="A82" s="4641">
        <v>15</v>
      </c>
      <c r="B82" s="4641" t="str">
        <f>'kt1'!B28</f>
        <v>Vĩ Lay</v>
      </c>
      <c r="C82" s="1929"/>
      <c r="D82" s="1910"/>
      <c r="E82" s="1910"/>
      <c r="F82" s="1911"/>
      <c r="G82" s="1911"/>
      <c r="H82" s="1911"/>
      <c r="I82" s="1911"/>
      <c r="J82" s="1911"/>
      <c r="K82" s="1911"/>
      <c r="L82" s="1911"/>
      <c r="M82" s="1911"/>
      <c r="N82" s="1911"/>
      <c r="O82" s="1911"/>
      <c r="P82" s="1911"/>
      <c r="Q82" s="1911"/>
      <c r="R82" s="1911"/>
      <c r="S82" s="1911"/>
      <c r="T82" s="1911"/>
      <c r="U82" s="1911"/>
      <c r="V82" s="1923"/>
      <c r="W82" s="4644"/>
    </row>
    <row r="83" spans="1:23" ht="15" customHeight="1">
      <c r="A83" s="4642"/>
      <c r="B83" s="4642"/>
      <c r="C83" s="1930"/>
      <c r="D83" s="1893"/>
      <c r="E83" s="1893"/>
      <c r="F83" s="1894"/>
      <c r="G83" s="1894"/>
      <c r="H83" s="1894"/>
      <c r="I83" s="1894"/>
      <c r="J83" s="1894"/>
      <c r="K83" s="1894"/>
      <c r="L83" s="1894"/>
      <c r="M83" s="1894"/>
      <c r="N83" s="1894"/>
      <c r="O83" s="1894"/>
      <c r="P83" s="1894"/>
      <c r="Q83" s="1894"/>
      <c r="R83" s="1894"/>
      <c r="S83" s="1894"/>
      <c r="T83" s="1894"/>
      <c r="U83" s="1894"/>
      <c r="V83" s="1924"/>
      <c r="W83" s="4645"/>
    </row>
    <row r="84" spans="1:23" ht="15" customHeight="1">
      <c r="A84" s="4642"/>
      <c r="B84" s="4642"/>
      <c r="C84" s="1930"/>
      <c r="D84" s="1893"/>
      <c r="E84" s="1893"/>
      <c r="F84" s="1894"/>
      <c r="G84" s="1894"/>
      <c r="H84" s="1894"/>
      <c r="I84" s="1894"/>
      <c r="J84" s="1894"/>
      <c r="K84" s="1894"/>
      <c r="L84" s="1894"/>
      <c r="M84" s="1894"/>
      <c r="N84" s="1894"/>
      <c r="O84" s="1894"/>
      <c r="P84" s="1894"/>
      <c r="Q84" s="1894"/>
      <c r="R84" s="1894"/>
      <c r="S84" s="1894"/>
      <c r="T84" s="1894"/>
      <c r="U84" s="1894"/>
      <c r="V84" s="1924"/>
      <c r="W84" s="4645"/>
    </row>
    <row r="85" spans="1:23" ht="15" customHeight="1">
      <c r="A85" s="4642"/>
      <c r="B85" s="4642"/>
      <c r="C85" s="1930"/>
      <c r="D85" s="1893"/>
      <c r="E85" s="1893"/>
      <c r="F85" s="1894"/>
      <c r="G85" s="1894"/>
      <c r="H85" s="1894"/>
      <c r="I85" s="1894"/>
      <c r="J85" s="1894"/>
      <c r="K85" s="1894"/>
      <c r="L85" s="1894"/>
      <c r="M85" s="1894"/>
      <c r="N85" s="1894"/>
      <c r="O85" s="1894"/>
      <c r="P85" s="1894"/>
      <c r="Q85" s="1894"/>
      <c r="R85" s="1894"/>
      <c r="S85" s="1894"/>
      <c r="T85" s="1894"/>
      <c r="U85" s="1894"/>
      <c r="V85" s="1924"/>
      <c r="W85" s="4645"/>
    </row>
    <row r="86" spans="1:23" ht="15" customHeight="1">
      <c r="A86" s="4643"/>
      <c r="B86" s="4643"/>
      <c r="C86" s="1931"/>
      <c r="D86" s="1908"/>
      <c r="E86" s="1908"/>
      <c r="F86" s="1909"/>
      <c r="G86" s="1909"/>
      <c r="H86" s="1909"/>
      <c r="I86" s="1909"/>
      <c r="J86" s="1909"/>
      <c r="K86" s="1909"/>
      <c r="L86" s="1909"/>
      <c r="M86" s="1909"/>
      <c r="N86" s="1909"/>
      <c r="O86" s="1909"/>
      <c r="P86" s="1909"/>
      <c r="Q86" s="1909"/>
      <c r="R86" s="1909"/>
      <c r="S86" s="1909"/>
      <c r="T86" s="1909"/>
      <c r="U86" s="1909"/>
      <c r="V86" s="1925"/>
      <c r="W86" s="4646"/>
    </row>
    <row r="87" spans="1:23" ht="15" customHeight="1">
      <c r="A87" s="4641">
        <v>16</v>
      </c>
      <c r="B87" s="4641" t="str">
        <f>'kt1'!B29</f>
        <v>Pha Xúc</v>
      </c>
      <c r="C87" s="1929"/>
      <c r="D87" s="1910"/>
      <c r="E87" s="1910"/>
      <c r="F87" s="1911"/>
      <c r="G87" s="1911"/>
      <c r="H87" s="1911"/>
      <c r="I87" s="1911"/>
      <c r="J87" s="1911"/>
      <c r="K87" s="1911"/>
      <c r="L87" s="1911"/>
      <c r="M87" s="1911"/>
      <c r="N87" s="1911"/>
      <c r="O87" s="1911"/>
      <c r="P87" s="1911"/>
      <c r="Q87" s="1911"/>
      <c r="R87" s="1911"/>
      <c r="S87" s="1911"/>
      <c r="T87" s="1911"/>
      <c r="U87" s="1911"/>
      <c r="V87" s="1923"/>
      <c r="W87" s="4644"/>
    </row>
    <row r="88" spans="1:23" ht="15" customHeight="1">
      <c r="A88" s="4642"/>
      <c r="B88" s="4642"/>
      <c r="C88" s="1930"/>
      <c r="D88" s="1893"/>
      <c r="E88" s="1893"/>
      <c r="F88" s="1894"/>
      <c r="G88" s="1894"/>
      <c r="H88" s="1894"/>
      <c r="I88" s="1894"/>
      <c r="J88" s="1894"/>
      <c r="K88" s="1894"/>
      <c r="L88" s="1894"/>
      <c r="M88" s="1894"/>
      <c r="N88" s="1894"/>
      <c r="O88" s="1894"/>
      <c r="P88" s="1894"/>
      <c r="Q88" s="1894"/>
      <c r="R88" s="1894"/>
      <c r="S88" s="1894"/>
      <c r="T88" s="1894"/>
      <c r="U88" s="1894"/>
      <c r="V88" s="1924"/>
      <c r="W88" s="4645"/>
    </row>
    <row r="89" spans="1:23" ht="15" customHeight="1">
      <c r="A89" s="4642"/>
      <c r="B89" s="4642"/>
      <c r="C89" s="1930"/>
      <c r="D89" s="1893"/>
      <c r="E89" s="1893"/>
      <c r="F89" s="1894"/>
      <c r="G89" s="1894"/>
      <c r="H89" s="1894"/>
      <c r="I89" s="1894"/>
      <c r="J89" s="1894"/>
      <c r="K89" s="1894"/>
      <c r="L89" s="1894"/>
      <c r="M89" s="1894"/>
      <c r="N89" s="1894"/>
      <c r="O89" s="1894"/>
      <c r="P89" s="1894"/>
      <c r="Q89" s="1894"/>
      <c r="R89" s="1894"/>
      <c r="S89" s="1894"/>
      <c r="T89" s="1894"/>
      <c r="U89" s="1894"/>
      <c r="V89" s="1924"/>
      <c r="W89" s="4645"/>
    </row>
    <row r="90" spans="1:23" ht="15" customHeight="1">
      <c r="A90" s="4642"/>
      <c r="B90" s="4642"/>
      <c r="C90" s="1930"/>
      <c r="D90" s="1893"/>
      <c r="E90" s="1893"/>
      <c r="F90" s="1894"/>
      <c r="G90" s="1894"/>
      <c r="H90" s="1894"/>
      <c r="I90" s="1894"/>
      <c r="J90" s="1894"/>
      <c r="K90" s="1894"/>
      <c r="L90" s="1894"/>
      <c r="M90" s="1894"/>
      <c r="N90" s="1894"/>
      <c r="O90" s="1894"/>
      <c r="P90" s="1894"/>
      <c r="Q90" s="1894"/>
      <c r="R90" s="1894"/>
      <c r="S90" s="1894"/>
      <c r="T90" s="1894"/>
      <c r="U90" s="1894"/>
      <c r="V90" s="1924"/>
      <c r="W90" s="4645"/>
    </row>
    <row r="91" spans="1:23" ht="15" customHeight="1">
      <c r="A91" s="4643"/>
      <c r="B91" s="4643"/>
      <c r="C91" s="1931"/>
      <c r="D91" s="1908"/>
      <c r="E91" s="1908"/>
      <c r="F91" s="1909"/>
      <c r="G91" s="1909"/>
      <c r="H91" s="1909"/>
      <c r="I91" s="1909"/>
      <c r="J91" s="1909"/>
      <c r="K91" s="1909"/>
      <c r="L91" s="1909"/>
      <c r="M91" s="1909"/>
      <c r="N91" s="1909"/>
      <c r="O91" s="1909"/>
      <c r="P91" s="1909"/>
      <c r="Q91" s="1909"/>
      <c r="R91" s="1909"/>
      <c r="S91" s="1909"/>
      <c r="T91" s="1909"/>
      <c r="U91" s="1909"/>
      <c r="V91" s="1925"/>
      <c r="W91" s="4646"/>
    </row>
    <row r="92" spans="1:23" ht="15" customHeight="1">
      <c r="A92" s="4641">
        <v>17</v>
      </c>
      <c r="B92" s="4641" t="str">
        <f>'kt1'!B30</f>
        <v>Nàng Đao</v>
      </c>
      <c r="C92" s="1929"/>
      <c r="D92" s="1910"/>
      <c r="E92" s="1910"/>
      <c r="F92" s="1911"/>
      <c r="G92" s="1911"/>
      <c r="H92" s="1911"/>
      <c r="I92" s="1911"/>
      <c r="J92" s="1911"/>
      <c r="K92" s="1911"/>
      <c r="L92" s="1911"/>
      <c r="M92" s="1911"/>
      <c r="N92" s="1911"/>
      <c r="O92" s="1911"/>
      <c r="P92" s="1911"/>
      <c r="Q92" s="1911"/>
      <c r="R92" s="1911"/>
      <c r="S92" s="1911"/>
      <c r="T92" s="1911"/>
      <c r="U92" s="1911"/>
      <c r="V92" s="1923"/>
      <c r="W92" s="4644"/>
    </row>
    <row r="93" spans="1:23" ht="15" customHeight="1">
      <c r="A93" s="4642"/>
      <c r="B93" s="4642"/>
      <c r="C93" s="1930"/>
      <c r="D93" s="1893"/>
      <c r="E93" s="1893"/>
      <c r="F93" s="1894"/>
      <c r="G93" s="1894"/>
      <c r="H93" s="1894"/>
      <c r="I93" s="1894"/>
      <c r="J93" s="1894"/>
      <c r="K93" s="1894"/>
      <c r="L93" s="1894"/>
      <c r="M93" s="1894"/>
      <c r="N93" s="1894"/>
      <c r="O93" s="1894"/>
      <c r="P93" s="1894"/>
      <c r="Q93" s="1894"/>
      <c r="R93" s="1894"/>
      <c r="S93" s="1894"/>
      <c r="T93" s="1894"/>
      <c r="U93" s="1894"/>
      <c r="V93" s="1924"/>
      <c r="W93" s="4645"/>
    </row>
    <row r="94" spans="1:23" ht="15" customHeight="1">
      <c r="A94" s="4642"/>
      <c r="B94" s="4642"/>
      <c r="C94" s="1930"/>
      <c r="D94" s="1893"/>
      <c r="E94" s="1893"/>
      <c r="F94" s="1894"/>
      <c r="G94" s="1894"/>
      <c r="H94" s="1894"/>
      <c r="I94" s="1894"/>
      <c r="J94" s="1894"/>
      <c r="K94" s="1894"/>
      <c r="L94" s="1894"/>
      <c r="M94" s="1894"/>
      <c r="N94" s="1894"/>
      <c r="O94" s="1894"/>
      <c r="P94" s="1894"/>
      <c r="Q94" s="1894"/>
      <c r="R94" s="1894"/>
      <c r="S94" s="1894"/>
      <c r="T94" s="1894"/>
      <c r="U94" s="1894"/>
      <c r="V94" s="1924"/>
      <c r="W94" s="4645"/>
    </row>
    <row r="95" spans="1:23" ht="15" customHeight="1">
      <c r="A95" s="4642"/>
      <c r="B95" s="4642"/>
      <c r="C95" s="1930"/>
      <c r="D95" s="1893"/>
      <c r="E95" s="1893"/>
      <c r="F95" s="1894"/>
      <c r="G95" s="1894"/>
      <c r="H95" s="1894"/>
      <c r="I95" s="1894"/>
      <c r="J95" s="1894"/>
      <c r="K95" s="1894"/>
      <c r="L95" s="1894"/>
      <c r="M95" s="1894"/>
      <c r="N95" s="1894"/>
      <c r="O95" s="1894"/>
      <c r="P95" s="1894"/>
      <c r="Q95" s="1894"/>
      <c r="R95" s="1894"/>
      <c r="S95" s="1894"/>
      <c r="T95" s="1894"/>
      <c r="U95" s="1894"/>
      <c r="V95" s="1924"/>
      <c r="W95" s="4645"/>
    </row>
    <row r="96" spans="1:23" ht="15" customHeight="1">
      <c r="A96" s="4643"/>
      <c r="B96" s="4643"/>
      <c r="C96" s="1931"/>
      <c r="D96" s="1908"/>
      <c r="E96" s="1908"/>
      <c r="F96" s="1909"/>
      <c r="G96" s="1909"/>
      <c r="H96" s="1909"/>
      <c r="I96" s="1909"/>
      <c r="J96" s="1909"/>
      <c r="K96" s="1909"/>
      <c r="L96" s="1909"/>
      <c r="M96" s="1909"/>
      <c r="N96" s="1909"/>
      <c r="O96" s="1909"/>
      <c r="P96" s="1909"/>
      <c r="Q96" s="1909"/>
      <c r="R96" s="1909"/>
      <c r="S96" s="1909"/>
      <c r="T96" s="1909"/>
      <c r="U96" s="1909"/>
      <c r="V96" s="1925"/>
      <c r="W96" s="4646"/>
    </row>
    <row r="97" spans="1:23" ht="18.75" customHeight="1">
      <c r="A97" s="4641">
        <v>18</v>
      </c>
      <c r="B97" s="4641" t="str">
        <f>'kt1'!B31</f>
        <v>Nàng Kiên</v>
      </c>
      <c r="C97" s="1929"/>
      <c r="D97" s="1910"/>
      <c r="E97" s="1910"/>
      <c r="F97" s="1911"/>
      <c r="G97" s="1911"/>
      <c r="H97" s="1911"/>
      <c r="I97" s="1911"/>
      <c r="J97" s="1911"/>
      <c r="K97" s="1911"/>
      <c r="L97" s="1911"/>
      <c r="M97" s="1911"/>
      <c r="N97" s="1911"/>
      <c r="O97" s="1911"/>
      <c r="P97" s="1911"/>
      <c r="Q97" s="1911"/>
      <c r="R97" s="1911"/>
      <c r="S97" s="1911"/>
      <c r="T97" s="1911"/>
      <c r="U97" s="1911"/>
      <c r="V97" s="1923"/>
      <c r="W97" s="4644"/>
    </row>
    <row r="98" spans="1:23" ht="18.75" customHeight="1">
      <c r="A98" s="4642"/>
      <c r="B98" s="4642"/>
      <c r="C98" s="1930"/>
      <c r="D98" s="1893"/>
      <c r="E98" s="1893"/>
      <c r="F98" s="1894"/>
      <c r="G98" s="1894"/>
      <c r="H98" s="1894"/>
      <c r="I98" s="1894"/>
      <c r="J98" s="1894"/>
      <c r="K98" s="1894"/>
      <c r="L98" s="1894"/>
      <c r="M98" s="1894"/>
      <c r="N98" s="1894"/>
      <c r="O98" s="1894"/>
      <c r="P98" s="1894"/>
      <c r="Q98" s="1894"/>
      <c r="R98" s="1894"/>
      <c r="S98" s="1894"/>
      <c r="T98" s="1894"/>
      <c r="U98" s="1894"/>
      <c r="V98" s="1924"/>
      <c r="W98" s="4645"/>
    </row>
    <row r="99" spans="1:23" ht="18.75" customHeight="1">
      <c r="A99" s="4642"/>
      <c r="B99" s="4642"/>
      <c r="C99" s="1930"/>
      <c r="D99" s="1893"/>
      <c r="E99" s="1893"/>
      <c r="F99" s="1894"/>
      <c r="G99" s="1894"/>
      <c r="H99" s="1894"/>
      <c r="I99" s="1894"/>
      <c r="J99" s="1894"/>
      <c r="K99" s="1894"/>
      <c r="L99" s="1894"/>
      <c r="M99" s="1894"/>
      <c r="N99" s="1894"/>
      <c r="O99" s="1894"/>
      <c r="P99" s="1894"/>
      <c r="Q99" s="1894"/>
      <c r="R99" s="1894"/>
      <c r="S99" s="1894"/>
      <c r="T99" s="1894"/>
      <c r="U99" s="1894"/>
      <c r="V99" s="1924"/>
      <c r="W99" s="4645"/>
    </row>
    <row r="100" spans="1:23" ht="18.75" customHeight="1">
      <c r="A100" s="4642"/>
      <c r="B100" s="4642"/>
      <c r="C100" s="1930"/>
      <c r="D100" s="1893"/>
      <c r="E100" s="1893"/>
      <c r="F100" s="1894"/>
      <c r="G100" s="1894"/>
      <c r="H100" s="1894"/>
      <c r="I100" s="1894"/>
      <c r="J100" s="1894"/>
      <c r="K100" s="1894"/>
      <c r="L100" s="1894"/>
      <c r="M100" s="1894"/>
      <c r="N100" s="1894"/>
      <c r="O100" s="1894"/>
      <c r="P100" s="1894"/>
      <c r="Q100" s="1894"/>
      <c r="R100" s="1894"/>
      <c r="S100" s="1894"/>
      <c r="T100" s="1894"/>
      <c r="U100" s="1894"/>
      <c r="V100" s="1924"/>
      <c r="W100" s="4645"/>
    </row>
    <row r="101" spans="1:23" ht="18.75" customHeight="1">
      <c r="A101" s="4643"/>
      <c r="B101" s="4643"/>
      <c r="C101" s="1931"/>
      <c r="D101" s="1908"/>
      <c r="E101" s="1908"/>
      <c r="F101" s="1909"/>
      <c r="G101" s="1909"/>
      <c r="H101" s="1909"/>
      <c r="I101" s="1909"/>
      <c r="J101" s="1909"/>
      <c r="K101" s="1909"/>
      <c r="L101" s="1909"/>
      <c r="M101" s="1909"/>
      <c r="N101" s="1909"/>
      <c r="O101" s="1909"/>
      <c r="P101" s="1909"/>
      <c r="Q101" s="1909"/>
      <c r="R101" s="1909"/>
      <c r="S101" s="1909"/>
      <c r="T101" s="1909"/>
      <c r="U101" s="1909"/>
      <c r="V101" s="1925"/>
      <c r="W101" s="4646"/>
    </row>
    <row r="102" spans="1:23" ht="18.75" customHeight="1">
      <c r="A102" s="4641">
        <v>19</v>
      </c>
      <c r="B102" s="4641" t="str">
        <f>'kt1'!B32</f>
        <v>Nàng Túc 2</v>
      </c>
      <c r="C102" s="1929"/>
      <c r="D102" s="1910"/>
      <c r="E102" s="1910"/>
      <c r="F102" s="1911"/>
      <c r="G102" s="1911"/>
      <c r="H102" s="1911"/>
      <c r="I102" s="1911"/>
      <c r="J102" s="1911"/>
      <c r="K102" s="1911"/>
      <c r="L102" s="1911"/>
      <c r="M102" s="1911"/>
      <c r="N102" s="1911"/>
      <c r="O102" s="1911"/>
      <c r="P102" s="1911"/>
      <c r="Q102" s="1911"/>
      <c r="R102" s="1911"/>
      <c r="S102" s="1911"/>
      <c r="T102" s="1911"/>
      <c r="U102" s="1911"/>
      <c r="V102" s="1923"/>
      <c r="W102" s="4644"/>
    </row>
    <row r="103" spans="1:23" ht="18.75" customHeight="1">
      <c r="A103" s="4642"/>
      <c r="B103" s="4642"/>
      <c r="C103" s="1930"/>
      <c r="D103" s="1893"/>
      <c r="E103" s="1893"/>
      <c r="F103" s="1894"/>
      <c r="G103" s="1894"/>
      <c r="H103" s="1894"/>
      <c r="I103" s="1894"/>
      <c r="J103" s="1894"/>
      <c r="K103" s="1894"/>
      <c r="L103" s="1894"/>
      <c r="M103" s="1894"/>
      <c r="N103" s="1894"/>
      <c r="O103" s="1894"/>
      <c r="P103" s="1894"/>
      <c r="Q103" s="1894"/>
      <c r="R103" s="1894"/>
      <c r="S103" s="1894"/>
      <c r="T103" s="1894"/>
      <c r="U103" s="1894"/>
      <c r="V103" s="1924"/>
      <c r="W103" s="4645"/>
    </row>
    <row r="104" spans="1:23" ht="18.75" customHeight="1">
      <c r="A104" s="4642"/>
      <c r="B104" s="4642"/>
      <c r="C104" s="1930"/>
      <c r="D104" s="1893"/>
      <c r="E104" s="1893"/>
      <c r="F104" s="1894"/>
      <c r="G104" s="1894"/>
      <c r="H104" s="1894"/>
      <c r="I104" s="1894"/>
      <c r="J104" s="1894"/>
      <c r="K104" s="1894"/>
      <c r="L104" s="1894"/>
      <c r="M104" s="1894"/>
      <c r="N104" s="1894"/>
      <c r="O104" s="1894"/>
      <c r="P104" s="1894"/>
      <c r="Q104" s="1894"/>
      <c r="R104" s="1894"/>
      <c r="S104" s="1894"/>
      <c r="T104" s="1894"/>
      <c r="U104" s="1894"/>
      <c r="V104" s="1924"/>
      <c r="W104" s="4645"/>
    </row>
    <row r="105" spans="1:23" ht="18.75" customHeight="1">
      <c r="A105" s="4642"/>
      <c r="B105" s="4642"/>
      <c r="C105" s="1930"/>
      <c r="D105" s="1893"/>
      <c r="E105" s="1893"/>
      <c r="F105" s="1894"/>
      <c r="G105" s="1894"/>
      <c r="H105" s="1894"/>
      <c r="I105" s="1894"/>
      <c r="J105" s="1894"/>
      <c r="K105" s="1894"/>
      <c r="L105" s="1894"/>
      <c r="M105" s="1894"/>
      <c r="N105" s="1894"/>
      <c r="O105" s="1894"/>
      <c r="P105" s="1894"/>
      <c r="Q105" s="1894"/>
      <c r="R105" s="1894"/>
      <c r="S105" s="1894"/>
      <c r="T105" s="1894"/>
      <c r="U105" s="1894"/>
      <c r="V105" s="1924"/>
      <c r="W105" s="4645"/>
    </row>
    <row r="106" spans="1:23" ht="18.75" customHeight="1">
      <c r="A106" s="4643"/>
      <c r="B106" s="4643"/>
      <c r="C106" s="1931"/>
      <c r="D106" s="1908"/>
      <c r="E106" s="1908"/>
      <c r="F106" s="1909"/>
      <c r="G106" s="1909"/>
      <c r="H106" s="1909"/>
      <c r="I106" s="1909"/>
      <c r="J106" s="1909"/>
      <c r="K106" s="1909"/>
      <c r="L106" s="1909"/>
      <c r="M106" s="1909"/>
      <c r="N106" s="1909"/>
      <c r="O106" s="1909"/>
      <c r="P106" s="1909"/>
      <c r="Q106" s="1909"/>
      <c r="R106" s="1909"/>
      <c r="S106" s="1909"/>
      <c r="T106" s="1909"/>
      <c r="U106" s="1909"/>
      <c r="V106" s="1925"/>
      <c r="W106" s="4646"/>
    </row>
    <row r="107" spans="1:23" ht="18.75" customHeight="1">
      <c r="A107" s="4641">
        <v>20</v>
      </c>
      <c r="B107" s="4641" t="str">
        <f>'kt1'!B33</f>
        <v>Nàng Phon</v>
      </c>
      <c r="C107" s="1929"/>
      <c r="D107" s="1910"/>
      <c r="E107" s="1910"/>
      <c r="F107" s="1911"/>
      <c r="G107" s="1911"/>
      <c r="H107" s="1911"/>
      <c r="I107" s="1911"/>
      <c r="J107" s="1911"/>
      <c r="K107" s="1911"/>
      <c r="L107" s="1911"/>
      <c r="M107" s="1911"/>
      <c r="N107" s="1911"/>
      <c r="O107" s="1911"/>
      <c r="P107" s="1911"/>
      <c r="Q107" s="1911"/>
      <c r="R107" s="1911"/>
      <c r="S107" s="1911"/>
      <c r="T107" s="1911"/>
      <c r="U107" s="1911"/>
      <c r="V107" s="1923"/>
      <c r="W107" s="4644"/>
    </row>
    <row r="108" spans="1:23" ht="18.75" customHeight="1">
      <c r="A108" s="4642"/>
      <c r="B108" s="4642"/>
      <c r="C108" s="1930"/>
      <c r="D108" s="1893"/>
      <c r="E108" s="1893"/>
      <c r="F108" s="1894"/>
      <c r="G108" s="1894"/>
      <c r="H108" s="1894"/>
      <c r="I108" s="1894"/>
      <c r="J108" s="1894"/>
      <c r="K108" s="1894"/>
      <c r="L108" s="1894"/>
      <c r="M108" s="1894"/>
      <c r="N108" s="1894"/>
      <c r="O108" s="1894"/>
      <c r="P108" s="1894"/>
      <c r="Q108" s="1894"/>
      <c r="R108" s="1894"/>
      <c r="S108" s="1894"/>
      <c r="T108" s="1894"/>
      <c r="U108" s="1894"/>
      <c r="V108" s="1924"/>
      <c r="W108" s="4645"/>
    </row>
    <row r="109" spans="1:23" ht="18.75" customHeight="1">
      <c r="A109" s="4642"/>
      <c r="B109" s="4642"/>
      <c r="C109" s="1930"/>
      <c r="D109" s="1893"/>
      <c r="E109" s="1893"/>
      <c r="F109" s="1894"/>
      <c r="G109" s="1894"/>
      <c r="H109" s="1894"/>
      <c r="I109" s="1894"/>
      <c r="J109" s="1894"/>
      <c r="K109" s="1894"/>
      <c r="L109" s="1894"/>
      <c r="M109" s="1894"/>
      <c r="N109" s="1894"/>
      <c r="O109" s="1894"/>
      <c r="P109" s="1894"/>
      <c r="Q109" s="1894"/>
      <c r="R109" s="1894"/>
      <c r="S109" s="1894"/>
      <c r="T109" s="1894"/>
      <c r="U109" s="1894"/>
      <c r="V109" s="1924"/>
      <c r="W109" s="4645"/>
    </row>
    <row r="110" spans="1:23" ht="18.75" customHeight="1">
      <c r="A110" s="4642"/>
      <c r="B110" s="4642"/>
      <c r="C110" s="1930"/>
      <c r="D110" s="1893"/>
      <c r="E110" s="1893"/>
      <c r="F110" s="1894"/>
      <c r="G110" s="1894"/>
      <c r="H110" s="1894"/>
      <c r="I110" s="1894"/>
      <c r="J110" s="1894"/>
      <c r="K110" s="1894"/>
      <c r="L110" s="1894"/>
      <c r="M110" s="1894"/>
      <c r="N110" s="1894"/>
      <c r="O110" s="1894"/>
      <c r="P110" s="1894"/>
      <c r="Q110" s="1894"/>
      <c r="R110" s="1894"/>
      <c r="S110" s="1894"/>
      <c r="T110" s="1894"/>
      <c r="U110" s="1894"/>
      <c r="V110" s="1924"/>
      <c r="W110" s="4645"/>
    </row>
    <row r="111" spans="1:23" ht="18.75" customHeight="1">
      <c r="A111" s="4643"/>
      <c r="B111" s="4643"/>
      <c r="C111" s="1931"/>
      <c r="D111" s="1908"/>
      <c r="E111" s="1908"/>
      <c r="F111" s="1909"/>
      <c r="G111" s="1909"/>
      <c r="H111" s="1909"/>
      <c r="I111" s="1909"/>
      <c r="J111" s="1909"/>
      <c r="K111" s="1909"/>
      <c r="L111" s="1909"/>
      <c r="M111" s="1909"/>
      <c r="N111" s="1909"/>
      <c r="O111" s="1909"/>
      <c r="P111" s="1909"/>
      <c r="Q111" s="1909"/>
      <c r="R111" s="1909"/>
      <c r="S111" s="1909"/>
      <c r="T111" s="1909"/>
      <c r="U111" s="1909"/>
      <c r="V111" s="1925"/>
      <c r="W111" s="4646"/>
    </row>
    <row r="112" spans="1:23" ht="18.75" customHeight="1">
      <c r="A112" s="4641">
        <v>21</v>
      </c>
      <c r="B112" s="4641" t="str">
        <f>'kt1'!B34</f>
        <v>Thảo Chòi</v>
      </c>
      <c r="C112" s="1929"/>
      <c r="D112" s="1910"/>
      <c r="E112" s="1910"/>
      <c r="F112" s="1911"/>
      <c r="G112" s="1911"/>
      <c r="H112" s="1911"/>
      <c r="I112" s="1911"/>
      <c r="J112" s="1911"/>
      <c r="K112" s="1911"/>
      <c r="L112" s="1911"/>
      <c r="M112" s="1911"/>
      <c r="N112" s="1911"/>
      <c r="O112" s="1911"/>
      <c r="P112" s="1911"/>
      <c r="Q112" s="1911"/>
      <c r="R112" s="1911"/>
      <c r="S112" s="1911"/>
      <c r="T112" s="1911"/>
      <c r="U112" s="1911"/>
      <c r="V112" s="1926"/>
      <c r="W112" s="4644"/>
    </row>
    <row r="113" spans="1:23" ht="18.75" customHeight="1">
      <c r="A113" s="4642"/>
      <c r="B113" s="4642"/>
      <c r="C113" s="1930"/>
      <c r="D113" s="1893"/>
      <c r="E113" s="1893"/>
      <c r="F113" s="1894"/>
      <c r="G113" s="1894"/>
      <c r="H113" s="1894"/>
      <c r="I113" s="1894"/>
      <c r="J113" s="1894"/>
      <c r="K113" s="1894"/>
      <c r="L113" s="1894"/>
      <c r="M113" s="1894"/>
      <c r="N113" s="1894"/>
      <c r="O113" s="1894"/>
      <c r="P113" s="1894"/>
      <c r="Q113" s="1894"/>
      <c r="R113" s="1894"/>
      <c r="S113" s="1894"/>
      <c r="T113" s="1894"/>
      <c r="U113" s="1894"/>
      <c r="V113" s="1927"/>
      <c r="W113" s="4645"/>
    </row>
    <row r="114" spans="1:23" ht="18.75" customHeight="1">
      <c r="A114" s="4642"/>
      <c r="B114" s="4642"/>
      <c r="C114" s="1930"/>
      <c r="D114" s="1893"/>
      <c r="E114" s="1893"/>
      <c r="F114" s="1894"/>
      <c r="G114" s="1894"/>
      <c r="H114" s="1894"/>
      <c r="I114" s="1894"/>
      <c r="J114" s="1894"/>
      <c r="K114" s="1894"/>
      <c r="L114" s="1894"/>
      <c r="M114" s="1894"/>
      <c r="N114" s="1894"/>
      <c r="O114" s="1894"/>
      <c r="P114" s="1894"/>
      <c r="Q114" s="1894"/>
      <c r="R114" s="1894"/>
      <c r="S114" s="1894"/>
      <c r="T114" s="1894"/>
      <c r="U114" s="1894"/>
      <c r="V114" s="1927"/>
      <c r="W114" s="4645"/>
    </row>
    <row r="115" spans="1:23" ht="18.75" customHeight="1">
      <c r="A115" s="4642"/>
      <c r="B115" s="4642"/>
      <c r="C115" s="1930"/>
      <c r="D115" s="1893"/>
      <c r="E115" s="1893"/>
      <c r="F115" s="1894"/>
      <c r="G115" s="1894"/>
      <c r="H115" s="1894"/>
      <c r="I115" s="1894"/>
      <c r="J115" s="1894"/>
      <c r="K115" s="1894"/>
      <c r="L115" s="1894"/>
      <c r="M115" s="1894"/>
      <c r="N115" s="1894"/>
      <c r="O115" s="1894"/>
      <c r="P115" s="1894"/>
      <c r="Q115" s="1894"/>
      <c r="R115" s="1894"/>
      <c r="S115" s="1894"/>
      <c r="T115" s="1894"/>
      <c r="U115" s="1894"/>
      <c r="V115" s="1927"/>
      <c r="W115" s="4645"/>
    </row>
    <row r="116" spans="1:23" ht="18.75" customHeight="1">
      <c r="A116" s="4643"/>
      <c r="B116" s="4643"/>
      <c r="C116" s="1931"/>
      <c r="D116" s="1908"/>
      <c r="E116" s="1908"/>
      <c r="F116" s="1909"/>
      <c r="G116" s="1909"/>
      <c r="H116" s="1909"/>
      <c r="I116" s="1909"/>
      <c r="J116" s="1909"/>
      <c r="K116" s="1909"/>
      <c r="L116" s="1909"/>
      <c r="M116" s="1909"/>
      <c r="N116" s="1909"/>
      <c r="O116" s="1909"/>
      <c r="P116" s="1909"/>
      <c r="Q116" s="1909"/>
      <c r="R116" s="1909"/>
      <c r="S116" s="1909"/>
      <c r="T116" s="1909"/>
      <c r="U116" s="1909"/>
      <c r="V116" s="1928"/>
      <c r="W116" s="4646"/>
    </row>
    <row r="117" spans="1:23" ht="18" customHeight="1">
      <c r="A117" s="4641">
        <v>22</v>
      </c>
      <c r="B117" s="4641" t="str">
        <f>'kt1'!B35</f>
        <v>Thong La</v>
      </c>
      <c r="C117" s="1929"/>
      <c r="D117" s="1910"/>
      <c r="E117" s="1910"/>
      <c r="F117" s="1911"/>
      <c r="G117" s="1911"/>
      <c r="H117" s="1911"/>
      <c r="I117" s="1911"/>
      <c r="J117" s="1911"/>
      <c r="K117" s="1911"/>
      <c r="L117" s="1911"/>
      <c r="M117" s="1911"/>
      <c r="N117" s="1911"/>
      <c r="O117" s="1911"/>
      <c r="P117" s="1911"/>
      <c r="Q117" s="1911"/>
      <c r="R117" s="1911"/>
      <c r="S117" s="1911"/>
      <c r="T117" s="1911"/>
      <c r="U117" s="1911"/>
      <c r="V117" s="1923"/>
      <c r="W117" s="4644"/>
    </row>
    <row r="118" spans="1:23" ht="18" customHeight="1">
      <c r="A118" s="4642"/>
      <c r="B118" s="4642"/>
      <c r="C118" s="1930"/>
      <c r="D118" s="1893"/>
      <c r="E118" s="1893"/>
      <c r="F118" s="1894"/>
      <c r="G118" s="1894"/>
      <c r="H118" s="1894"/>
      <c r="I118" s="1894"/>
      <c r="J118" s="1894"/>
      <c r="K118" s="1894"/>
      <c r="L118" s="1894"/>
      <c r="M118" s="1894"/>
      <c r="N118" s="1894"/>
      <c r="O118" s="1894"/>
      <c r="P118" s="1894"/>
      <c r="Q118" s="1894"/>
      <c r="R118" s="1894"/>
      <c r="S118" s="1894"/>
      <c r="T118" s="1894"/>
      <c r="U118" s="1894"/>
      <c r="V118" s="1924"/>
      <c r="W118" s="4645"/>
    </row>
    <row r="119" spans="1:23" ht="18" customHeight="1">
      <c r="A119" s="4642"/>
      <c r="B119" s="4642"/>
      <c r="C119" s="1930"/>
      <c r="D119" s="1893"/>
      <c r="E119" s="1893"/>
      <c r="F119" s="1894"/>
      <c r="G119" s="1894"/>
      <c r="H119" s="1894"/>
      <c r="I119" s="1894"/>
      <c r="J119" s="1894"/>
      <c r="K119" s="1894"/>
      <c r="L119" s="1894"/>
      <c r="M119" s="1894"/>
      <c r="N119" s="1894"/>
      <c r="O119" s="1894"/>
      <c r="P119" s="1894"/>
      <c r="Q119" s="1894"/>
      <c r="R119" s="1894"/>
      <c r="S119" s="1894"/>
      <c r="T119" s="1894"/>
      <c r="U119" s="1894"/>
      <c r="V119" s="1924"/>
      <c r="W119" s="4645"/>
    </row>
    <row r="120" spans="1:23" ht="18" customHeight="1">
      <c r="A120" s="4642"/>
      <c r="B120" s="4642"/>
      <c r="C120" s="1930"/>
      <c r="D120" s="1893"/>
      <c r="E120" s="1893"/>
      <c r="F120" s="1894"/>
      <c r="G120" s="1894"/>
      <c r="H120" s="1894"/>
      <c r="I120" s="1894"/>
      <c r="J120" s="1894"/>
      <c r="K120" s="1894"/>
      <c r="L120" s="1894"/>
      <c r="M120" s="1894"/>
      <c r="N120" s="1894"/>
      <c r="O120" s="1894"/>
      <c r="P120" s="1894"/>
      <c r="Q120" s="1894"/>
      <c r="R120" s="1894"/>
      <c r="S120" s="1894"/>
      <c r="T120" s="1894"/>
      <c r="U120" s="1894"/>
      <c r="V120" s="1924"/>
      <c r="W120" s="4645"/>
    </row>
    <row r="121" spans="1:23" ht="18" customHeight="1">
      <c r="A121" s="4643"/>
      <c r="B121" s="4643"/>
      <c r="C121" s="1931"/>
      <c r="D121" s="1908"/>
      <c r="E121" s="1908"/>
      <c r="F121" s="1909"/>
      <c r="G121" s="1909"/>
      <c r="H121" s="1909"/>
      <c r="I121" s="1909"/>
      <c r="J121" s="1909"/>
      <c r="K121" s="1909"/>
      <c r="L121" s="1909"/>
      <c r="M121" s="1909"/>
      <c r="N121" s="1909"/>
      <c r="O121" s="1909"/>
      <c r="P121" s="1909"/>
      <c r="Q121" s="1909"/>
      <c r="R121" s="1909"/>
      <c r="S121" s="1909"/>
      <c r="T121" s="1909"/>
      <c r="U121" s="1909"/>
      <c r="V121" s="1925"/>
      <c r="W121" s="4646"/>
    </row>
    <row r="122" spans="1:23" ht="18" customHeight="1">
      <c r="A122" s="4641">
        <v>23</v>
      </c>
      <c r="B122" s="4641" t="str">
        <f>'kt1'!B36</f>
        <v>Thảo kok</v>
      </c>
      <c r="C122" s="1929"/>
      <c r="D122" s="1910"/>
      <c r="E122" s="1910"/>
      <c r="F122" s="1911"/>
      <c r="G122" s="1911"/>
      <c r="H122" s="1911"/>
      <c r="I122" s="1911"/>
      <c r="J122" s="1911"/>
      <c r="K122" s="1911"/>
      <c r="L122" s="1911"/>
      <c r="M122" s="1911"/>
      <c r="N122" s="1911"/>
      <c r="O122" s="1911"/>
      <c r="P122" s="1911"/>
      <c r="Q122" s="1911"/>
      <c r="R122" s="1911"/>
      <c r="S122" s="1911"/>
      <c r="T122" s="1911"/>
      <c r="U122" s="1911"/>
      <c r="V122" s="1923"/>
      <c r="W122" s="4644"/>
    </row>
    <row r="123" spans="1:23" ht="18" customHeight="1">
      <c r="A123" s="4642"/>
      <c r="B123" s="4642"/>
      <c r="C123" s="1930"/>
      <c r="D123" s="1893"/>
      <c r="E123" s="1893"/>
      <c r="F123" s="1894"/>
      <c r="G123" s="1894"/>
      <c r="H123" s="1894"/>
      <c r="I123" s="1894"/>
      <c r="J123" s="1894"/>
      <c r="K123" s="1894"/>
      <c r="L123" s="1894"/>
      <c r="M123" s="1894"/>
      <c r="N123" s="1894"/>
      <c r="O123" s="1894"/>
      <c r="P123" s="1894"/>
      <c r="Q123" s="1894"/>
      <c r="R123" s="1894"/>
      <c r="S123" s="1894"/>
      <c r="T123" s="1894"/>
      <c r="U123" s="1894"/>
      <c r="V123" s="1924"/>
      <c r="W123" s="4645"/>
    </row>
    <row r="124" spans="1:23" ht="18" customHeight="1">
      <c r="A124" s="4642"/>
      <c r="B124" s="4642"/>
      <c r="C124" s="1930"/>
      <c r="D124" s="1893"/>
      <c r="E124" s="1893"/>
      <c r="F124" s="1894"/>
      <c r="G124" s="1894"/>
      <c r="H124" s="1894"/>
      <c r="I124" s="1894"/>
      <c r="J124" s="1894"/>
      <c r="K124" s="1894"/>
      <c r="L124" s="1894"/>
      <c r="M124" s="1894"/>
      <c r="N124" s="1894"/>
      <c r="O124" s="1894"/>
      <c r="P124" s="1894"/>
      <c r="Q124" s="1894"/>
      <c r="R124" s="1894"/>
      <c r="S124" s="1894"/>
      <c r="T124" s="1894"/>
      <c r="U124" s="1894"/>
      <c r="V124" s="1924"/>
      <c r="W124" s="4645"/>
    </row>
    <row r="125" spans="1:23" ht="18" customHeight="1">
      <c r="A125" s="4642"/>
      <c r="B125" s="4642"/>
      <c r="C125" s="1930"/>
      <c r="D125" s="1893"/>
      <c r="E125" s="1893"/>
      <c r="F125" s="1894"/>
      <c r="G125" s="1894"/>
      <c r="H125" s="1894"/>
      <c r="I125" s="1894"/>
      <c r="J125" s="1894"/>
      <c r="K125" s="1894"/>
      <c r="L125" s="1894"/>
      <c r="M125" s="1894"/>
      <c r="N125" s="1894"/>
      <c r="O125" s="1894"/>
      <c r="P125" s="1894"/>
      <c r="Q125" s="1894"/>
      <c r="R125" s="1894"/>
      <c r="S125" s="1894"/>
      <c r="T125" s="1894"/>
      <c r="U125" s="1894"/>
      <c r="V125" s="1924"/>
      <c r="W125" s="4645"/>
    </row>
    <row r="126" spans="1:23" ht="18" customHeight="1">
      <c r="A126" s="4643"/>
      <c r="B126" s="4643"/>
      <c r="C126" s="1931"/>
      <c r="D126" s="1908"/>
      <c r="E126" s="1908"/>
      <c r="F126" s="1909"/>
      <c r="G126" s="1909"/>
      <c r="H126" s="1909"/>
      <c r="I126" s="1909"/>
      <c r="J126" s="1909"/>
      <c r="K126" s="1909"/>
      <c r="L126" s="1909"/>
      <c r="M126" s="1909"/>
      <c r="N126" s="1909"/>
      <c r="O126" s="1909"/>
      <c r="P126" s="1909"/>
      <c r="Q126" s="1909"/>
      <c r="R126" s="1909"/>
      <c r="S126" s="1909"/>
      <c r="T126" s="1909"/>
      <c r="U126" s="1909"/>
      <c r="V126" s="1925"/>
      <c r="W126" s="4646"/>
    </row>
    <row r="127" spans="1:23" ht="18" customHeight="1">
      <c r="A127" s="4641">
        <v>24</v>
      </c>
      <c r="B127" s="4641" t="str">
        <f>'kt1'!B37</f>
        <v>Thảo Hôm</v>
      </c>
      <c r="C127" s="1929"/>
      <c r="D127" s="1910"/>
      <c r="E127" s="1910"/>
      <c r="F127" s="1911"/>
      <c r="G127" s="1911"/>
      <c r="H127" s="1911"/>
      <c r="I127" s="1911"/>
      <c r="J127" s="1911"/>
      <c r="K127" s="1911"/>
      <c r="L127" s="1911"/>
      <c r="M127" s="1911"/>
      <c r="N127" s="1911"/>
      <c r="O127" s="1911"/>
      <c r="P127" s="1911"/>
      <c r="Q127" s="1911"/>
      <c r="R127" s="1911"/>
      <c r="S127" s="1911"/>
      <c r="T127" s="1911"/>
      <c r="U127" s="1911"/>
      <c r="V127" s="1923"/>
      <c r="W127" s="4644"/>
    </row>
    <row r="128" spans="1:23" ht="18" customHeight="1">
      <c r="A128" s="4642"/>
      <c r="B128" s="4642"/>
      <c r="C128" s="1930"/>
      <c r="D128" s="1893"/>
      <c r="E128" s="1893"/>
      <c r="F128" s="1894"/>
      <c r="G128" s="1894"/>
      <c r="H128" s="1894"/>
      <c r="I128" s="1894"/>
      <c r="J128" s="1894"/>
      <c r="K128" s="1894"/>
      <c r="L128" s="1894"/>
      <c r="M128" s="1894"/>
      <c r="N128" s="1894"/>
      <c r="O128" s="1894"/>
      <c r="P128" s="1894"/>
      <c r="Q128" s="1894"/>
      <c r="R128" s="1894"/>
      <c r="S128" s="1894"/>
      <c r="T128" s="1894"/>
      <c r="U128" s="1894"/>
      <c r="V128" s="1924"/>
      <c r="W128" s="4645"/>
    </row>
    <row r="129" spans="1:23" ht="18" customHeight="1">
      <c r="A129" s="4642"/>
      <c r="B129" s="4642"/>
      <c r="C129" s="1930"/>
      <c r="D129" s="1893"/>
      <c r="E129" s="1893"/>
      <c r="F129" s="1894"/>
      <c r="G129" s="1894"/>
      <c r="H129" s="1894"/>
      <c r="I129" s="1894"/>
      <c r="J129" s="1894"/>
      <c r="K129" s="1894"/>
      <c r="L129" s="1894"/>
      <c r="M129" s="1894"/>
      <c r="N129" s="1894"/>
      <c r="O129" s="1894"/>
      <c r="P129" s="1894"/>
      <c r="Q129" s="1894"/>
      <c r="R129" s="1894"/>
      <c r="S129" s="1894"/>
      <c r="T129" s="1894"/>
      <c r="U129" s="1894"/>
      <c r="V129" s="1924"/>
      <c r="W129" s="4645"/>
    </row>
    <row r="130" spans="1:23" ht="18" customHeight="1">
      <c r="A130" s="4642"/>
      <c r="B130" s="4642"/>
      <c r="C130" s="1930"/>
      <c r="D130" s="1893"/>
      <c r="E130" s="1893"/>
      <c r="F130" s="1894"/>
      <c r="G130" s="1894"/>
      <c r="H130" s="1894"/>
      <c r="I130" s="1894"/>
      <c r="J130" s="1894"/>
      <c r="K130" s="1894"/>
      <c r="L130" s="1894"/>
      <c r="M130" s="1894"/>
      <c r="N130" s="1894"/>
      <c r="O130" s="1894"/>
      <c r="P130" s="1894"/>
      <c r="Q130" s="1894"/>
      <c r="R130" s="1894"/>
      <c r="S130" s="1894"/>
      <c r="T130" s="1894"/>
      <c r="U130" s="1894"/>
      <c r="V130" s="1924"/>
      <c r="W130" s="4645"/>
    </row>
    <row r="131" spans="1:23" ht="18" customHeight="1">
      <c r="A131" s="4643"/>
      <c r="B131" s="4643"/>
      <c r="C131" s="1931"/>
      <c r="D131" s="1908"/>
      <c r="E131" s="1908"/>
      <c r="F131" s="1909"/>
      <c r="G131" s="1909"/>
      <c r="H131" s="1909"/>
      <c r="I131" s="1909"/>
      <c r="J131" s="1909"/>
      <c r="K131" s="1909"/>
      <c r="L131" s="1909"/>
      <c r="M131" s="1909"/>
      <c r="N131" s="1909"/>
      <c r="O131" s="1909"/>
      <c r="P131" s="1909"/>
      <c r="Q131" s="1909"/>
      <c r="R131" s="1909"/>
      <c r="S131" s="1909"/>
      <c r="T131" s="1909"/>
      <c r="U131" s="1909"/>
      <c r="V131" s="1925"/>
      <c r="W131" s="4646"/>
    </row>
    <row r="132" spans="1:23" ht="18" customHeight="1">
      <c r="A132" s="4641">
        <v>25</v>
      </c>
      <c r="B132" s="4641" t="str">
        <f>'kt1'!B38</f>
        <v>Nàng Lam</v>
      </c>
      <c r="C132" s="1929"/>
      <c r="D132" s="1910"/>
      <c r="E132" s="1910"/>
      <c r="F132" s="1911"/>
      <c r="G132" s="1911"/>
      <c r="H132" s="1911"/>
      <c r="I132" s="1911"/>
      <c r="J132" s="1911"/>
      <c r="K132" s="1911"/>
      <c r="L132" s="1911"/>
      <c r="M132" s="1911"/>
      <c r="N132" s="1911"/>
      <c r="O132" s="1911"/>
      <c r="P132" s="1911"/>
      <c r="Q132" s="1911"/>
      <c r="R132" s="1911"/>
      <c r="S132" s="1911"/>
      <c r="T132" s="1911"/>
      <c r="U132" s="1911"/>
      <c r="V132" s="1923"/>
      <c r="W132" s="4644"/>
    </row>
    <row r="133" spans="1:23" ht="18" customHeight="1">
      <c r="A133" s="4642"/>
      <c r="B133" s="4642"/>
      <c r="C133" s="1930"/>
      <c r="D133" s="1893"/>
      <c r="E133" s="1893"/>
      <c r="F133" s="1894"/>
      <c r="G133" s="1894"/>
      <c r="H133" s="1894"/>
      <c r="I133" s="1894"/>
      <c r="J133" s="1894"/>
      <c r="K133" s="1894"/>
      <c r="L133" s="1894"/>
      <c r="M133" s="1894"/>
      <c r="N133" s="1894"/>
      <c r="O133" s="1894"/>
      <c r="P133" s="1894"/>
      <c r="Q133" s="1894"/>
      <c r="R133" s="1894"/>
      <c r="S133" s="1894"/>
      <c r="T133" s="1894"/>
      <c r="U133" s="1894"/>
      <c r="V133" s="1924"/>
      <c r="W133" s="4645"/>
    </row>
    <row r="134" spans="1:23" ht="18" customHeight="1">
      <c r="A134" s="4642"/>
      <c r="B134" s="4642"/>
      <c r="C134" s="1930"/>
      <c r="D134" s="1893"/>
      <c r="E134" s="1893"/>
      <c r="F134" s="1894"/>
      <c r="G134" s="1894"/>
      <c r="H134" s="1894"/>
      <c r="I134" s="1894"/>
      <c r="J134" s="1894"/>
      <c r="K134" s="1894"/>
      <c r="L134" s="1894"/>
      <c r="M134" s="1894"/>
      <c r="N134" s="1894"/>
      <c r="O134" s="1894"/>
      <c r="P134" s="1894"/>
      <c r="Q134" s="1894"/>
      <c r="R134" s="1894"/>
      <c r="S134" s="1894"/>
      <c r="T134" s="1894"/>
      <c r="U134" s="1894"/>
      <c r="V134" s="1924"/>
      <c r="W134" s="4645"/>
    </row>
    <row r="135" spans="1:23" ht="18" customHeight="1">
      <c r="A135" s="4642"/>
      <c r="B135" s="4642"/>
      <c r="C135" s="1930"/>
      <c r="D135" s="1893"/>
      <c r="E135" s="1893"/>
      <c r="F135" s="1894"/>
      <c r="G135" s="1894"/>
      <c r="H135" s="1894"/>
      <c r="I135" s="1894"/>
      <c r="J135" s="1894"/>
      <c r="K135" s="1894"/>
      <c r="L135" s="1894"/>
      <c r="M135" s="1894"/>
      <c r="N135" s="1894"/>
      <c r="O135" s="1894"/>
      <c r="P135" s="1894"/>
      <c r="Q135" s="1894"/>
      <c r="R135" s="1894"/>
      <c r="S135" s="1894"/>
      <c r="T135" s="1894"/>
      <c r="U135" s="1894"/>
      <c r="V135" s="1924"/>
      <c r="W135" s="4645"/>
    </row>
    <row r="136" spans="1:23" ht="18" customHeight="1">
      <c r="A136" s="4643"/>
      <c r="B136" s="4643"/>
      <c r="C136" s="1931"/>
      <c r="D136" s="1908"/>
      <c r="E136" s="1908"/>
      <c r="F136" s="1909"/>
      <c r="G136" s="1909"/>
      <c r="H136" s="1909"/>
      <c r="I136" s="1909"/>
      <c r="J136" s="1909"/>
      <c r="K136" s="1909"/>
      <c r="L136" s="1909"/>
      <c r="M136" s="1909"/>
      <c r="N136" s="1909"/>
      <c r="O136" s="1909"/>
      <c r="P136" s="1909"/>
      <c r="Q136" s="1909"/>
      <c r="R136" s="1909"/>
      <c r="S136" s="1909"/>
      <c r="T136" s="1909"/>
      <c r="U136" s="1909"/>
      <c r="V136" s="1925"/>
      <c r="W136" s="4646"/>
    </row>
    <row r="137" spans="1:23" ht="21.75" customHeight="1">
      <c r="A137" s="4641">
        <v>26</v>
      </c>
      <c r="B137" s="4641" t="str">
        <f>'kt1'!B39</f>
        <v>Thảo Hơ Phơ</v>
      </c>
      <c r="C137" s="1929"/>
      <c r="D137" s="1910"/>
      <c r="E137" s="1910"/>
      <c r="F137" s="1911"/>
      <c r="G137" s="1911"/>
      <c r="H137" s="1911"/>
      <c r="I137" s="1911"/>
      <c r="J137" s="1911"/>
      <c r="K137" s="1911"/>
      <c r="L137" s="1911"/>
      <c r="M137" s="1911"/>
      <c r="N137" s="1911"/>
      <c r="O137" s="1911"/>
      <c r="P137" s="1911"/>
      <c r="Q137" s="1911"/>
      <c r="R137" s="1911"/>
      <c r="S137" s="1911"/>
      <c r="T137" s="1911"/>
      <c r="U137" s="1911"/>
      <c r="V137" s="1923"/>
      <c r="W137" s="4644"/>
    </row>
    <row r="138" spans="1:23" ht="21.75" customHeight="1">
      <c r="A138" s="4642"/>
      <c r="B138" s="4642"/>
      <c r="C138" s="1930"/>
      <c r="D138" s="1893"/>
      <c r="E138" s="1893"/>
      <c r="F138" s="1894"/>
      <c r="G138" s="1894"/>
      <c r="H138" s="1894"/>
      <c r="I138" s="1894"/>
      <c r="J138" s="1894"/>
      <c r="K138" s="1894"/>
      <c r="L138" s="1894"/>
      <c r="M138" s="1894"/>
      <c r="N138" s="1894"/>
      <c r="O138" s="1894"/>
      <c r="P138" s="1894"/>
      <c r="Q138" s="1894"/>
      <c r="R138" s="1894"/>
      <c r="S138" s="1894"/>
      <c r="T138" s="1894"/>
      <c r="U138" s="1894"/>
      <c r="V138" s="1924"/>
      <c r="W138" s="4645"/>
    </row>
    <row r="139" spans="1:23" ht="21.75" customHeight="1">
      <c r="A139" s="4642"/>
      <c r="B139" s="4642"/>
      <c r="C139" s="1930"/>
      <c r="D139" s="1893"/>
      <c r="E139" s="1893"/>
      <c r="F139" s="1894"/>
      <c r="G139" s="1894"/>
      <c r="H139" s="1894"/>
      <c r="I139" s="1894"/>
      <c r="J139" s="1894"/>
      <c r="K139" s="1894"/>
      <c r="L139" s="1894"/>
      <c r="M139" s="1894"/>
      <c r="N139" s="1894"/>
      <c r="O139" s="1894"/>
      <c r="P139" s="1894"/>
      <c r="Q139" s="1894"/>
      <c r="R139" s="1894"/>
      <c r="S139" s="1894"/>
      <c r="T139" s="1894"/>
      <c r="U139" s="1894"/>
      <c r="V139" s="1924"/>
      <c r="W139" s="4645"/>
    </row>
    <row r="140" spans="1:23" ht="21.75" customHeight="1">
      <c r="A140" s="4642"/>
      <c r="B140" s="4642"/>
      <c r="C140" s="1930"/>
      <c r="D140" s="1893"/>
      <c r="E140" s="1893"/>
      <c r="F140" s="1894"/>
      <c r="G140" s="1894"/>
      <c r="H140" s="1894"/>
      <c r="I140" s="1894"/>
      <c r="J140" s="1894"/>
      <c r="K140" s="1894"/>
      <c r="L140" s="1894"/>
      <c r="M140" s="1894"/>
      <c r="N140" s="1894"/>
      <c r="O140" s="1894"/>
      <c r="P140" s="1894"/>
      <c r="Q140" s="1894"/>
      <c r="R140" s="1894"/>
      <c r="S140" s="1894"/>
      <c r="T140" s="1894"/>
      <c r="U140" s="1894"/>
      <c r="V140" s="1924"/>
      <c r="W140" s="4645"/>
    </row>
    <row r="141" spans="1:23" ht="21.75" customHeight="1">
      <c r="A141" s="4643"/>
      <c r="B141" s="4643"/>
      <c r="C141" s="1931"/>
      <c r="D141" s="1908"/>
      <c r="E141" s="1908"/>
      <c r="F141" s="1909"/>
      <c r="G141" s="1909"/>
      <c r="H141" s="1909"/>
      <c r="I141" s="1909"/>
      <c r="J141" s="1909"/>
      <c r="K141" s="1909"/>
      <c r="L141" s="1909"/>
      <c r="M141" s="1909"/>
      <c r="N141" s="1909"/>
      <c r="O141" s="1909"/>
      <c r="P141" s="1909"/>
      <c r="Q141" s="1909"/>
      <c r="R141" s="1909"/>
      <c r="S141" s="1909"/>
      <c r="T141" s="1909"/>
      <c r="U141" s="1909"/>
      <c r="V141" s="1925"/>
      <c r="W141" s="4646"/>
    </row>
    <row r="142" spans="1:23" ht="18" customHeight="1">
      <c r="A142" s="4641">
        <v>27</v>
      </c>
      <c r="B142" s="4641" t="str">
        <f>'kt1'!B40</f>
        <v>Thảo Lay</v>
      </c>
      <c r="C142" s="1929"/>
      <c r="D142" s="1910"/>
      <c r="E142" s="1910"/>
      <c r="F142" s="1911"/>
      <c r="G142" s="1911"/>
      <c r="H142" s="1911"/>
      <c r="I142" s="1911"/>
      <c r="J142" s="1911"/>
      <c r="K142" s="1911"/>
      <c r="L142" s="1911"/>
      <c r="M142" s="1911"/>
      <c r="N142" s="1911"/>
      <c r="O142" s="1911"/>
      <c r="P142" s="1911"/>
      <c r="Q142" s="1911"/>
      <c r="R142" s="1911"/>
      <c r="S142" s="1911"/>
      <c r="T142" s="1911"/>
      <c r="U142" s="1911"/>
      <c r="V142" s="1923"/>
      <c r="W142" s="4644"/>
    </row>
    <row r="143" spans="1:23" ht="18" customHeight="1">
      <c r="A143" s="4642"/>
      <c r="B143" s="4642"/>
      <c r="C143" s="1930"/>
      <c r="D143" s="1893"/>
      <c r="E143" s="1893"/>
      <c r="F143" s="1894"/>
      <c r="G143" s="1894"/>
      <c r="H143" s="1894"/>
      <c r="I143" s="1894"/>
      <c r="J143" s="1894"/>
      <c r="K143" s="1894"/>
      <c r="L143" s="1894"/>
      <c r="M143" s="1894"/>
      <c r="N143" s="1894"/>
      <c r="O143" s="1894"/>
      <c r="P143" s="1894"/>
      <c r="Q143" s="1894"/>
      <c r="R143" s="1894"/>
      <c r="S143" s="1894"/>
      <c r="T143" s="1894"/>
      <c r="U143" s="1894"/>
      <c r="V143" s="1924"/>
      <c r="W143" s="4645"/>
    </row>
    <row r="144" spans="1:23" ht="18" customHeight="1">
      <c r="A144" s="4642"/>
      <c r="B144" s="4642"/>
      <c r="C144" s="1930"/>
      <c r="D144" s="1893"/>
      <c r="E144" s="1893"/>
      <c r="F144" s="1894"/>
      <c r="G144" s="1894"/>
      <c r="H144" s="1894"/>
      <c r="I144" s="1894"/>
      <c r="J144" s="1894"/>
      <c r="K144" s="1894"/>
      <c r="L144" s="1894"/>
      <c r="M144" s="1894"/>
      <c r="N144" s="1894"/>
      <c r="O144" s="1894"/>
      <c r="P144" s="1894"/>
      <c r="Q144" s="1894"/>
      <c r="R144" s="1894"/>
      <c r="S144" s="1894"/>
      <c r="T144" s="1894"/>
      <c r="U144" s="1894"/>
      <c r="V144" s="1924"/>
      <c r="W144" s="4645"/>
    </row>
    <row r="145" spans="1:23" ht="18" customHeight="1">
      <c r="A145" s="4642"/>
      <c r="B145" s="4642"/>
      <c r="C145" s="1930"/>
      <c r="D145" s="1893"/>
      <c r="E145" s="1893"/>
      <c r="F145" s="1894"/>
      <c r="G145" s="1894"/>
      <c r="H145" s="1894"/>
      <c r="I145" s="1894"/>
      <c r="J145" s="1894"/>
      <c r="K145" s="1894"/>
      <c r="L145" s="1894"/>
      <c r="M145" s="1894"/>
      <c r="N145" s="1894"/>
      <c r="O145" s="1894"/>
      <c r="P145" s="1894"/>
      <c r="Q145" s="1894"/>
      <c r="R145" s="1894"/>
      <c r="S145" s="1894"/>
      <c r="T145" s="1894"/>
      <c r="U145" s="1894"/>
      <c r="V145" s="1924"/>
      <c r="W145" s="4645"/>
    </row>
    <row r="146" spans="1:23" ht="18" customHeight="1">
      <c r="A146" s="4643"/>
      <c r="B146" s="4643"/>
      <c r="C146" s="1931"/>
      <c r="D146" s="1908"/>
      <c r="E146" s="1908"/>
      <c r="F146" s="1909"/>
      <c r="G146" s="1909"/>
      <c r="H146" s="1909"/>
      <c r="I146" s="1909"/>
      <c r="J146" s="1909"/>
      <c r="K146" s="1909"/>
      <c r="L146" s="1909"/>
      <c r="M146" s="1909"/>
      <c r="N146" s="1909"/>
      <c r="O146" s="1909"/>
      <c r="P146" s="1909"/>
      <c r="Q146" s="1909"/>
      <c r="R146" s="1909"/>
      <c r="S146" s="1909"/>
      <c r="T146" s="1909"/>
      <c r="U146" s="1909"/>
      <c r="V146" s="1925"/>
      <c r="W146" s="4646"/>
    </row>
    <row r="147" spans="1:23" ht="18" customHeight="1">
      <c r="A147" s="4641">
        <v>28</v>
      </c>
      <c r="B147" s="4641" t="str">
        <f>'kt1'!B41</f>
        <v>Thảo Khốc</v>
      </c>
      <c r="C147" s="1929"/>
      <c r="D147" s="1910"/>
      <c r="E147" s="1910"/>
      <c r="F147" s="1911"/>
      <c r="G147" s="1911"/>
      <c r="H147" s="1911"/>
      <c r="I147" s="1911"/>
      <c r="J147" s="1911"/>
      <c r="K147" s="1911"/>
      <c r="L147" s="1911"/>
      <c r="M147" s="1911"/>
      <c r="N147" s="1911"/>
      <c r="O147" s="1911"/>
      <c r="P147" s="1911"/>
      <c r="Q147" s="1911"/>
      <c r="R147" s="1911"/>
      <c r="S147" s="1911"/>
      <c r="T147" s="1911"/>
      <c r="U147" s="1911"/>
      <c r="V147" s="1923"/>
      <c r="W147" s="4644"/>
    </row>
    <row r="148" spans="1:23" ht="18" customHeight="1">
      <c r="A148" s="4642"/>
      <c r="B148" s="4642"/>
      <c r="C148" s="1930"/>
      <c r="D148" s="1893"/>
      <c r="E148" s="1893"/>
      <c r="F148" s="1894"/>
      <c r="G148" s="1894"/>
      <c r="H148" s="1894"/>
      <c r="I148" s="1894"/>
      <c r="J148" s="1894"/>
      <c r="K148" s="1894"/>
      <c r="L148" s="1894"/>
      <c r="M148" s="1894"/>
      <c r="N148" s="1894"/>
      <c r="O148" s="1894"/>
      <c r="P148" s="1894"/>
      <c r="Q148" s="1894"/>
      <c r="R148" s="1894"/>
      <c r="S148" s="1894"/>
      <c r="T148" s="1894"/>
      <c r="U148" s="1894"/>
      <c r="V148" s="1924"/>
      <c r="W148" s="4645"/>
    </row>
    <row r="149" spans="1:23" ht="18" customHeight="1">
      <c r="A149" s="4642"/>
      <c r="B149" s="4642"/>
      <c r="C149" s="1930"/>
      <c r="D149" s="1893"/>
      <c r="E149" s="1893"/>
      <c r="F149" s="1894"/>
      <c r="G149" s="1894"/>
      <c r="H149" s="1894"/>
      <c r="I149" s="1894"/>
      <c r="J149" s="1894"/>
      <c r="K149" s="1894"/>
      <c r="L149" s="1894"/>
      <c r="M149" s="1894"/>
      <c r="N149" s="1894"/>
      <c r="O149" s="1894"/>
      <c r="P149" s="1894"/>
      <c r="Q149" s="1894"/>
      <c r="R149" s="1894"/>
      <c r="S149" s="1894"/>
      <c r="T149" s="1894"/>
      <c r="U149" s="1894"/>
      <c r="V149" s="1924"/>
      <c r="W149" s="4645"/>
    </row>
    <row r="150" spans="1:23" ht="18" customHeight="1">
      <c r="A150" s="4642"/>
      <c r="B150" s="4642"/>
      <c r="C150" s="1930"/>
      <c r="D150" s="1893"/>
      <c r="E150" s="1893"/>
      <c r="F150" s="1894"/>
      <c r="G150" s="1894"/>
      <c r="H150" s="1894"/>
      <c r="I150" s="1894"/>
      <c r="J150" s="1894"/>
      <c r="K150" s="1894"/>
      <c r="L150" s="1894"/>
      <c r="M150" s="1894"/>
      <c r="N150" s="1894"/>
      <c r="O150" s="1894"/>
      <c r="P150" s="1894"/>
      <c r="Q150" s="1894"/>
      <c r="R150" s="1894"/>
      <c r="S150" s="1894"/>
      <c r="T150" s="1894"/>
      <c r="U150" s="1894"/>
      <c r="V150" s="1924"/>
      <c r="W150" s="4645"/>
    </row>
    <row r="151" spans="1:23" ht="18" customHeight="1">
      <c r="A151" s="4643"/>
      <c r="B151" s="4643"/>
      <c r="C151" s="1931"/>
      <c r="D151" s="1908"/>
      <c r="E151" s="1908"/>
      <c r="F151" s="1909"/>
      <c r="G151" s="1909"/>
      <c r="H151" s="1909"/>
      <c r="I151" s="1909"/>
      <c r="J151" s="1909"/>
      <c r="K151" s="1909"/>
      <c r="L151" s="1909"/>
      <c r="M151" s="1909"/>
      <c r="N151" s="1909"/>
      <c r="O151" s="1909"/>
      <c r="P151" s="1909"/>
      <c r="Q151" s="1909"/>
      <c r="R151" s="1909"/>
      <c r="S151" s="1909"/>
      <c r="T151" s="1909"/>
      <c r="U151" s="1909"/>
      <c r="V151" s="1925"/>
      <c r="W151" s="4646"/>
    </row>
    <row r="152" spans="1:23" ht="17.25" customHeight="1">
      <c r="A152" s="4641">
        <v>29</v>
      </c>
      <c r="B152" s="4641" t="str">
        <f>'kt1'!B42</f>
        <v>Thảo Sợt</v>
      </c>
      <c r="C152" s="1929"/>
      <c r="D152" s="1910"/>
      <c r="E152" s="1910"/>
      <c r="F152" s="1911"/>
      <c r="G152" s="1911"/>
      <c r="H152" s="1911"/>
      <c r="I152" s="1911"/>
      <c r="J152" s="1911"/>
      <c r="K152" s="1911"/>
      <c r="L152" s="1911"/>
      <c r="M152" s="1911"/>
      <c r="N152" s="1911"/>
      <c r="O152" s="1911"/>
      <c r="P152" s="1911"/>
      <c r="Q152" s="1911"/>
      <c r="R152" s="1911"/>
      <c r="S152" s="1911"/>
      <c r="T152" s="1911"/>
      <c r="U152" s="1911"/>
      <c r="V152" s="1923"/>
      <c r="W152" s="4644"/>
    </row>
    <row r="153" spans="1:23" ht="17.25" customHeight="1">
      <c r="A153" s="4642"/>
      <c r="B153" s="4642"/>
      <c r="C153" s="1930"/>
      <c r="D153" s="1893"/>
      <c r="E153" s="1893"/>
      <c r="F153" s="1894"/>
      <c r="G153" s="1894"/>
      <c r="H153" s="1894"/>
      <c r="I153" s="1894"/>
      <c r="J153" s="1894"/>
      <c r="K153" s="1894"/>
      <c r="L153" s="1894"/>
      <c r="M153" s="1894"/>
      <c r="N153" s="1894"/>
      <c r="O153" s="1894"/>
      <c r="P153" s="1894"/>
      <c r="Q153" s="1894"/>
      <c r="R153" s="1894"/>
      <c r="S153" s="1894"/>
      <c r="T153" s="1894"/>
      <c r="U153" s="1894"/>
      <c r="V153" s="1924"/>
      <c r="W153" s="4645"/>
    </row>
    <row r="154" spans="1:23" ht="17.25" customHeight="1">
      <c r="A154" s="4642"/>
      <c r="B154" s="4642"/>
      <c r="C154" s="1930"/>
      <c r="D154" s="1893"/>
      <c r="E154" s="1893"/>
      <c r="F154" s="1894"/>
      <c r="G154" s="1894"/>
      <c r="H154" s="1894"/>
      <c r="I154" s="1894"/>
      <c r="J154" s="1894"/>
      <c r="K154" s="1894"/>
      <c r="L154" s="1894"/>
      <c r="M154" s="1894"/>
      <c r="N154" s="1894"/>
      <c r="O154" s="1894"/>
      <c r="P154" s="1894"/>
      <c r="Q154" s="1894"/>
      <c r="R154" s="1894"/>
      <c r="S154" s="1894"/>
      <c r="T154" s="1894"/>
      <c r="U154" s="1894"/>
      <c r="V154" s="1924"/>
      <c r="W154" s="4645"/>
    </row>
    <row r="155" spans="1:23" ht="17.25" customHeight="1">
      <c r="A155" s="4642"/>
      <c r="B155" s="4642"/>
      <c r="C155" s="1930"/>
      <c r="D155" s="1893"/>
      <c r="E155" s="1893"/>
      <c r="F155" s="1894"/>
      <c r="G155" s="1894"/>
      <c r="H155" s="1894"/>
      <c r="I155" s="1894"/>
      <c r="J155" s="1894"/>
      <c r="K155" s="1894"/>
      <c r="L155" s="1894"/>
      <c r="M155" s="1894"/>
      <c r="N155" s="1894"/>
      <c r="O155" s="1894"/>
      <c r="P155" s="1894"/>
      <c r="Q155" s="1894"/>
      <c r="R155" s="1894"/>
      <c r="S155" s="1894"/>
      <c r="T155" s="1894"/>
      <c r="U155" s="1894"/>
      <c r="V155" s="1924"/>
      <c r="W155" s="4645"/>
    </row>
    <row r="156" spans="1:23" ht="17.25" customHeight="1">
      <c r="A156" s="4643"/>
      <c r="B156" s="4643"/>
      <c r="C156" s="1931"/>
      <c r="D156" s="1908"/>
      <c r="E156" s="1908"/>
      <c r="F156" s="1909"/>
      <c r="G156" s="1909"/>
      <c r="H156" s="1909"/>
      <c r="I156" s="1909"/>
      <c r="J156" s="1909"/>
      <c r="K156" s="1909"/>
      <c r="L156" s="1909"/>
      <c r="M156" s="1909"/>
      <c r="N156" s="1909"/>
      <c r="O156" s="1909"/>
      <c r="P156" s="1909"/>
      <c r="Q156" s="1909"/>
      <c r="R156" s="1909"/>
      <c r="S156" s="1909"/>
      <c r="T156" s="1909"/>
      <c r="U156" s="1909"/>
      <c r="V156" s="1925"/>
      <c r="W156" s="4646"/>
    </row>
    <row r="157" spans="1:23" ht="21" hidden="1" customHeight="1">
      <c r="A157" s="4641">
        <v>30</v>
      </c>
      <c r="B157" s="4641" t="str">
        <f>'kt1'!B43</f>
        <v>Thảo Văn</v>
      </c>
      <c r="C157" s="1929"/>
      <c r="D157" s="1910"/>
      <c r="E157" s="1910"/>
      <c r="F157" s="1911"/>
      <c r="G157" s="1911"/>
      <c r="H157" s="1911"/>
      <c r="I157" s="1911"/>
      <c r="J157" s="1911"/>
      <c r="K157" s="1911"/>
      <c r="L157" s="1911"/>
      <c r="M157" s="1911"/>
      <c r="N157" s="1911"/>
      <c r="O157" s="1911"/>
      <c r="P157" s="1911"/>
      <c r="Q157" s="1911"/>
      <c r="R157" s="1911"/>
      <c r="S157" s="1911"/>
      <c r="T157" s="1911"/>
      <c r="U157" s="1911"/>
      <c r="V157" s="1923"/>
      <c r="W157" s="4644"/>
    </row>
    <row r="158" spans="1:23" ht="21" hidden="1" customHeight="1">
      <c r="A158" s="4642"/>
      <c r="B158" s="4642"/>
      <c r="C158" s="1930"/>
      <c r="D158" s="1893"/>
      <c r="E158" s="1893"/>
      <c r="F158" s="1894"/>
      <c r="G158" s="1894"/>
      <c r="H158" s="1894"/>
      <c r="I158" s="1894"/>
      <c r="J158" s="1894"/>
      <c r="K158" s="1894"/>
      <c r="L158" s="1894"/>
      <c r="M158" s="1894"/>
      <c r="N158" s="1894"/>
      <c r="O158" s="1894"/>
      <c r="P158" s="1894"/>
      <c r="Q158" s="1894"/>
      <c r="R158" s="1894"/>
      <c r="S158" s="1894"/>
      <c r="T158" s="1894"/>
      <c r="U158" s="1894"/>
      <c r="V158" s="1924"/>
      <c r="W158" s="4645"/>
    </row>
    <row r="159" spans="1:23" ht="21" hidden="1" customHeight="1">
      <c r="A159" s="4642"/>
      <c r="B159" s="4642"/>
      <c r="C159" s="1930"/>
      <c r="D159" s="1893"/>
      <c r="E159" s="1893"/>
      <c r="F159" s="1894"/>
      <c r="G159" s="1894"/>
      <c r="H159" s="1894"/>
      <c r="I159" s="1894"/>
      <c r="J159" s="1894"/>
      <c r="K159" s="1894"/>
      <c r="L159" s="1894"/>
      <c r="M159" s="1894"/>
      <c r="N159" s="1894"/>
      <c r="O159" s="1894"/>
      <c r="P159" s="1894"/>
      <c r="Q159" s="1894"/>
      <c r="R159" s="1894"/>
      <c r="S159" s="1894"/>
      <c r="T159" s="1894"/>
      <c r="U159" s="1894"/>
      <c r="V159" s="1924"/>
      <c r="W159" s="4645"/>
    </row>
    <row r="160" spans="1:23" ht="21" hidden="1" customHeight="1">
      <c r="A160" s="4642"/>
      <c r="B160" s="4642"/>
      <c r="C160" s="1930"/>
      <c r="D160" s="1893"/>
      <c r="E160" s="1893"/>
      <c r="F160" s="1894"/>
      <c r="G160" s="1894"/>
      <c r="H160" s="1894"/>
      <c r="I160" s="1894"/>
      <c r="J160" s="1894"/>
      <c r="K160" s="1894"/>
      <c r="L160" s="1894"/>
      <c r="M160" s="1894"/>
      <c r="N160" s="1894"/>
      <c r="O160" s="1894"/>
      <c r="P160" s="1894"/>
      <c r="Q160" s="1894"/>
      <c r="R160" s="1894"/>
      <c r="S160" s="1894"/>
      <c r="T160" s="1894"/>
      <c r="U160" s="1894"/>
      <c r="V160" s="1924"/>
      <c r="W160" s="4645"/>
    </row>
    <row r="161" spans="1:23" ht="21" hidden="1" customHeight="1">
      <c r="A161" s="4643"/>
      <c r="B161" s="4643"/>
      <c r="C161" s="1931"/>
      <c r="D161" s="1908"/>
      <c r="E161" s="1908"/>
      <c r="F161" s="1909"/>
      <c r="G161" s="1909"/>
      <c r="H161" s="1909"/>
      <c r="I161" s="1909"/>
      <c r="J161" s="1909"/>
      <c r="K161" s="1909"/>
      <c r="L161" s="1909"/>
      <c r="M161" s="1909"/>
      <c r="N161" s="1909"/>
      <c r="O161" s="1909"/>
      <c r="P161" s="1909"/>
      <c r="Q161" s="1909"/>
      <c r="R161" s="1909"/>
      <c r="S161" s="1909"/>
      <c r="T161" s="1909"/>
      <c r="U161" s="1909"/>
      <c r="V161" s="1925"/>
      <c r="W161" s="4646"/>
    </row>
    <row r="162" spans="1:23" ht="23.25" customHeight="1">
      <c r="A162" s="4641">
        <v>31</v>
      </c>
      <c r="B162" s="4641" t="str">
        <f>'kt1'!B44</f>
        <v>Thảo Thong</v>
      </c>
      <c r="C162" s="1929"/>
      <c r="D162" s="1910"/>
      <c r="E162" s="1910"/>
      <c r="F162" s="1911"/>
      <c r="G162" s="1911"/>
      <c r="H162" s="1911"/>
      <c r="I162" s="1911"/>
      <c r="J162" s="1911"/>
      <c r="K162" s="1911"/>
      <c r="L162" s="1911"/>
      <c r="M162" s="1911"/>
      <c r="N162" s="1911"/>
      <c r="O162" s="1911"/>
      <c r="P162" s="1911"/>
      <c r="Q162" s="1911"/>
      <c r="R162" s="1911"/>
      <c r="S162" s="1911"/>
      <c r="T162" s="1911"/>
      <c r="U162" s="1911"/>
      <c r="V162" s="1923"/>
      <c r="W162" s="4644"/>
    </row>
    <row r="163" spans="1:23" ht="23.25" customHeight="1">
      <c r="A163" s="4642"/>
      <c r="B163" s="4642"/>
      <c r="C163" s="1930"/>
      <c r="D163" s="1893"/>
      <c r="E163" s="1893"/>
      <c r="F163" s="1894"/>
      <c r="G163" s="1894"/>
      <c r="H163" s="1894"/>
      <c r="I163" s="1894"/>
      <c r="J163" s="1894"/>
      <c r="K163" s="1894"/>
      <c r="L163" s="1894"/>
      <c r="M163" s="1894"/>
      <c r="N163" s="1894"/>
      <c r="O163" s="1894"/>
      <c r="P163" s="1894"/>
      <c r="Q163" s="1894"/>
      <c r="R163" s="1894"/>
      <c r="S163" s="1894"/>
      <c r="T163" s="1894"/>
      <c r="U163" s="1894"/>
      <c r="V163" s="1924"/>
      <c r="W163" s="4645"/>
    </row>
    <row r="164" spans="1:23" ht="23.25" customHeight="1">
      <c r="A164" s="4642"/>
      <c r="B164" s="4642"/>
      <c r="C164" s="1930"/>
      <c r="D164" s="1893"/>
      <c r="E164" s="1893"/>
      <c r="F164" s="1894"/>
      <c r="G164" s="1894"/>
      <c r="H164" s="1894"/>
      <c r="I164" s="1894"/>
      <c r="J164" s="1894"/>
      <c r="K164" s="1894"/>
      <c r="L164" s="1894"/>
      <c r="M164" s="1894"/>
      <c r="N164" s="1894"/>
      <c r="O164" s="1894"/>
      <c r="P164" s="1894"/>
      <c r="Q164" s="1894"/>
      <c r="R164" s="1894"/>
      <c r="S164" s="1894"/>
      <c r="T164" s="1894"/>
      <c r="U164" s="1894"/>
      <c r="V164" s="1924"/>
      <c r="W164" s="4645"/>
    </row>
    <row r="165" spans="1:23" ht="23.25" customHeight="1">
      <c r="A165" s="4642"/>
      <c r="B165" s="4642"/>
      <c r="C165" s="1930"/>
      <c r="D165" s="1893"/>
      <c r="E165" s="1893"/>
      <c r="F165" s="1894"/>
      <c r="G165" s="1894"/>
      <c r="H165" s="1894"/>
      <c r="I165" s="1894"/>
      <c r="J165" s="1894"/>
      <c r="K165" s="1894"/>
      <c r="L165" s="1894"/>
      <c r="M165" s="1894"/>
      <c r="N165" s="1894"/>
      <c r="O165" s="1894"/>
      <c r="P165" s="1894"/>
      <c r="Q165" s="1894"/>
      <c r="R165" s="1894"/>
      <c r="S165" s="1894"/>
      <c r="T165" s="1894"/>
      <c r="U165" s="1894"/>
      <c r="V165" s="1924"/>
      <c r="W165" s="4645"/>
    </row>
    <row r="166" spans="1:23" ht="23.25" customHeight="1">
      <c r="A166" s="4643"/>
      <c r="B166" s="4643"/>
      <c r="C166" s="1931"/>
      <c r="D166" s="1908"/>
      <c r="E166" s="1908"/>
      <c r="F166" s="1909"/>
      <c r="G166" s="1909"/>
      <c r="H166" s="1909"/>
      <c r="I166" s="1909"/>
      <c r="J166" s="1909"/>
      <c r="K166" s="1909"/>
      <c r="L166" s="1909"/>
      <c r="M166" s="1909"/>
      <c r="N166" s="1909"/>
      <c r="O166" s="1909"/>
      <c r="P166" s="1909"/>
      <c r="Q166" s="1909"/>
      <c r="R166" s="1909"/>
      <c r="S166" s="1909"/>
      <c r="T166" s="1909"/>
      <c r="U166" s="1909"/>
      <c r="V166" s="1925"/>
      <c r="W166" s="4646"/>
    </row>
    <row r="167" spans="1:23" ht="24.75" customHeight="1">
      <c r="A167" s="4641">
        <v>32</v>
      </c>
      <c r="B167" s="4641" t="str">
        <f>'kt1'!B45</f>
        <v xml:space="preserve"> Nàng Ngột</v>
      </c>
      <c r="C167" s="1929"/>
      <c r="D167" s="1910"/>
      <c r="E167" s="1910"/>
      <c r="F167" s="1911"/>
      <c r="G167" s="1911"/>
      <c r="H167" s="1911"/>
      <c r="I167" s="1911"/>
      <c r="J167" s="1911"/>
      <c r="K167" s="1911"/>
      <c r="L167" s="1911"/>
      <c r="M167" s="1911"/>
      <c r="N167" s="1911"/>
      <c r="O167" s="1911"/>
      <c r="P167" s="1911"/>
      <c r="Q167" s="1911"/>
      <c r="R167" s="1911"/>
      <c r="S167" s="1911"/>
      <c r="T167" s="1911"/>
      <c r="U167" s="1911"/>
      <c r="V167" s="1923"/>
      <c r="W167" s="4644"/>
    </row>
    <row r="168" spans="1:23" ht="24.75" customHeight="1">
      <c r="A168" s="4642"/>
      <c r="B168" s="4642"/>
      <c r="C168" s="1930"/>
      <c r="D168" s="1893"/>
      <c r="E168" s="1893"/>
      <c r="F168" s="1894"/>
      <c r="G168" s="1894"/>
      <c r="H168" s="1894"/>
      <c r="I168" s="1894"/>
      <c r="J168" s="1894"/>
      <c r="K168" s="1894"/>
      <c r="L168" s="1894"/>
      <c r="M168" s="1894"/>
      <c r="N168" s="1894"/>
      <c r="O168" s="1894"/>
      <c r="P168" s="1894"/>
      <c r="Q168" s="1894"/>
      <c r="R168" s="1894"/>
      <c r="S168" s="1894"/>
      <c r="T168" s="1894"/>
      <c r="U168" s="1894"/>
      <c r="V168" s="1924"/>
      <c r="W168" s="4645"/>
    </row>
    <row r="169" spans="1:23" ht="24.75" customHeight="1">
      <c r="A169" s="4642"/>
      <c r="B169" s="4642"/>
      <c r="C169" s="1930"/>
      <c r="D169" s="1893"/>
      <c r="E169" s="1893"/>
      <c r="F169" s="1894"/>
      <c r="G169" s="1894"/>
      <c r="H169" s="1894"/>
      <c r="I169" s="1894"/>
      <c r="J169" s="1894"/>
      <c r="K169" s="1894"/>
      <c r="L169" s="1894"/>
      <c r="M169" s="1894"/>
      <c r="N169" s="1894"/>
      <c r="O169" s="1894"/>
      <c r="P169" s="1894"/>
      <c r="Q169" s="1894"/>
      <c r="R169" s="1894"/>
      <c r="S169" s="1894"/>
      <c r="T169" s="1894"/>
      <c r="U169" s="1894"/>
      <c r="V169" s="1924"/>
      <c r="W169" s="4645"/>
    </row>
    <row r="170" spans="1:23" ht="24.75" customHeight="1">
      <c r="A170" s="4642"/>
      <c r="B170" s="4642"/>
      <c r="C170" s="1930"/>
      <c r="D170" s="1893"/>
      <c r="E170" s="1893"/>
      <c r="F170" s="1894"/>
      <c r="G170" s="1894"/>
      <c r="H170" s="1894"/>
      <c r="I170" s="1894"/>
      <c r="J170" s="1894"/>
      <c r="K170" s="1894"/>
      <c r="L170" s="1894"/>
      <c r="M170" s="1894"/>
      <c r="N170" s="1894"/>
      <c r="O170" s="1894"/>
      <c r="P170" s="1894"/>
      <c r="Q170" s="1894"/>
      <c r="R170" s="1894"/>
      <c r="S170" s="1894"/>
      <c r="T170" s="1894"/>
      <c r="U170" s="1894"/>
      <c r="V170" s="1924"/>
      <c r="W170" s="4645"/>
    </row>
    <row r="171" spans="1:23" ht="24.75" customHeight="1">
      <c r="A171" s="4643"/>
      <c r="B171" s="4643"/>
      <c r="C171" s="1931"/>
      <c r="D171" s="1908"/>
      <c r="E171" s="1908"/>
      <c r="F171" s="1909"/>
      <c r="G171" s="1909"/>
      <c r="H171" s="1909"/>
      <c r="I171" s="1909"/>
      <c r="J171" s="1909"/>
      <c r="K171" s="1909"/>
      <c r="L171" s="1909"/>
      <c r="M171" s="1909"/>
      <c r="N171" s="1909"/>
      <c r="O171" s="1909"/>
      <c r="P171" s="1909"/>
      <c r="Q171" s="1909"/>
      <c r="R171" s="1909"/>
      <c r="S171" s="1909"/>
      <c r="T171" s="1909"/>
      <c r="U171" s="1909"/>
      <c r="V171" s="1925"/>
      <c r="W171" s="4646"/>
    </row>
    <row r="172" spans="1:23" ht="24.75" customHeight="1">
      <c r="A172" s="4641">
        <v>33</v>
      </c>
      <c r="B172" s="4641" t="str">
        <f>'kt1'!B46</f>
        <v>Nàng Chon</v>
      </c>
      <c r="C172" s="1929"/>
      <c r="D172" s="1910"/>
      <c r="E172" s="1910"/>
      <c r="F172" s="1911"/>
      <c r="G172" s="1911"/>
      <c r="H172" s="1911"/>
      <c r="I172" s="1911"/>
      <c r="J172" s="1911"/>
      <c r="K172" s="1911"/>
      <c r="L172" s="1911"/>
      <c r="M172" s="1911"/>
      <c r="N172" s="1911"/>
      <c r="O172" s="1911"/>
      <c r="P172" s="1911"/>
      <c r="Q172" s="1911"/>
      <c r="R172" s="1911"/>
      <c r="S172" s="1911"/>
      <c r="T172" s="1911"/>
      <c r="U172" s="1911"/>
      <c r="V172" s="1923"/>
      <c r="W172" s="4644"/>
    </row>
    <row r="173" spans="1:23" ht="24.75" customHeight="1">
      <c r="A173" s="4642"/>
      <c r="B173" s="4642"/>
      <c r="C173" s="1930"/>
      <c r="D173" s="1893"/>
      <c r="E173" s="1893"/>
      <c r="F173" s="1894"/>
      <c r="G173" s="1894"/>
      <c r="H173" s="1894"/>
      <c r="I173" s="1894"/>
      <c r="J173" s="1894"/>
      <c r="K173" s="1894"/>
      <c r="L173" s="1894"/>
      <c r="M173" s="1894"/>
      <c r="N173" s="1894"/>
      <c r="O173" s="1894"/>
      <c r="P173" s="1894"/>
      <c r="Q173" s="1894"/>
      <c r="R173" s="1894"/>
      <c r="S173" s="1894"/>
      <c r="T173" s="1894"/>
      <c r="U173" s="1894"/>
      <c r="V173" s="1924"/>
      <c r="W173" s="4645"/>
    </row>
    <row r="174" spans="1:23" ht="24.75" customHeight="1">
      <c r="A174" s="4642"/>
      <c r="B174" s="4642"/>
      <c r="C174" s="1930"/>
      <c r="D174" s="1893"/>
      <c r="E174" s="1893"/>
      <c r="F174" s="1894"/>
      <c r="G174" s="1894"/>
      <c r="H174" s="1894"/>
      <c r="I174" s="1894"/>
      <c r="J174" s="1894"/>
      <c r="K174" s="1894"/>
      <c r="L174" s="1894"/>
      <c r="M174" s="1894"/>
      <c r="N174" s="1894"/>
      <c r="O174" s="1894"/>
      <c r="P174" s="1894"/>
      <c r="Q174" s="1894"/>
      <c r="R174" s="1894"/>
      <c r="S174" s="1894"/>
      <c r="T174" s="1894"/>
      <c r="U174" s="1894"/>
      <c r="V174" s="1924"/>
      <c r="W174" s="4645"/>
    </row>
    <row r="175" spans="1:23" ht="24.75" customHeight="1">
      <c r="A175" s="4642"/>
      <c r="B175" s="4642"/>
      <c r="C175" s="1930"/>
      <c r="D175" s="1893"/>
      <c r="E175" s="1893"/>
      <c r="F175" s="1894"/>
      <c r="G175" s="1894"/>
      <c r="H175" s="1894"/>
      <c r="I175" s="1894"/>
      <c r="J175" s="1894"/>
      <c r="K175" s="1894"/>
      <c r="L175" s="1894"/>
      <c r="M175" s="1894"/>
      <c r="N175" s="1894"/>
      <c r="O175" s="1894"/>
      <c r="P175" s="1894"/>
      <c r="Q175" s="1894"/>
      <c r="R175" s="1894"/>
      <c r="S175" s="1894"/>
      <c r="T175" s="1894"/>
      <c r="U175" s="1894"/>
      <c r="V175" s="1924"/>
      <c r="W175" s="4645"/>
    </row>
    <row r="176" spans="1:23" ht="24.75" customHeight="1">
      <c r="A176" s="4643"/>
      <c r="B176" s="4643"/>
      <c r="C176" s="1931"/>
      <c r="D176" s="1908"/>
      <c r="E176" s="1908"/>
      <c r="F176" s="1909"/>
      <c r="G176" s="1909"/>
      <c r="H176" s="1909"/>
      <c r="I176" s="1909"/>
      <c r="J176" s="1909"/>
      <c r="K176" s="1909"/>
      <c r="L176" s="1909"/>
      <c r="M176" s="1909"/>
      <c r="N176" s="1909"/>
      <c r="O176" s="1909"/>
      <c r="P176" s="1909"/>
      <c r="Q176" s="1909"/>
      <c r="R176" s="1909"/>
      <c r="S176" s="1909"/>
      <c r="T176" s="1909"/>
      <c r="U176" s="1909"/>
      <c r="V176" s="1925"/>
      <c r="W176" s="4646"/>
    </row>
    <row r="177" spans="1:23" ht="24.75" hidden="1" customHeight="1">
      <c r="A177" s="4641">
        <v>34</v>
      </c>
      <c r="B177" s="4641" t="str">
        <f>'kt1'!B47</f>
        <v>Bun han</v>
      </c>
      <c r="C177" s="1929"/>
      <c r="D177" s="1910"/>
      <c r="E177" s="1910"/>
      <c r="F177" s="1911"/>
      <c r="G177" s="1911"/>
      <c r="H177" s="1911"/>
      <c r="I177" s="1911"/>
      <c r="J177" s="1911"/>
      <c r="K177" s="1911"/>
      <c r="L177" s="1911"/>
      <c r="M177" s="1911"/>
      <c r="N177" s="1911"/>
      <c r="O177" s="1911"/>
      <c r="P177" s="1911"/>
      <c r="Q177" s="1911"/>
      <c r="R177" s="1911"/>
      <c r="S177" s="1911"/>
      <c r="T177" s="1911"/>
      <c r="U177" s="1911"/>
      <c r="V177" s="1923"/>
      <c r="W177" s="4644"/>
    </row>
    <row r="178" spans="1:23" ht="24.75" hidden="1" customHeight="1">
      <c r="A178" s="4642"/>
      <c r="B178" s="4642"/>
      <c r="C178" s="1930"/>
      <c r="D178" s="1893"/>
      <c r="E178" s="1893"/>
      <c r="F178" s="1894"/>
      <c r="G178" s="1894"/>
      <c r="H178" s="1894"/>
      <c r="I178" s="1894"/>
      <c r="J178" s="1894"/>
      <c r="K178" s="1894"/>
      <c r="L178" s="1894"/>
      <c r="M178" s="1894"/>
      <c r="N178" s="1894"/>
      <c r="O178" s="1894"/>
      <c r="P178" s="1894"/>
      <c r="Q178" s="1894"/>
      <c r="R178" s="1894"/>
      <c r="S178" s="1894"/>
      <c r="T178" s="1894"/>
      <c r="U178" s="1894"/>
      <c r="V178" s="1924"/>
      <c r="W178" s="4645"/>
    </row>
    <row r="179" spans="1:23" ht="24.75" hidden="1" customHeight="1">
      <c r="A179" s="4642"/>
      <c r="B179" s="4642"/>
      <c r="C179" s="1930"/>
      <c r="D179" s="1893"/>
      <c r="E179" s="1893"/>
      <c r="F179" s="1894"/>
      <c r="G179" s="1894"/>
      <c r="H179" s="1894"/>
      <c r="I179" s="1894"/>
      <c r="J179" s="1894"/>
      <c r="K179" s="1894"/>
      <c r="L179" s="1894"/>
      <c r="M179" s="1894"/>
      <c r="N179" s="1894"/>
      <c r="O179" s="1894"/>
      <c r="P179" s="1894"/>
      <c r="Q179" s="1894"/>
      <c r="R179" s="1894"/>
      <c r="S179" s="1894"/>
      <c r="T179" s="1894"/>
      <c r="U179" s="1894"/>
      <c r="V179" s="1924"/>
      <c r="W179" s="4645"/>
    </row>
    <row r="180" spans="1:23" ht="24.75" hidden="1" customHeight="1">
      <c r="A180" s="4642"/>
      <c r="B180" s="4642"/>
      <c r="C180" s="1930"/>
      <c r="D180" s="1893"/>
      <c r="E180" s="1893"/>
      <c r="F180" s="1894"/>
      <c r="G180" s="1894"/>
      <c r="H180" s="1894"/>
      <c r="I180" s="1894"/>
      <c r="J180" s="1894"/>
      <c r="K180" s="1894"/>
      <c r="L180" s="1894"/>
      <c r="M180" s="1894"/>
      <c r="N180" s="1894"/>
      <c r="O180" s="1894"/>
      <c r="P180" s="1894"/>
      <c r="Q180" s="1894"/>
      <c r="R180" s="1894"/>
      <c r="S180" s="1894"/>
      <c r="T180" s="1894"/>
      <c r="U180" s="1894"/>
      <c r="V180" s="1924"/>
      <c r="W180" s="4645"/>
    </row>
    <row r="181" spans="1:23" ht="24.75" hidden="1" customHeight="1">
      <c r="A181" s="4643"/>
      <c r="B181" s="4643"/>
      <c r="C181" s="1931"/>
      <c r="D181" s="1908"/>
      <c r="E181" s="1908"/>
      <c r="F181" s="1909"/>
      <c r="G181" s="1909"/>
      <c r="H181" s="1909"/>
      <c r="I181" s="1909"/>
      <c r="J181" s="1909"/>
      <c r="K181" s="1909"/>
      <c r="L181" s="1909"/>
      <c r="M181" s="1909"/>
      <c r="N181" s="1909"/>
      <c r="O181" s="1909"/>
      <c r="P181" s="1909"/>
      <c r="Q181" s="1909"/>
      <c r="R181" s="1909"/>
      <c r="S181" s="1909"/>
      <c r="T181" s="1909"/>
      <c r="U181" s="1909"/>
      <c r="V181" s="1925"/>
      <c r="W181" s="4646"/>
    </row>
    <row r="182" spans="1:23" ht="19.5" customHeight="1">
      <c r="A182" s="4641">
        <v>35</v>
      </c>
      <c r="B182" s="4641" t="str">
        <f>'kt1'!B48</f>
        <v>Hăn</v>
      </c>
      <c r="C182" s="1929"/>
      <c r="D182" s="1910"/>
      <c r="E182" s="1910"/>
      <c r="F182" s="1911"/>
      <c r="G182" s="1911"/>
      <c r="H182" s="1911"/>
      <c r="I182" s="1911"/>
      <c r="J182" s="1911"/>
      <c r="K182" s="1911"/>
      <c r="L182" s="1911"/>
      <c r="M182" s="1911"/>
      <c r="N182" s="1911"/>
      <c r="O182" s="1911"/>
      <c r="P182" s="1911"/>
      <c r="Q182" s="1911"/>
      <c r="R182" s="1911"/>
      <c r="S182" s="1911"/>
      <c r="T182" s="1911"/>
      <c r="U182" s="1911"/>
      <c r="V182" s="1923"/>
      <c r="W182" s="4644"/>
    </row>
    <row r="183" spans="1:23" ht="19.5" customHeight="1">
      <c r="A183" s="4642"/>
      <c r="B183" s="4642"/>
      <c r="C183" s="1930"/>
      <c r="D183" s="1893"/>
      <c r="E183" s="1893"/>
      <c r="F183" s="1894"/>
      <c r="G183" s="1894"/>
      <c r="H183" s="1894"/>
      <c r="I183" s="1894"/>
      <c r="J183" s="1894"/>
      <c r="K183" s="1894"/>
      <c r="L183" s="1894"/>
      <c r="M183" s="1894"/>
      <c r="N183" s="1894"/>
      <c r="O183" s="1894"/>
      <c r="P183" s="1894"/>
      <c r="Q183" s="1894"/>
      <c r="R183" s="1894"/>
      <c r="S183" s="1894"/>
      <c r="T183" s="1894"/>
      <c r="U183" s="1894"/>
      <c r="V183" s="1924"/>
      <c r="W183" s="4645"/>
    </row>
    <row r="184" spans="1:23" ht="19.5" customHeight="1">
      <c r="A184" s="4642"/>
      <c r="B184" s="4642"/>
      <c r="C184" s="1930"/>
      <c r="D184" s="1893"/>
      <c r="E184" s="1893"/>
      <c r="F184" s="1894"/>
      <c r="G184" s="1894"/>
      <c r="H184" s="1894"/>
      <c r="I184" s="1894"/>
      <c r="J184" s="1894"/>
      <c r="K184" s="1894"/>
      <c r="L184" s="1894"/>
      <c r="M184" s="1894"/>
      <c r="N184" s="1894"/>
      <c r="O184" s="1894"/>
      <c r="P184" s="1894"/>
      <c r="Q184" s="1894"/>
      <c r="R184" s="1894"/>
      <c r="S184" s="1894"/>
      <c r="T184" s="1894"/>
      <c r="U184" s="1894"/>
      <c r="V184" s="1924"/>
      <c r="W184" s="4645"/>
    </row>
    <row r="185" spans="1:23" ht="19.5" customHeight="1">
      <c r="A185" s="4642"/>
      <c r="B185" s="4642"/>
      <c r="C185" s="1930"/>
      <c r="D185" s="1893"/>
      <c r="E185" s="1893"/>
      <c r="F185" s="1894"/>
      <c r="G185" s="1894"/>
      <c r="H185" s="1894"/>
      <c r="I185" s="1894"/>
      <c r="J185" s="1894"/>
      <c r="K185" s="1894"/>
      <c r="L185" s="1894"/>
      <c r="M185" s="1894"/>
      <c r="N185" s="1894"/>
      <c r="O185" s="1894"/>
      <c r="P185" s="1894"/>
      <c r="Q185" s="1894"/>
      <c r="R185" s="1894"/>
      <c r="S185" s="1894"/>
      <c r="T185" s="1894"/>
      <c r="U185" s="1894"/>
      <c r="V185" s="1924"/>
      <c r="W185" s="4645"/>
    </row>
    <row r="186" spans="1:23" ht="19.5" customHeight="1">
      <c r="A186" s="4643"/>
      <c r="B186" s="4643"/>
      <c r="C186" s="1931"/>
      <c r="D186" s="1908"/>
      <c r="E186" s="1908"/>
      <c r="F186" s="1909"/>
      <c r="G186" s="1909"/>
      <c r="H186" s="1909"/>
      <c r="I186" s="1909"/>
      <c r="J186" s="1909"/>
      <c r="K186" s="1909"/>
      <c r="L186" s="1909"/>
      <c r="M186" s="1909"/>
      <c r="N186" s="1909"/>
      <c r="O186" s="1909"/>
      <c r="P186" s="1909"/>
      <c r="Q186" s="1909"/>
      <c r="R186" s="1909"/>
      <c r="S186" s="1909"/>
      <c r="T186" s="1909"/>
      <c r="U186" s="1909"/>
      <c r="V186" s="1925"/>
      <c r="W186" s="4646"/>
    </row>
    <row r="187" spans="1:23" ht="19.5" customHeight="1">
      <c r="A187" s="4641">
        <v>36</v>
      </c>
      <c r="B187" s="4641" t="str">
        <f>'kt1'!B49</f>
        <v>Thảo Tuỳ</v>
      </c>
      <c r="C187" s="1929"/>
      <c r="D187" s="1910"/>
      <c r="E187" s="1910"/>
      <c r="F187" s="1911"/>
      <c r="G187" s="1911"/>
      <c r="H187" s="1911"/>
      <c r="I187" s="1911"/>
      <c r="J187" s="1911"/>
      <c r="K187" s="1911"/>
      <c r="L187" s="1911"/>
      <c r="M187" s="1911"/>
      <c r="N187" s="1911"/>
      <c r="O187" s="1911"/>
      <c r="P187" s="1911"/>
      <c r="Q187" s="1911"/>
      <c r="R187" s="1911"/>
      <c r="S187" s="1911"/>
      <c r="T187" s="1911"/>
      <c r="U187" s="1911"/>
      <c r="V187" s="1923"/>
      <c r="W187" s="4644"/>
    </row>
    <row r="188" spans="1:23" ht="19.5" customHeight="1">
      <c r="A188" s="4642"/>
      <c r="B188" s="4642"/>
      <c r="C188" s="1930"/>
      <c r="D188" s="1893"/>
      <c r="E188" s="1893"/>
      <c r="F188" s="1894"/>
      <c r="G188" s="1894"/>
      <c r="H188" s="1894"/>
      <c r="I188" s="1894"/>
      <c r="J188" s="1894"/>
      <c r="K188" s="1894"/>
      <c r="L188" s="1894"/>
      <c r="M188" s="1894"/>
      <c r="N188" s="1894"/>
      <c r="O188" s="1894"/>
      <c r="P188" s="1894"/>
      <c r="Q188" s="1894"/>
      <c r="R188" s="1894"/>
      <c r="S188" s="1894"/>
      <c r="T188" s="1894"/>
      <c r="U188" s="1894"/>
      <c r="V188" s="1924"/>
      <c r="W188" s="4645"/>
    </row>
    <row r="189" spans="1:23" ht="19.5" customHeight="1">
      <c r="A189" s="4642"/>
      <c r="B189" s="4642"/>
      <c r="C189" s="1930"/>
      <c r="D189" s="1893"/>
      <c r="E189" s="1893"/>
      <c r="F189" s="1894"/>
      <c r="G189" s="1894"/>
      <c r="H189" s="1894"/>
      <c r="I189" s="1894"/>
      <c r="J189" s="1894"/>
      <c r="K189" s="1894"/>
      <c r="L189" s="1894"/>
      <c r="M189" s="1894"/>
      <c r="N189" s="1894"/>
      <c r="O189" s="1894"/>
      <c r="P189" s="1894"/>
      <c r="Q189" s="1894"/>
      <c r="R189" s="1894"/>
      <c r="S189" s="1894"/>
      <c r="T189" s="1894"/>
      <c r="U189" s="1894"/>
      <c r="V189" s="1924"/>
      <c r="W189" s="4645"/>
    </row>
    <row r="190" spans="1:23" ht="19.5" customHeight="1">
      <c r="A190" s="4642"/>
      <c r="B190" s="4642"/>
      <c r="C190" s="1930"/>
      <c r="D190" s="1893"/>
      <c r="E190" s="1893"/>
      <c r="F190" s="1894"/>
      <c r="G190" s="1894"/>
      <c r="H190" s="1894"/>
      <c r="I190" s="1894"/>
      <c r="J190" s="1894"/>
      <c r="K190" s="1894"/>
      <c r="L190" s="1894"/>
      <c r="M190" s="1894"/>
      <c r="N190" s="1894"/>
      <c r="O190" s="1894"/>
      <c r="P190" s="1894"/>
      <c r="Q190" s="1894"/>
      <c r="R190" s="1894"/>
      <c r="S190" s="1894"/>
      <c r="T190" s="1894"/>
      <c r="U190" s="1894"/>
      <c r="V190" s="1924"/>
      <c r="W190" s="4645"/>
    </row>
    <row r="191" spans="1:23" ht="19.5" customHeight="1">
      <c r="A191" s="4643"/>
      <c r="B191" s="4643"/>
      <c r="C191" s="1931"/>
      <c r="D191" s="1908"/>
      <c r="E191" s="1908"/>
      <c r="F191" s="1909"/>
      <c r="G191" s="1909"/>
      <c r="H191" s="1909"/>
      <c r="I191" s="1909"/>
      <c r="J191" s="1909"/>
      <c r="K191" s="1909"/>
      <c r="L191" s="1909"/>
      <c r="M191" s="1909"/>
      <c r="N191" s="1909"/>
      <c r="O191" s="1909"/>
      <c r="P191" s="1909"/>
      <c r="Q191" s="1909"/>
      <c r="R191" s="1909"/>
      <c r="S191" s="1909"/>
      <c r="T191" s="1909"/>
      <c r="U191" s="1909"/>
      <c r="V191" s="1925"/>
      <c r="W191" s="4646"/>
    </row>
    <row r="192" spans="1:23" ht="15" hidden="1" customHeight="1">
      <c r="A192" s="4641">
        <v>37</v>
      </c>
      <c r="B192" s="4671"/>
      <c r="C192" s="1907"/>
      <c r="D192" s="1907"/>
      <c r="E192" s="1907"/>
      <c r="F192" s="1904"/>
      <c r="G192" s="1904"/>
      <c r="H192" s="1904"/>
      <c r="I192" s="1904"/>
      <c r="J192" s="1904"/>
      <c r="K192" s="1904"/>
      <c r="L192" s="1904"/>
      <c r="M192" s="1904"/>
      <c r="N192" s="1904"/>
      <c r="O192" s="1904"/>
      <c r="P192" s="1904"/>
      <c r="Q192" s="1904"/>
      <c r="R192" s="1904"/>
      <c r="S192" s="1904"/>
      <c r="T192" s="1904"/>
      <c r="U192" s="1904"/>
      <c r="V192" s="1904"/>
      <c r="W192" s="1903"/>
    </row>
    <row r="193" spans="1:23" ht="15" hidden="1" customHeight="1">
      <c r="A193" s="4642"/>
      <c r="B193" s="4667"/>
      <c r="C193" s="1893"/>
      <c r="D193" s="1893"/>
      <c r="E193" s="1893"/>
      <c r="F193" s="1894"/>
      <c r="G193" s="1894"/>
      <c r="H193" s="1894"/>
      <c r="I193" s="1894"/>
      <c r="J193" s="1894"/>
      <c r="K193" s="1894"/>
      <c r="L193" s="1894"/>
      <c r="M193" s="1894"/>
      <c r="N193" s="1894"/>
      <c r="O193" s="1894"/>
      <c r="P193" s="1894"/>
      <c r="Q193" s="1894"/>
      <c r="R193" s="1894"/>
      <c r="S193" s="1894"/>
      <c r="T193" s="1894"/>
      <c r="U193" s="1894"/>
      <c r="V193" s="1894"/>
      <c r="W193" s="1895"/>
    </row>
    <row r="194" spans="1:23" ht="15" hidden="1" customHeight="1">
      <c r="A194" s="4642"/>
      <c r="B194" s="4667"/>
      <c r="C194" s="1893"/>
      <c r="D194" s="1893"/>
      <c r="E194" s="1893"/>
      <c r="F194" s="1894"/>
      <c r="G194" s="1894"/>
      <c r="H194" s="1894"/>
      <c r="I194" s="1894"/>
      <c r="J194" s="1894"/>
      <c r="K194" s="1894"/>
      <c r="L194" s="1894"/>
      <c r="M194" s="1894"/>
      <c r="N194" s="1894"/>
      <c r="O194" s="1894"/>
      <c r="P194" s="1894"/>
      <c r="Q194" s="1894"/>
      <c r="R194" s="1894"/>
      <c r="S194" s="1894"/>
      <c r="T194" s="1894"/>
      <c r="U194" s="1894"/>
      <c r="V194" s="1894"/>
      <c r="W194" s="1895"/>
    </row>
    <row r="195" spans="1:23" ht="15" hidden="1" customHeight="1">
      <c r="A195" s="4642"/>
      <c r="B195" s="4667"/>
      <c r="C195" s="1893"/>
      <c r="D195" s="1893"/>
      <c r="E195" s="1893"/>
      <c r="F195" s="1894"/>
      <c r="G195" s="1894"/>
      <c r="H195" s="1894"/>
      <c r="I195" s="1894"/>
      <c r="J195" s="1894"/>
      <c r="K195" s="1894"/>
      <c r="L195" s="1894"/>
      <c r="M195" s="1894"/>
      <c r="N195" s="1894"/>
      <c r="O195" s="1894"/>
      <c r="P195" s="1894"/>
      <c r="Q195" s="1894"/>
      <c r="R195" s="1894"/>
      <c r="S195" s="1894"/>
      <c r="T195" s="1894"/>
      <c r="U195" s="1894"/>
      <c r="V195" s="1894"/>
      <c r="W195" s="1895"/>
    </row>
    <row r="196" spans="1:23" ht="15" hidden="1" customHeight="1">
      <c r="A196" s="4643"/>
      <c r="B196" s="4667"/>
      <c r="C196" s="1893"/>
      <c r="D196" s="1893"/>
      <c r="E196" s="1893"/>
      <c r="F196" s="1894"/>
      <c r="G196" s="1894"/>
      <c r="H196" s="1894"/>
      <c r="I196" s="1894"/>
      <c r="J196" s="1894"/>
      <c r="K196" s="1894"/>
      <c r="L196" s="1894"/>
      <c r="M196" s="1894"/>
      <c r="N196" s="1894"/>
      <c r="O196" s="1894"/>
      <c r="P196" s="1894"/>
      <c r="Q196" s="1894"/>
      <c r="R196" s="1894"/>
      <c r="S196" s="1894"/>
      <c r="T196" s="1894"/>
      <c r="U196" s="1894"/>
      <c r="V196" s="1894"/>
      <c r="W196" s="1895"/>
    </row>
    <row r="197" spans="1:23" ht="15" hidden="1" customHeight="1">
      <c r="A197" s="4641">
        <v>38</v>
      </c>
      <c r="B197" s="4667"/>
      <c r="C197" s="1893"/>
      <c r="D197" s="1893"/>
      <c r="E197" s="1893"/>
      <c r="F197" s="1894"/>
      <c r="G197" s="1894"/>
      <c r="H197" s="1894"/>
      <c r="I197" s="1894"/>
      <c r="J197" s="1894"/>
      <c r="K197" s="1894"/>
      <c r="L197" s="1894"/>
      <c r="M197" s="1894"/>
      <c r="N197" s="1894"/>
      <c r="O197" s="1894"/>
      <c r="P197" s="1894"/>
      <c r="Q197" s="1894"/>
      <c r="R197" s="1894"/>
      <c r="S197" s="1894"/>
      <c r="T197" s="1894"/>
      <c r="U197" s="1894"/>
      <c r="V197" s="1894"/>
      <c r="W197" s="1895"/>
    </row>
    <row r="198" spans="1:23" ht="15" hidden="1" customHeight="1">
      <c r="A198" s="4642"/>
      <c r="B198" s="4667"/>
      <c r="C198" s="1893"/>
      <c r="D198" s="1893"/>
      <c r="E198" s="1893"/>
      <c r="F198" s="1894"/>
      <c r="G198" s="1894"/>
      <c r="H198" s="1894"/>
      <c r="I198" s="1894"/>
      <c r="J198" s="1894"/>
      <c r="K198" s="1894"/>
      <c r="L198" s="1894"/>
      <c r="M198" s="1894"/>
      <c r="N198" s="1894"/>
      <c r="O198" s="1894"/>
      <c r="P198" s="1894"/>
      <c r="Q198" s="1894"/>
      <c r="R198" s="1894"/>
      <c r="S198" s="1894"/>
      <c r="T198" s="1894"/>
      <c r="U198" s="1894"/>
      <c r="V198" s="1894"/>
      <c r="W198" s="1895"/>
    </row>
    <row r="199" spans="1:23" ht="15" hidden="1" customHeight="1">
      <c r="A199" s="4642"/>
      <c r="B199" s="4667"/>
      <c r="C199" s="1893"/>
      <c r="D199" s="1893"/>
      <c r="E199" s="1893"/>
      <c r="F199" s="1894"/>
      <c r="G199" s="1894"/>
      <c r="H199" s="1894"/>
      <c r="I199" s="1894"/>
      <c r="J199" s="1894"/>
      <c r="K199" s="1894"/>
      <c r="L199" s="1894"/>
      <c r="M199" s="1894"/>
      <c r="N199" s="1894"/>
      <c r="O199" s="1894"/>
      <c r="P199" s="1894"/>
      <c r="Q199" s="1894"/>
      <c r="R199" s="1894"/>
      <c r="S199" s="1894"/>
      <c r="T199" s="1894"/>
      <c r="U199" s="1894"/>
      <c r="V199" s="1894"/>
      <c r="W199" s="1895"/>
    </row>
    <row r="200" spans="1:23" ht="15" hidden="1" customHeight="1">
      <c r="A200" s="4642"/>
      <c r="B200" s="4667"/>
      <c r="C200" s="1893"/>
      <c r="D200" s="1893"/>
      <c r="E200" s="1893"/>
      <c r="F200" s="1894"/>
      <c r="G200" s="1894"/>
      <c r="H200" s="1894"/>
      <c r="I200" s="1894"/>
      <c r="J200" s="1894"/>
      <c r="K200" s="1894"/>
      <c r="L200" s="1894"/>
      <c r="M200" s="1894"/>
      <c r="N200" s="1894"/>
      <c r="O200" s="1894"/>
      <c r="P200" s="1894"/>
      <c r="Q200" s="1894"/>
      <c r="R200" s="1894"/>
      <c r="S200" s="1894"/>
      <c r="T200" s="1894"/>
      <c r="U200" s="1894"/>
      <c r="V200" s="1894"/>
      <c r="W200" s="1895"/>
    </row>
    <row r="201" spans="1:23" ht="15" hidden="1" customHeight="1">
      <c r="A201" s="4643"/>
      <c r="B201" s="4667"/>
      <c r="C201" s="1893"/>
      <c r="D201" s="1893"/>
      <c r="E201" s="1893"/>
      <c r="F201" s="1894"/>
      <c r="G201" s="1894"/>
      <c r="H201" s="1894"/>
      <c r="I201" s="1894"/>
      <c r="J201" s="1894"/>
      <c r="K201" s="1894"/>
      <c r="L201" s="1894"/>
      <c r="M201" s="1894"/>
      <c r="N201" s="1894"/>
      <c r="O201" s="1894"/>
      <c r="P201" s="1894"/>
      <c r="Q201" s="1894"/>
      <c r="R201" s="1894"/>
      <c r="S201" s="1894"/>
      <c r="T201" s="1894"/>
      <c r="U201" s="1894"/>
      <c r="V201" s="1894"/>
      <c r="W201" s="1895"/>
    </row>
    <row r="202" spans="1:23" ht="15" hidden="1" customHeight="1">
      <c r="A202" s="4641">
        <v>39</v>
      </c>
      <c r="B202" s="4667"/>
      <c r="C202" s="1893"/>
      <c r="D202" s="1893"/>
      <c r="E202" s="1893"/>
      <c r="F202" s="1894"/>
      <c r="G202" s="1894"/>
      <c r="H202" s="1894"/>
      <c r="I202" s="1894"/>
      <c r="J202" s="1894"/>
      <c r="K202" s="1894"/>
      <c r="L202" s="1894"/>
      <c r="M202" s="1894"/>
      <c r="N202" s="1894"/>
      <c r="O202" s="1894"/>
      <c r="P202" s="1894"/>
      <c r="Q202" s="1894"/>
      <c r="R202" s="1894"/>
      <c r="S202" s="1894"/>
      <c r="T202" s="1894"/>
      <c r="U202" s="1894"/>
      <c r="V202" s="1894"/>
      <c r="W202" s="1895"/>
    </row>
    <row r="203" spans="1:23" ht="15" hidden="1" customHeight="1">
      <c r="A203" s="4642"/>
      <c r="B203" s="4667"/>
      <c r="C203" s="1893"/>
      <c r="D203" s="1893"/>
      <c r="E203" s="1893"/>
      <c r="F203" s="1894"/>
      <c r="G203" s="1894"/>
      <c r="H203" s="1894"/>
      <c r="I203" s="1894"/>
      <c r="J203" s="1894"/>
      <c r="K203" s="1894"/>
      <c r="L203" s="1894"/>
      <c r="M203" s="1894"/>
      <c r="N203" s="1894"/>
      <c r="O203" s="1894"/>
      <c r="P203" s="1894"/>
      <c r="Q203" s="1894"/>
      <c r="R203" s="1894"/>
      <c r="S203" s="1894"/>
      <c r="T203" s="1894"/>
      <c r="U203" s="1894"/>
      <c r="V203" s="1894"/>
      <c r="W203" s="1895"/>
    </row>
    <row r="204" spans="1:23" ht="15" hidden="1" customHeight="1">
      <c r="A204" s="4642"/>
      <c r="B204" s="4667"/>
      <c r="C204" s="1893"/>
      <c r="D204" s="1893"/>
      <c r="E204" s="1893"/>
      <c r="F204" s="1894"/>
      <c r="G204" s="1894"/>
      <c r="H204" s="1894"/>
      <c r="I204" s="1894"/>
      <c r="J204" s="1894"/>
      <c r="K204" s="1894"/>
      <c r="L204" s="1894"/>
      <c r="M204" s="1894"/>
      <c r="N204" s="1894"/>
      <c r="O204" s="1894"/>
      <c r="P204" s="1894"/>
      <c r="Q204" s="1894"/>
      <c r="R204" s="1894"/>
      <c r="S204" s="1894"/>
      <c r="T204" s="1894"/>
      <c r="U204" s="1894"/>
      <c r="V204" s="1894"/>
      <c r="W204" s="1895"/>
    </row>
    <row r="205" spans="1:23" ht="15" hidden="1" customHeight="1">
      <c r="A205" s="4642"/>
      <c r="B205" s="4667"/>
      <c r="C205" s="1893"/>
      <c r="D205" s="1893"/>
      <c r="E205" s="1893"/>
      <c r="F205" s="1894"/>
      <c r="G205" s="1894"/>
      <c r="H205" s="1894"/>
      <c r="I205" s="1894"/>
      <c r="J205" s="1894"/>
      <c r="K205" s="1894"/>
      <c r="L205" s="1894"/>
      <c r="M205" s="1894"/>
      <c r="N205" s="1894"/>
      <c r="O205" s="1894"/>
      <c r="P205" s="1894"/>
      <c r="Q205" s="1894"/>
      <c r="R205" s="1894"/>
      <c r="S205" s="1894"/>
      <c r="T205" s="1894"/>
      <c r="U205" s="1894"/>
      <c r="V205" s="1894"/>
      <c r="W205" s="1895"/>
    </row>
    <row r="206" spans="1:23" ht="15" hidden="1" customHeight="1">
      <c r="A206" s="4643"/>
      <c r="B206" s="4667"/>
      <c r="C206" s="1893"/>
      <c r="D206" s="1893"/>
      <c r="E206" s="1893"/>
      <c r="F206" s="1894"/>
      <c r="G206" s="1894"/>
      <c r="H206" s="1894"/>
      <c r="I206" s="1894"/>
      <c r="J206" s="1894"/>
      <c r="K206" s="1894"/>
      <c r="L206" s="1894"/>
      <c r="M206" s="1894"/>
      <c r="N206" s="1894"/>
      <c r="O206" s="1894"/>
      <c r="P206" s="1894"/>
      <c r="Q206" s="1894"/>
      <c r="R206" s="1894"/>
      <c r="S206" s="1894"/>
      <c r="T206" s="1894"/>
      <c r="U206" s="1894"/>
      <c r="V206" s="1894"/>
      <c r="W206" s="1895"/>
    </row>
    <row r="207" spans="1:23" ht="15" hidden="1" customHeight="1">
      <c r="A207" s="4641">
        <v>40</v>
      </c>
      <c r="B207" s="4667"/>
      <c r="C207" s="1893"/>
      <c r="D207" s="1893"/>
      <c r="E207" s="1893"/>
      <c r="F207" s="1894"/>
      <c r="G207" s="1894"/>
      <c r="H207" s="1894"/>
      <c r="I207" s="1894"/>
      <c r="J207" s="1894"/>
      <c r="K207" s="1894"/>
      <c r="L207" s="1894"/>
      <c r="M207" s="1894"/>
      <c r="N207" s="1894"/>
      <c r="O207" s="1894"/>
      <c r="P207" s="1894"/>
      <c r="Q207" s="1894"/>
      <c r="R207" s="1894"/>
      <c r="S207" s="1894"/>
      <c r="T207" s="1894"/>
      <c r="U207" s="1894"/>
      <c r="V207" s="1894"/>
      <c r="W207" s="1895"/>
    </row>
    <row r="208" spans="1:23" ht="15" hidden="1" customHeight="1">
      <c r="A208" s="4642"/>
      <c r="B208" s="4667"/>
      <c r="C208" s="1893"/>
      <c r="D208" s="1893"/>
      <c r="E208" s="1893"/>
      <c r="F208" s="1894"/>
      <c r="G208" s="1894"/>
      <c r="H208" s="1894"/>
      <c r="I208" s="1894"/>
      <c r="J208" s="1894"/>
      <c r="K208" s="1894"/>
      <c r="L208" s="1894"/>
      <c r="M208" s="1894"/>
      <c r="N208" s="1894"/>
      <c r="O208" s="1894"/>
      <c r="P208" s="1894"/>
      <c r="Q208" s="1894"/>
      <c r="R208" s="1894"/>
      <c r="S208" s="1894"/>
      <c r="T208" s="1894"/>
      <c r="U208" s="1894"/>
      <c r="V208" s="1894"/>
      <c r="W208" s="1895"/>
    </row>
    <row r="209" spans="1:23" ht="15" hidden="1" customHeight="1">
      <c r="A209" s="4642"/>
      <c r="B209" s="4667"/>
      <c r="C209" s="1893"/>
      <c r="D209" s="1893"/>
      <c r="E209" s="1893"/>
      <c r="F209" s="1894"/>
      <c r="G209" s="1894"/>
      <c r="H209" s="1894"/>
      <c r="I209" s="1894"/>
      <c r="J209" s="1894"/>
      <c r="K209" s="1894"/>
      <c r="L209" s="1894"/>
      <c r="M209" s="1894"/>
      <c r="N209" s="1894"/>
      <c r="O209" s="1894"/>
      <c r="P209" s="1894"/>
      <c r="Q209" s="1894"/>
      <c r="R209" s="1894"/>
      <c r="S209" s="1894"/>
      <c r="T209" s="1894"/>
      <c r="U209" s="1894"/>
      <c r="V209" s="1894"/>
      <c r="W209" s="1895"/>
    </row>
    <row r="210" spans="1:23" ht="15" hidden="1" customHeight="1">
      <c r="A210" s="4642"/>
      <c r="B210" s="4667"/>
      <c r="C210" s="1893"/>
      <c r="D210" s="1893"/>
      <c r="E210" s="1893"/>
      <c r="F210" s="1894"/>
      <c r="G210" s="1894"/>
      <c r="H210" s="1894"/>
      <c r="I210" s="1894"/>
      <c r="J210" s="1894"/>
      <c r="K210" s="1894"/>
      <c r="L210" s="1894"/>
      <c r="M210" s="1894"/>
      <c r="N210" s="1894"/>
      <c r="O210" s="1894"/>
      <c r="P210" s="1894"/>
      <c r="Q210" s="1894"/>
      <c r="R210" s="1894"/>
      <c r="S210" s="1894"/>
      <c r="T210" s="1894"/>
      <c r="U210" s="1894"/>
      <c r="V210" s="1894"/>
      <c r="W210" s="1895"/>
    </row>
    <row r="211" spans="1:23" ht="15" hidden="1" customHeight="1">
      <c r="A211" s="4643"/>
      <c r="B211" s="4667"/>
      <c r="C211" s="1893"/>
      <c r="D211" s="1893"/>
      <c r="E211" s="1893"/>
      <c r="F211" s="1894"/>
      <c r="G211" s="1894"/>
      <c r="H211" s="1894"/>
      <c r="I211" s="1894"/>
      <c r="J211" s="1894"/>
      <c r="K211" s="1894"/>
      <c r="L211" s="1894"/>
      <c r="M211" s="1894"/>
      <c r="N211" s="1894"/>
      <c r="O211" s="1894"/>
      <c r="P211" s="1894"/>
      <c r="Q211" s="1894"/>
      <c r="R211" s="1894"/>
      <c r="S211" s="1894"/>
      <c r="T211" s="1894"/>
      <c r="U211" s="1894"/>
      <c r="V211" s="1894"/>
      <c r="W211" s="1895"/>
    </row>
    <row r="212" spans="1:23" ht="15" hidden="1" customHeight="1">
      <c r="A212" s="4641">
        <v>41</v>
      </c>
      <c r="B212" s="4667"/>
      <c r="C212" s="1893"/>
      <c r="D212" s="1893"/>
      <c r="E212" s="1893"/>
      <c r="F212" s="1894"/>
      <c r="G212" s="1894"/>
      <c r="H212" s="1894"/>
      <c r="I212" s="1894"/>
      <c r="J212" s="1894"/>
      <c r="K212" s="1894"/>
      <c r="L212" s="1894"/>
      <c r="M212" s="1894"/>
      <c r="N212" s="1894"/>
      <c r="O212" s="1894"/>
      <c r="P212" s="1894"/>
      <c r="Q212" s="1894"/>
      <c r="R212" s="1894"/>
      <c r="S212" s="1894"/>
      <c r="T212" s="1894"/>
      <c r="U212" s="1894"/>
      <c r="V212" s="1894"/>
      <c r="W212" s="1895"/>
    </row>
    <row r="213" spans="1:23" ht="15" hidden="1" customHeight="1">
      <c r="A213" s="4642"/>
      <c r="B213" s="4667"/>
      <c r="C213" s="1893"/>
      <c r="D213" s="1893"/>
      <c r="E213" s="1893"/>
      <c r="F213" s="1894"/>
      <c r="G213" s="1894"/>
      <c r="H213" s="1894"/>
      <c r="I213" s="1894"/>
      <c r="J213" s="1894"/>
      <c r="K213" s="1894"/>
      <c r="L213" s="1894"/>
      <c r="M213" s="1894"/>
      <c r="N213" s="1894"/>
      <c r="O213" s="1894"/>
      <c r="P213" s="1894"/>
      <c r="Q213" s="1894"/>
      <c r="R213" s="1894"/>
      <c r="S213" s="1894"/>
      <c r="T213" s="1894"/>
      <c r="U213" s="1894"/>
      <c r="V213" s="1894"/>
      <c r="W213" s="1895"/>
    </row>
    <row r="214" spans="1:23" ht="15" hidden="1" customHeight="1">
      <c r="A214" s="4642"/>
      <c r="B214" s="4667"/>
      <c r="C214" s="1893"/>
      <c r="D214" s="1893"/>
      <c r="E214" s="1893"/>
      <c r="F214" s="1894"/>
      <c r="G214" s="1894"/>
      <c r="H214" s="1894"/>
      <c r="I214" s="1894"/>
      <c r="J214" s="1894"/>
      <c r="K214" s="1894"/>
      <c r="L214" s="1894"/>
      <c r="M214" s="1894"/>
      <c r="N214" s="1894"/>
      <c r="O214" s="1894"/>
      <c r="P214" s="1894"/>
      <c r="Q214" s="1894"/>
      <c r="R214" s="1894"/>
      <c r="S214" s="1894"/>
      <c r="T214" s="1894"/>
      <c r="U214" s="1894"/>
      <c r="V214" s="1894"/>
      <c r="W214" s="1895"/>
    </row>
    <row r="215" spans="1:23" ht="15" hidden="1" customHeight="1">
      <c r="A215" s="4642"/>
      <c r="B215" s="4667"/>
      <c r="C215" s="1893"/>
      <c r="D215" s="1893"/>
      <c r="E215" s="1893"/>
      <c r="F215" s="1894"/>
      <c r="G215" s="1894"/>
      <c r="H215" s="1894"/>
      <c r="I215" s="1894"/>
      <c r="J215" s="1894"/>
      <c r="K215" s="1894"/>
      <c r="L215" s="1894"/>
      <c r="M215" s="1894"/>
      <c r="N215" s="1894"/>
      <c r="O215" s="1894"/>
      <c r="P215" s="1894"/>
      <c r="Q215" s="1894"/>
      <c r="R215" s="1894"/>
      <c r="S215" s="1894"/>
      <c r="T215" s="1894"/>
      <c r="U215" s="1894"/>
      <c r="V215" s="1894"/>
      <c r="W215" s="1895"/>
    </row>
    <row r="216" spans="1:23" ht="15" hidden="1" customHeight="1">
      <c r="A216" s="4643"/>
      <c r="B216" s="4667"/>
      <c r="C216" s="1893"/>
      <c r="D216" s="1893"/>
      <c r="E216" s="1893"/>
      <c r="F216" s="1894"/>
      <c r="G216" s="1894"/>
      <c r="H216" s="1894"/>
      <c r="I216" s="1894"/>
      <c r="J216" s="1894"/>
      <c r="K216" s="1894"/>
      <c r="L216" s="1894"/>
      <c r="M216" s="1894"/>
      <c r="N216" s="1894"/>
      <c r="O216" s="1894"/>
      <c r="P216" s="1894"/>
      <c r="Q216" s="1894"/>
      <c r="R216" s="1894"/>
      <c r="S216" s="1894"/>
      <c r="T216" s="1894"/>
      <c r="U216" s="1894"/>
      <c r="V216" s="1894"/>
      <c r="W216" s="1895"/>
    </row>
    <row r="217" spans="1:23" ht="15" hidden="1" customHeight="1">
      <c r="A217" s="4641">
        <v>42</v>
      </c>
      <c r="B217" s="4667"/>
      <c r="C217" s="1893"/>
      <c r="D217" s="1893"/>
      <c r="E217" s="1893"/>
      <c r="F217" s="1894"/>
      <c r="G217" s="1894"/>
      <c r="H217" s="1894"/>
      <c r="I217" s="1894"/>
      <c r="J217" s="1894"/>
      <c r="K217" s="1894"/>
      <c r="L217" s="1894"/>
      <c r="M217" s="1894"/>
      <c r="N217" s="1894"/>
      <c r="O217" s="1894"/>
      <c r="P217" s="1894"/>
      <c r="Q217" s="1894"/>
      <c r="R217" s="1894"/>
      <c r="S217" s="1894"/>
      <c r="T217" s="1894"/>
      <c r="U217" s="1894"/>
      <c r="V217" s="1894"/>
      <c r="W217" s="1895"/>
    </row>
    <row r="218" spans="1:23" ht="15" hidden="1" customHeight="1">
      <c r="A218" s="4642"/>
      <c r="B218" s="4667"/>
      <c r="C218" s="1893"/>
      <c r="D218" s="1893"/>
      <c r="E218" s="1893"/>
      <c r="F218" s="1894"/>
      <c r="G218" s="1894"/>
      <c r="H218" s="1894"/>
      <c r="I218" s="1894"/>
      <c r="J218" s="1894"/>
      <c r="K218" s="1894"/>
      <c r="L218" s="1894"/>
      <c r="M218" s="1894"/>
      <c r="N218" s="1894"/>
      <c r="O218" s="1894"/>
      <c r="P218" s="1894"/>
      <c r="Q218" s="1894"/>
      <c r="R218" s="1894"/>
      <c r="S218" s="1894"/>
      <c r="T218" s="1894"/>
      <c r="U218" s="1894"/>
      <c r="V218" s="1894"/>
      <c r="W218" s="1895"/>
    </row>
    <row r="219" spans="1:23" ht="15" hidden="1" customHeight="1">
      <c r="A219" s="4642"/>
      <c r="B219" s="4667"/>
      <c r="C219" s="1893"/>
      <c r="D219" s="1893"/>
      <c r="E219" s="1893"/>
      <c r="F219" s="1894"/>
      <c r="G219" s="1894"/>
      <c r="H219" s="1894"/>
      <c r="I219" s="1894"/>
      <c r="J219" s="1894"/>
      <c r="K219" s="1894"/>
      <c r="L219" s="1894"/>
      <c r="M219" s="1894"/>
      <c r="N219" s="1894"/>
      <c r="O219" s="1894"/>
      <c r="P219" s="1894"/>
      <c r="Q219" s="1894"/>
      <c r="R219" s="1894"/>
      <c r="S219" s="1894"/>
      <c r="T219" s="1894"/>
      <c r="U219" s="1894"/>
      <c r="V219" s="1894"/>
      <c r="W219" s="1895"/>
    </row>
    <row r="220" spans="1:23" ht="15" hidden="1" customHeight="1">
      <c r="A220" s="4642"/>
      <c r="B220" s="4667"/>
      <c r="C220" s="1893"/>
      <c r="D220" s="1893"/>
      <c r="E220" s="1893"/>
      <c r="F220" s="1894"/>
      <c r="G220" s="1894"/>
      <c r="H220" s="1894"/>
      <c r="I220" s="1894"/>
      <c r="J220" s="1894"/>
      <c r="K220" s="1894"/>
      <c r="L220" s="1894"/>
      <c r="M220" s="1894"/>
      <c r="N220" s="1894"/>
      <c r="O220" s="1894"/>
      <c r="P220" s="1894"/>
      <c r="Q220" s="1894"/>
      <c r="R220" s="1894"/>
      <c r="S220" s="1894"/>
      <c r="T220" s="1894"/>
      <c r="U220" s="1894"/>
      <c r="V220" s="1894"/>
      <c r="W220" s="1895"/>
    </row>
    <row r="221" spans="1:23" ht="15" hidden="1" customHeight="1">
      <c r="A221" s="4643"/>
      <c r="B221" s="4667"/>
      <c r="C221" s="1893"/>
      <c r="D221" s="1893"/>
      <c r="E221" s="1893"/>
      <c r="F221" s="1894"/>
      <c r="G221" s="1894"/>
      <c r="H221" s="1894"/>
      <c r="I221" s="1894"/>
      <c r="J221" s="1894"/>
      <c r="K221" s="1894"/>
      <c r="L221" s="1894"/>
      <c r="M221" s="1894"/>
      <c r="N221" s="1894"/>
      <c r="O221" s="1894"/>
      <c r="P221" s="1894"/>
      <c r="Q221" s="1894"/>
      <c r="R221" s="1894"/>
      <c r="S221" s="1894"/>
      <c r="T221" s="1894"/>
      <c r="U221" s="1894"/>
      <c r="V221" s="1894"/>
      <c r="W221" s="1895"/>
    </row>
    <row r="222" spans="1:23" ht="15" hidden="1" customHeight="1">
      <c r="A222" s="4641">
        <v>43</v>
      </c>
      <c r="B222" s="4667"/>
      <c r="C222" s="1893"/>
      <c r="D222" s="1893"/>
      <c r="E222" s="1893"/>
      <c r="F222" s="1894"/>
      <c r="G222" s="1894"/>
      <c r="H222" s="1894"/>
      <c r="I222" s="1894"/>
      <c r="J222" s="1894"/>
      <c r="K222" s="1894"/>
      <c r="L222" s="1894"/>
      <c r="M222" s="1894"/>
      <c r="N222" s="1894"/>
      <c r="O222" s="1894"/>
      <c r="P222" s="1894"/>
      <c r="Q222" s="1894"/>
      <c r="R222" s="1894"/>
      <c r="S222" s="1894"/>
      <c r="T222" s="1894"/>
      <c r="U222" s="1894"/>
      <c r="V222" s="1894"/>
      <c r="W222" s="1895"/>
    </row>
    <row r="223" spans="1:23" ht="15" hidden="1" customHeight="1">
      <c r="A223" s="4642"/>
      <c r="B223" s="4667"/>
      <c r="C223" s="1893"/>
      <c r="D223" s="1893"/>
      <c r="E223" s="1893"/>
      <c r="F223" s="1894"/>
      <c r="G223" s="1894"/>
      <c r="H223" s="1894"/>
      <c r="I223" s="1894"/>
      <c r="J223" s="1894"/>
      <c r="K223" s="1894"/>
      <c r="L223" s="1894"/>
      <c r="M223" s="1894"/>
      <c r="N223" s="1894"/>
      <c r="O223" s="1894"/>
      <c r="P223" s="1894"/>
      <c r="Q223" s="1894"/>
      <c r="R223" s="1894"/>
      <c r="S223" s="1894"/>
      <c r="T223" s="1894"/>
      <c r="U223" s="1894"/>
      <c r="V223" s="1894"/>
      <c r="W223" s="1895"/>
    </row>
    <row r="224" spans="1:23" ht="15" hidden="1" customHeight="1">
      <c r="A224" s="4642"/>
      <c r="B224" s="4667"/>
      <c r="C224" s="1893"/>
      <c r="D224" s="1893"/>
      <c r="E224" s="1893"/>
      <c r="F224" s="1894"/>
      <c r="G224" s="1894"/>
      <c r="H224" s="1894"/>
      <c r="I224" s="1894"/>
      <c r="J224" s="1894"/>
      <c r="K224" s="1894"/>
      <c r="L224" s="1894"/>
      <c r="M224" s="1894"/>
      <c r="N224" s="1894"/>
      <c r="O224" s="1894"/>
      <c r="P224" s="1894"/>
      <c r="Q224" s="1894"/>
      <c r="R224" s="1894"/>
      <c r="S224" s="1894"/>
      <c r="T224" s="1894"/>
      <c r="U224" s="1894"/>
      <c r="V224" s="1894"/>
      <c r="W224" s="1895"/>
    </row>
    <row r="225" spans="1:23" ht="15" hidden="1" customHeight="1">
      <c r="A225" s="4642"/>
      <c r="B225" s="4667"/>
      <c r="C225" s="1893"/>
      <c r="D225" s="1893"/>
      <c r="E225" s="1893"/>
      <c r="F225" s="1894"/>
      <c r="G225" s="1894"/>
      <c r="H225" s="1894"/>
      <c r="I225" s="1894"/>
      <c r="J225" s="1894"/>
      <c r="K225" s="1894"/>
      <c r="L225" s="1894"/>
      <c r="M225" s="1894"/>
      <c r="N225" s="1894"/>
      <c r="O225" s="1894"/>
      <c r="P225" s="1894"/>
      <c r="Q225" s="1894"/>
      <c r="R225" s="1894"/>
      <c r="S225" s="1894"/>
      <c r="T225" s="1894"/>
      <c r="U225" s="1894"/>
      <c r="V225" s="1894"/>
      <c r="W225" s="1895"/>
    </row>
    <row r="226" spans="1:23" ht="16.5" hidden="1" customHeight="1">
      <c r="A226" s="4643"/>
      <c r="B226" s="4667"/>
      <c r="C226" s="1893"/>
      <c r="D226" s="1893"/>
      <c r="E226" s="1893"/>
      <c r="F226" s="1894"/>
      <c r="G226" s="1894"/>
      <c r="H226" s="1894"/>
      <c r="I226" s="1894"/>
      <c r="J226" s="1894"/>
      <c r="K226" s="1894"/>
      <c r="L226" s="1894"/>
      <c r="M226" s="1894"/>
      <c r="N226" s="1894"/>
      <c r="O226" s="1894"/>
      <c r="P226" s="1894"/>
      <c r="Q226" s="1894"/>
      <c r="R226" s="1894"/>
      <c r="S226" s="1894"/>
      <c r="T226" s="1894"/>
      <c r="U226" s="1894"/>
      <c r="V226" s="1894"/>
      <c r="W226" s="1895"/>
    </row>
    <row r="227" spans="1:23" ht="16.5">
      <c r="S227" s="4668" t="s">
        <v>1119</v>
      </c>
      <c r="T227" s="4668"/>
      <c r="U227" s="4668"/>
      <c r="V227" s="4668"/>
      <c r="W227" s="4668"/>
    </row>
    <row r="228" spans="1:23" ht="17.25" customHeight="1">
      <c r="A228" s="1902" t="s">
        <v>1111</v>
      </c>
      <c r="B228" s="1902"/>
      <c r="C228" s="1902"/>
      <c r="D228" s="1902"/>
      <c r="E228" s="1902"/>
      <c r="F228" s="1902"/>
      <c r="H228" s="1897"/>
      <c r="J228" s="1897" t="s">
        <v>1112</v>
      </c>
      <c r="K228" s="1897"/>
      <c r="L228" s="1897"/>
      <c r="M228" s="4638" t="s">
        <v>1113</v>
      </c>
      <c r="N228" s="4638"/>
      <c r="O228" s="4638"/>
      <c r="P228" s="4638"/>
      <c r="Q228" s="4638"/>
      <c r="R228" s="4638"/>
      <c r="S228" s="1897"/>
      <c r="T228" s="1897"/>
      <c r="U228" s="4638" t="s">
        <v>1114</v>
      </c>
      <c r="V228" s="4638"/>
      <c r="W228" s="4638"/>
    </row>
    <row r="229" spans="1:23" ht="17.25" customHeight="1">
      <c r="B229" s="1898" t="s">
        <v>113</v>
      </c>
      <c r="C229" s="1898" t="s">
        <v>1115</v>
      </c>
      <c r="D229" s="1898"/>
      <c r="E229" s="1896"/>
    </row>
    <row r="230" spans="1:23" ht="17.25" customHeight="1">
      <c r="B230" s="1898" t="s">
        <v>113</v>
      </c>
      <c r="C230" s="1898" t="s">
        <v>52</v>
      </c>
      <c r="D230" s="1898"/>
      <c r="E230" s="1896"/>
      <c r="G230" s="4669"/>
      <c r="H230" s="4669"/>
      <c r="I230" s="4669"/>
      <c r="J230" s="4669"/>
      <c r="K230" s="4669"/>
      <c r="L230" s="4669"/>
      <c r="M230" s="4669"/>
      <c r="N230" s="4669"/>
      <c r="O230" s="4669"/>
      <c r="P230" s="4669"/>
      <c r="Q230" s="4669"/>
      <c r="R230" s="4669"/>
      <c r="S230" s="4669"/>
      <c r="T230" s="4669"/>
      <c r="U230" s="4669"/>
      <c r="V230" s="4669"/>
    </row>
    <row r="231" spans="1:23" ht="17.25" customHeight="1">
      <c r="B231" s="1898" t="s">
        <v>113</v>
      </c>
      <c r="C231" s="1898" t="s">
        <v>92</v>
      </c>
      <c r="D231" s="1898"/>
      <c r="E231" s="1896"/>
      <c r="G231" s="4669"/>
      <c r="H231" s="4669"/>
      <c r="I231" s="4669"/>
      <c r="J231" s="4669"/>
      <c r="K231" s="4669"/>
      <c r="L231" s="4669"/>
      <c r="M231" s="4669"/>
      <c r="N231" s="4669"/>
      <c r="O231" s="4669"/>
      <c r="P231" s="4669"/>
      <c r="Q231" s="4669"/>
      <c r="R231" s="4669"/>
      <c r="S231" s="4669"/>
      <c r="T231" s="4669"/>
      <c r="U231" s="4669"/>
      <c r="V231" s="4669"/>
    </row>
    <row r="232" spans="1:23" ht="17.25" customHeight="1">
      <c r="B232" s="1898" t="s">
        <v>113</v>
      </c>
      <c r="C232" s="1898" t="s">
        <v>53</v>
      </c>
      <c r="D232" s="1898"/>
      <c r="E232" s="1896"/>
      <c r="G232" s="4669"/>
      <c r="H232" s="4669"/>
      <c r="I232" s="4669"/>
      <c r="J232" s="4669"/>
      <c r="K232" s="4669"/>
      <c r="L232" s="4669"/>
      <c r="M232" s="4669"/>
      <c r="N232" s="4669"/>
      <c r="O232" s="4669"/>
      <c r="P232" s="4669"/>
      <c r="Q232" s="4669"/>
      <c r="R232" s="4669"/>
      <c r="S232" s="4669"/>
      <c r="T232" s="4669"/>
      <c r="U232" s="4669"/>
      <c r="V232" s="4669"/>
    </row>
    <row r="233" spans="1:23" ht="17.25" customHeight="1">
      <c r="B233" s="1898" t="s">
        <v>113</v>
      </c>
      <c r="C233" s="1898" t="s">
        <v>93</v>
      </c>
      <c r="D233" s="1898"/>
      <c r="E233" s="1896"/>
      <c r="G233" s="4669"/>
      <c r="H233" s="4669"/>
      <c r="I233" s="4669"/>
      <c r="J233" s="4669"/>
      <c r="K233" s="4669"/>
      <c r="L233" s="4669"/>
      <c r="M233" s="4669"/>
      <c r="N233" s="4669"/>
      <c r="O233" s="4669"/>
      <c r="P233" s="4669"/>
      <c r="Q233" s="4669"/>
      <c r="R233" s="4669"/>
      <c r="S233" s="4669"/>
      <c r="T233" s="4669"/>
      <c r="U233" s="4669"/>
      <c r="V233" s="4669"/>
    </row>
    <row r="234" spans="1:23" ht="17.25" customHeight="1">
      <c r="B234" s="4670" t="s">
        <v>21</v>
      </c>
      <c r="C234" s="4670"/>
      <c r="D234" s="1899"/>
      <c r="E234" s="1896"/>
      <c r="G234" s="4669"/>
      <c r="H234" s="4669"/>
      <c r="I234" s="4669"/>
      <c r="J234" s="4669"/>
      <c r="K234" s="4669"/>
      <c r="L234" s="4669"/>
      <c r="M234" s="4669"/>
      <c r="N234" s="4669"/>
      <c r="O234" s="4669"/>
      <c r="P234" s="4669"/>
      <c r="Q234" s="4669"/>
      <c r="R234" s="4669"/>
      <c r="S234" s="4669"/>
      <c r="T234" s="4669"/>
      <c r="U234" s="4669"/>
      <c r="V234" s="4669"/>
    </row>
    <row r="235" spans="1:23" s="1901" customFormat="1" ht="16.5">
      <c r="A235" s="4666"/>
      <c r="B235" s="4666"/>
      <c r="C235" s="4666"/>
      <c r="D235" s="4666"/>
      <c r="E235" s="4666"/>
      <c r="F235" s="4666"/>
      <c r="G235" s="1900"/>
      <c r="H235" s="1900"/>
      <c r="I235" s="1900"/>
      <c r="J235" s="4666"/>
      <c r="K235" s="4666"/>
      <c r="L235" s="4666"/>
      <c r="M235" s="4666"/>
      <c r="N235" s="4666"/>
      <c r="O235" s="4666"/>
      <c r="P235" s="1900"/>
      <c r="Q235" s="1900"/>
      <c r="R235" s="1900"/>
      <c r="S235" s="1900"/>
      <c r="T235" s="1900"/>
      <c r="U235" s="4666"/>
      <c r="V235" s="4666"/>
      <c r="W235" s="4666"/>
    </row>
    <row r="236" spans="1:23" ht="17.25" customHeight="1"/>
  </sheetData>
  <mergeCells count="152">
    <mergeCell ref="A235:F235"/>
    <mergeCell ref="J235:O235"/>
    <mergeCell ref="U235:W235"/>
    <mergeCell ref="A222:A226"/>
    <mergeCell ref="B222:B226"/>
    <mergeCell ref="S227:W227"/>
    <mergeCell ref="M228:R228"/>
    <mergeCell ref="U228:W228"/>
    <mergeCell ref="G230:V234"/>
    <mergeCell ref="B234:C234"/>
    <mergeCell ref="A207:A211"/>
    <mergeCell ref="B207:B211"/>
    <mergeCell ref="A212:A216"/>
    <mergeCell ref="B212:B216"/>
    <mergeCell ref="A217:A221"/>
    <mergeCell ref="B217:B221"/>
    <mergeCell ref="A192:A196"/>
    <mergeCell ref="B192:B196"/>
    <mergeCell ref="A197:A201"/>
    <mergeCell ref="B197:B201"/>
    <mergeCell ref="A202:A206"/>
    <mergeCell ref="B202:B206"/>
    <mergeCell ref="A182:A186"/>
    <mergeCell ref="B182:B186"/>
    <mergeCell ref="W182:W186"/>
    <mergeCell ref="A187:A191"/>
    <mergeCell ref="B187:B191"/>
    <mergeCell ref="W187:W191"/>
    <mergeCell ref="A172:A176"/>
    <mergeCell ref="B172:B176"/>
    <mergeCell ref="W172:W176"/>
    <mergeCell ref="A177:A181"/>
    <mergeCell ref="B177:B181"/>
    <mergeCell ref="W177:W181"/>
    <mergeCell ref="A162:A166"/>
    <mergeCell ref="B162:B166"/>
    <mergeCell ref="W162:W166"/>
    <mergeCell ref="A167:A171"/>
    <mergeCell ref="B167:B171"/>
    <mergeCell ref="W167:W171"/>
    <mergeCell ref="A152:A156"/>
    <mergeCell ref="B152:B156"/>
    <mergeCell ref="W152:W156"/>
    <mergeCell ref="A157:A161"/>
    <mergeCell ref="B157:B161"/>
    <mergeCell ref="W157:W161"/>
    <mergeCell ref="A142:A146"/>
    <mergeCell ref="B142:B146"/>
    <mergeCell ref="W142:W146"/>
    <mergeCell ref="A147:A151"/>
    <mergeCell ref="B147:B151"/>
    <mergeCell ref="W147:W151"/>
    <mergeCell ref="A132:A136"/>
    <mergeCell ref="B132:B136"/>
    <mergeCell ref="W132:W136"/>
    <mergeCell ref="A137:A141"/>
    <mergeCell ref="B137:B141"/>
    <mergeCell ref="W137:W141"/>
    <mergeCell ref="A122:A126"/>
    <mergeCell ref="B122:B126"/>
    <mergeCell ref="W122:W126"/>
    <mergeCell ref="A127:A131"/>
    <mergeCell ref="B127:B131"/>
    <mergeCell ref="W127:W131"/>
    <mergeCell ref="A112:A116"/>
    <mergeCell ref="B112:B116"/>
    <mergeCell ref="W112:W116"/>
    <mergeCell ref="A117:A121"/>
    <mergeCell ref="B117:B121"/>
    <mergeCell ref="W117:W121"/>
    <mergeCell ref="A102:A106"/>
    <mergeCell ref="B102:B106"/>
    <mergeCell ref="W102:W106"/>
    <mergeCell ref="A107:A111"/>
    <mergeCell ref="B107:B111"/>
    <mergeCell ref="W107:W111"/>
    <mergeCell ref="A92:A96"/>
    <mergeCell ref="B92:B96"/>
    <mergeCell ref="W92:W96"/>
    <mergeCell ref="A97:A101"/>
    <mergeCell ref="B97:B101"/>
    <mergeCell ref="W97:W101"/>
    <mergeCell ref="A82:A86"/>
    <mergeCell ref="B82:B86"/>
    <mergeCell ref="W82:W86"/>
    <mergeCell ref="A87:A91"/>
    <mergeCell ref="B87:B91"/>
    <mergeCell ref="W87:W91"/>
    <mergeCell ref="A72:A76"/>
    <mergeCell ref="B72:B76"/>
    <mergeCell ref="W72:W76"/>
    <mergeCell ref="A77:A81"/>
    <mergeCell ref="B77:B81"/>
    <mergeCell ref="W77:W81"/>
    <mergeCell ref="A62:A66"/>
    <mergeCell ref="B62:B66"/>
    <mergeCell ref="W62:W66"/>
    <mergeCell ref="A67:A71"/>
    <mergeCell ref="B67:B71"/>
    <mergeCell ref="W67:W71"/>
    <mergeCell ref="A52:A56"/>
    <mergeCell ref="B52:B56"/>
    <mergeCell ref="W52:W56"/>
    <mergeCell ref="A57:A61"/>
    <mergeCell ref="B57:B61"/>
    <mergeCell ref="W57:W61"/>
    <mergeCell ref="A42:A46"/>
    <mergeCell ref="B42:B46"/>
    <mergeCell ref="W42:W46"/>
    <mergeCell ref="A47:A51"/>
    <mergeCell ref="B47:B51"/>
    <mergeCell ref="W47:W51"/>
    <mergeCell ref="A32:A36"/>
    <mergeCell ref="B32:B36"/>
    <mergeCell ref="W32:W36"/>
    <mergeCell ref="A37:A41"/>
    <mergeCell ref="B37:B41"/>
    <mergeCell ref="W37:W41"/>
    <mergeCell ref="A22:A26"/>
    <mergeCell ref="B22:B26"/>
    <mergeCell ref="W22:W26"/>
    <mergeCell ref="A27:A31"/>
    <mergeCell ref="B27:B31"/>
    <mergeCell ref="W27:W31"/>
    <mergeCell ref="A12:A16"/>
    <mergeCell ref="B12:B16"/>
    <mergeCell ref="W12:W16"/>
    <mergeCell ref="A17:A21"/>
    <mergeCell ref="B17:B21"/>
    <mergeCell ref="W17:W21"/>
    <mergeCell ref="W7:W11"/>
    <mergeCell ref="F8:F9"/>
    <mergeCell ref="G8:H8"/>
    <mergeCell ref="I8:J8"/>
    <mergeCell ref="K8:M8"/>
    <mergeCell ref="N8:Q8"/>
    <mergeCell ref="P1:W1"/>
    <mergeCell ref="A2:I2"/>
    <mergeCell ref="P2:W2"/>
    <mergeCell ref="A3:G3"/>
    <mergeCell ref="A5:W5"/>
    <mergeCell ref="V6:W6"/>
    <mergeCell ref="R8:R9"/>
    <mergeCell ref="S8:S9"/>
    <mergeCell ref="T8:T9"/>
    <mergeCell ref="U8:U9"/>
    <mergeCell ref="V8:V9"/>
    <mergeCell ref="A11:B11"/>
    <mergeCell ref="A7:A10"/>
    <mergeCell ref="B7:B10"/>
    <mergeCell ref="C7:E10"/>
    <mergeCell ref="F7:V7"/>
  </mergeCells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1"/>
  <sheetViews>
    <sheetView workbookViewId="0">
      <selection sqref="A1:XFD1048576"/>
    </sheetView>
  </sheetViews>
  <sheetFormatPr defaultColWidth="9.25" defaultRowHeight="12.75"/>
  <cols>
    <col min="1" max="1" width="4.375" style="1886" customWidth="1"/>
    <col min="2" max="2" width="7.875" style="1886" customWidth="1"/>
    <col min="3" max="5" width="3.375" style="1886" customWidth="1"/>
    <col min="6" max="6" width="4.25" style="1886" customWidth="1"/>
    <col min="7" max="7" width="4.625" style="1886" customWidth="1"/>
    <col min="8" max="8" width="4.25" style="1886" customWidth="1"/>
    <col min="9" max="9" width="5" style="1886" customWidth="1"/>
    <col min="10" max="10" width="3.75" style="1886" customWidth="1"/>
    <col min="11" max="13" width="4.875" style="1886" customWidth="1"/>
    <col min="14" max="14" width="5.375" style="1886" customWidth="1"/>
    <col min="15" max="18" width="4.875" style="1886" customWidth="1"/>
    <col min="19" max="20" width="5.375" style="1886" customWidth="1"/>
    <col min="21" max="21" width="6.625" style="1886" customWidth="1"/>
    <col min="22" max="22" width="9" style="1886" customWidth="1"/>
    <col min="23" max="23" width="8.125" style="1886" customWidth="1"/>
    <col min="24" max="16384" width="9.25" style="1886"/>
  </cols>
  <sheetData>
    <row r="1" spans="1:26" s="1885" customFormat="1" ht="15.75">
      <c r="A1" s="1884" t="s">
        <v>574</v>
      </c>
      <c r="B1" s="1884"/>
      <c r="C1" s="1884"/>
      <c r="D1" s="1884"/>
      <c r="E1" s="1884"/>
      <c r="F1" s="1884"/>
      <c r="G1" s="1884"/>
      <c r="P1" s="4638" t="s">
        <v>165</v>
      </c>
      <c r="Q1" s="4638"/>
      <c r="R1" s="4638"/>
      <c r="S1" s="4638"/>
      <c r="T1" s="4638"/>
      <c r="U1" s="4638"/>
      <c r="V1" s="4638"/>
      <c r="W1" s="4638"/>
    </row>
    <row r="2" spans="1:26" ht="15.75">
      <c r="A2" s="4638" t="s">
        <v>1108</v>
      </c>
      <c r="B2" s="4638"/>
      <c r="C2" s="4638"/>
      <c r="D2" s="4638"/>
      <c r="E2" s="4638"/>
      <c r="F2" s="4638"/>
      <c r="G2" s="4638"/>
      <c r="H2" s="4638"/>
      <c r="I2" s="4638"/>
      <c r="P2" s="4638" t="s">
        <v>171</v>
      </c>
      <c r="Q2" s="4638"/>
      <c r="R2" s="4638"/>
      <c r="S2" s="4638"/>
      <c r="T2" s="4638"/>
      <c r="U2" s="4638"/>
      <c r="V2" s="4638"/>
      <c r="W2" s="4638"/>
    </row>
    <row r="3" spans="1:26" ht="15.75">
      <c r="A3" s="4638" t="s">
        <v>322</v>
      </c>
      <c r="B3" s="4638"/>
      <c r="C3" s="4638"/>
      <c r="D3" s="4638"/>
      <c r="E3" s="4638"/>
      <c r="F3" s="4638"/>
      <c r="G3" s="4638"/>
    </row>
    <row r="4" spans="1:26" ht="9" customHeight="1">
      <c r="A4" s="1887"/>
      <c r="B4" s="1887"/>
      <c r="C4" s="1887"/>
      <c r="D4" s="1887"/>
      <c r="E4" s="1887"/>
    </row>
    <row r="5" spans="1:26" ht="18.75">
      <c r="A5" s="4639" t="s">
        <v>1109</v>
      </c>
      <c r="B5" s="4639"/>
      <c r="C5" s="4639"/>
      <c r="D5" s="4639"/>
      <c r="E5" s="4639"/>
      <c r="F5" s="4639"/>
      <c r="G5" s="4639"/>
      <c r="H5" s="4639"/>
      <c r="I5" s="4639"/>
      <c r="J5" s="4639"/>
      <c r="K5" s="4639"/>
      <c r="L5" s="4639"/>
      <c r="M5" s="4639"/>
      <c r="N5" s="4639"/>
      <c r="O5" s="4639"/>
      <c r="P5" s="4639"/>
      <c r="Q5" s="4639"/>
      <c r="R5" s="4639"/>
      <c r="S5" s="4639"/>
      <c r="T5" s="4639"/>
      <c r="U5" s="4639"/>
      <c r="V5" s="4639"/>
      <c r="W5" s="4639"/>
    </row>
    <row r="6" spans="1:26" ht="21" customHeight="1">
      <c r="V6" s="4640"/>
      <c r="W6" s="4640"/>
    </row>
    <row r="7" spans="1:26" ht="17.25" customHeight="1">
      <c r="A7" s="4655" t="s">
        <v>19</v>
      </c>
      <c r="B7" s="4655" t="s">
        <v>1110</v>
      </c>
      <c r="C7" s="4658" t="s">
        <v>116</v>
      </c>
      <c r="D7" s="4659"/>
      <c r="E7" s="4659"/>
      <c r="F7" s="4664" t="s">
        <v>117</v>
      </c>
      <c r="G7" s="4664"/>
      <c r="H7" s="4664"/>
      <c r="I7" s="4664"/>
      <c r="J7" s="4664"/>
      <c r="K7" s="4664"/>
      <c r="L7" s="4664"/>
      <c r="M7" s="4664"/>
      <c r="N7" s="4664"/>
      <c r="O7" s="4664"/>
      <c r="P7" s="4664"/>
      <c r="Q7" s="4664"/>
      <c r="R7" s="4664"/>
      <c r="S7" s="4664"/>
      <c r="T7" s="4664"/>
      <c r="U7" s="4664"/>
      <c r="V7" s="4665"/>
      <c r="W7" s="4647" t="s">
        <v>118</v>
      </c>
      <c r="Z7" s="1888"/>
    </row>
    <row r="8" spans="1:26" ht="16.5">
      <c r="A8" s="4656"/>
      <c r="B8" s="4656"/>
      <c r="C8" s="4660"/>
      <c r="D8" s="4661"/>
      <c r="E8" s="4661"/>
      <c r="F8" s="4650" t="s">
        <v>119</v>
      </c>
      <c r="G8" s="4651" t="s">
        <v>120</v>
      </c>
      <c r="H8" s="4651"/>
      <c r="I8" s="4651" t="s">
        <v>121</v>
      </c>
      <c r="J8" s="4651"/>
      <c r="K8" s="4651" t="s">
        <v>122</v>
      </c>
      <c r="L8" s="4651"/>
      <c r="M8" s="4651"/>
      <c r="N8" s="4651" t="s">
        <v>123</v>
      </c>
      <c r="O8" s="4651"/>
      <c r="P8" s="4651"/>
      <c r="Q8" s="4651"/>
      <c r="R8" s="4650" t="s">
        <v>124</v>
      </c>
      <c r="S8" s="4650" t="s">
        <v>125</v>
      </c>
      <c r="T8" s="4650" t="s">
        <v>126</v>
      </c>
      <c r="U8" s="4650" t="s">
        <v>127</v>
      </c>
      <c r="V8" s="4652" t="s">
        <v>128</v>
      </c>
      <c r="W8" s="4648"/>
      <c r="Z8" s="1889"/>
    </row>
    <row r="9" spans="1:26" ht="57.75" customHeight="1">
      <c r="A9" s="4656"/>
      <c r="B9" s="4656"/>
      <c r="C9" s="4660"/>
      <c r="D9" s="4661"/>
      <c r="E9" s="4661"/>
      <c r="F9" s="4650"/>
      <c r="G9" s="1890" t="s">
        <v>129</v>
      </c>
      <c r="H9" s="1890" t="s">
        <v>130</v>
      </c>
      <c r="I9" s="1891" t="s">
        <v>129</v>
      </c>
      <c r="J9" s="1890" t="s">
        <v>130</v>
      </c>
      <c r="K9" s="1890" t="s">
        <v>131</v>
      </c>
      <c r="L9" s="1890" t="s">
        <v>132</v>
      </c>
      <c r="M9" s="1890" t="s">
        <v>133</v>
      </c>
      <c r="N9" s="1890" t="s">
        <v>134</v>
      </c>
      <c r="O9" s="1891" t="s">
        <v>135</v>
      </c>
      <c r="P9" s="1890" t="s">
        <v>136</v>
      </c>
      <c r="Q9" s="1890" t="s">
        <v>137</v>
      </c>
      <c r="R9" s="4650"/>
      <c r="S9" s="4650"/>
      <c r="T9" s="4650"/>
      <c r="U9" s="4650"/>
      <c r="V9" s="4652"/>
      <c r="W9" s="4648"/>
      <c r="Z9" s="1892"/>
    </row>
    <row r="10" spans="1:26" ht="23.25" customHeight="1">
      <c r="A10" s="4657"/>
      <c r="B10" s="4657"/>
      <c r="C10" s="4662"/>
      <c r="D10" s="4663"/>
      <c r="E10" s="4663"/>
      <c r="F10" s="1914" t="s">
        <v>138</v>
      </c>
      <c r="G10" s="1915" t="s">
        <v>139</v>
      </c>
      <c r="H10" s="1915" t="s">
        <v>139</v>
      </c>
      <c r="I10" s="1915" t="s">
        <v>140</v>
      </c>
      <c r="J10" s="1915" t="s">
        <v>140</v>
      </c>
      <c r="K10" s="1915" t="s">
        <v>141</v>
      </c>
      <c r="L10" s="1914"/>
      <c r="M10" s="1914" t="s">
        <v>142</v>
      </c>
      <c r="N10" s="1916"/>
      <c r="O10" s="1917"/>
      <c r="P10" s="1918" t="s">
        <v>143</v>
      </c>
      <c r="Q10" s="1918"/>
      <c r="R10" s="1919" t="s">
        <v>144</v>
      </c>
      <c r="S10" s="1916"/>
      <c r="T10" s="1920" t="s">
        <v>145</v>
      </c>
      <c r="U10" s="1918"/>
      <c r="V10" s="1921"/>
      <c r="W10" s="4648"/>
    </row>
    <row r="11" spans="1:26" ht="18" customHeight="1">
      <c r="A11" s="4678" t="s">
        <v>146</v>
      </c>
      <c r="B11" s="4679"/>
      <c r="C11" s="1932" t="s">
        <v>147</v>
      </c>
      <c r="D11" s="1933" t="s">
        <v>148</v>
      </c>
      <c r="E11" s="1933" t="s">
        <v>149</v>
      </c>
      <c r="F11" s="1934">
        <v>1</v>
      </c>
      <c r="G11" s="1934">
        <v>4</v>
      </c>
      <c r="H11" s="1934">
        <v>2</v>
      </c>
      <c r="I11" s="1934">
        <v>5</v>
      </c>
      <c r="J11" s="1934">
        <v>3</v>
      </c>
      <c r="K11" s="1934">
        <v>3</v>
      </c>
      <c r="L11" s="1934">
        <v>2</v>
      </c>
      <c r="M11" s="1934">
        <v>5</v>
      </c>
      <c r="N11" s="1934">
        <v>1</v>
      </c>
      <c r="O11" s="1934">
        <v>2</v>
      </c>
      <c r="P11" s="1934">
        <v>1</v>
      </c>
      <c r="Q11" s="1934">
        <v>1</v>
      </c>
      <c r="R11" s="1934">
        <v>3</v>
      </c>
      <c r="S11" s="1934">
        <v>5</v>
      </c>
      <c r="T11" s="1934">
        <v>2</v>
      </c>
      <c r="U11" s="1934">
        <v>2</v>
      </c>
      <c r="V11" s="1935">
        <v>2</v>
      </c>
      <c r="W11" s="4649"/>
    </row>
    <row r="12" spans="1:26" ht="17.25" customHeight="1">
      <c r="A12" s="4641">
        <v>1</v>
      </c>
      <c r="B12" s="4641" t="s">
        <v>987</v>
      </c>
      <c r="C12" s="1929"/>
      <c r="D12" s="1910"/>
      <c r="E12" s="1910"/>
      <c r="F12" s="1911"/>
      <c r="G12" s="1911"/>
      <c r="H12" s="1911"/>
      <c r="I12" s="1911"/>
      <c r="J12" s="1911"/>
      <c r="K12" s="1911"/>
      <c r="L12" s="1911"/>
      <c r="M12" s="1911"/>
      <c r="N12" s="1911"/>
      <c r="O12" s="1911"/>
      <c r="P12" s="1911"/>
      <c r="Q12" s="1911"/>
      <c r="R12" s="1911"/>
      <c r="S12" s="1911"/>
      <c r="T12" s="1911"/>
      <c r="U12" s="1911"/>
      <c r="V12" s="1923"/>
      <c r="W12" s="4644"/>
    </row>
    <row r="13" spans="1:26" ht="17.25" customHeight="1">
      <c r="A13" s="4642"/>
      <c r="B13" s="4642"/>
      <c r="C13" s="1930"/>
      <c r="D13" s="1893"/>
      <c r="E13" s="1893"/>
      <c r="F13" s="1894"/>
      <c r="G13" s="1894"/>
      <c r="H13" s="1894"/>
      <c r="I13" s="1894"/>
      <c r="J13" s="1894"/>
      <c r="K13" s="1894"/>
      <c r="L13" s="1894"/>
      <c r="M13" s="1894"/>
      <c r="N13" s="1894"/>
      <c r="O13" s="1894"/>
      <c r="P13" s="1894"/>
      <c r="Q13" s="1894"/>
      <c r="R13" s="1894"/>
      <c r="S13" s="1894"/>
      <c r="T13" s="1894"/>
      <c r="U13" s="1894"/>
      <c r="V13" s="1924"/>
      <c r="W13" s="4645"/>
    </row>
    <row r="14" spans="1:26" ht="17.25" customHeight="1">
      <c r="A14" s="4642"/>
      <c r="B14" s="4642"/>
      <c r="C14" s="1930"/>
      <c r="D14" s="1893"/>
      <c r="E14" s="1893"/>
      <c r="F14" s="1894"/>
      <c r="G14" s="1894"/>
      <c r="H14" s="1894"/>
      <c r="I14" s="1894"/>
      <c r="J14" s="1894"/>
      <c r="K14" s="1894"/>
      <c r="L14" s="1894"/>
      <c r="M14" s="1894"/>
      <c r="N14" s="1894"/>
      <c r="O14" s="1894"/>
      <c r="P14" s="1894"/>
      <c r="Q14" s="1894"/>
      <c r="R14" s="1894"/>
      <c r="S14" s="1894"/>
      <c r="T14" s="1894"/>
      <c r="U14" s="1894"/>
      <c r="V14" s="1924"/>
      <c r="W14" s="4645"/>
    </row>
    <row r="15" spans="1:26" ht="17.25" customHeight="1">
      <c r="A15" s="4642"/>
      <c r="B15" s="4642"/>
      <c r="C15" s="1930"/>
      <c r="D15" s="1893"/>
      <c r="E15" s="1893"/>
      <c r="F15" s="1894"/>
      <c r="G15" s="1894"/>
      <c r="H15" s="1894"/>
      <c r="I15" s="1894"/>
      <c r="J15" s="1894"/>
      <c r="K15" s="1894"/>
      <c r="L15" s="1894"/>
      <c r="M15" s="1894"/>
      <c r="N15" s="1894"/>
      <c r="O15" s="1894"/>
      <c r="P15" s="1894"/>
      <c r="Q15" s="1894"/>
      <c r="R15" s="1894"/>
      <c r="S15" s="1894"/>
      <c r="T15" s="1894"/>
      <c r="U15" s="1894"/>
      <c r="V15" s="1924"/>
      <c r="W15" s="4645"/>
    </row>
    <row r="16" spans="1:26" ht="17.25" customHeight="1">
      <c r="A16" s="4643"/>
      <c r="B16" s="4643"/>
      <c r="C16" s="1931"/>
      <c r="D16" s="1908"/>
      <c r="E16" s="1908"/>
      <c r="F16" s="1909"/>
      <c r="G16" s="1909"/>
      <c r="H16" s="1909"/>
      <c r="I16" s="1909"/>
      <c r="J16" s="1909"/>
      <c r="K16" s="1909"/>
      <c r="L16" s="1909"/>
      <c r="M16" s="1909"/>
      <c r="N16" s="1909"/>
      <c r="O16" s="1909"/>
      <c r="P16" s="1909"/>
      <c r="Q16" s="1909"/>
      <c r="R16" s="1909"/>
      <c r="S16" s="1909"/>
      <c r="T16" s="1909"/>
      <c r="U16" s="1909"/>
      <c r="V16" s="1925"/>
      <c r="W16" s="4646"/>
    </row>
    <row r="17" spans="1:23" ht="17.25" customHeight="1">
      <c r="A17" s="4641">
        <v>2</v>
      </c>
      <c r="B17" s="4680" t="s">
        <v>988</v>
      </c>
      <c r="C17" s="1929"/>
      <c r="D17" s="1910"/>
      <c r="E17" s="1910"/>
      <c r="F17" s="1911"/>
      <c r="G17" s="1911"/>
      <c r="H17" s="1911"/>
      <c r="I17" s="1911"/>
      <c r="J17" s="1911"/>
      <c r="K17" s="1911"/>
      <c r="L17" s="1911"/>
      <c r="M17" s="1911"/>
      <c r="N17" s="1911"/>
      <c r="O17" s="1911"/>
      <c r="P17" s="1911"/>
      <c r="Q17" s="1911"/>
      <c r="R17" s="1911"/>
      <c r="S17" s="1911"/>
      <c r="T17" s="1911"/>
      <c r="U17" s="1911"/>
      <c r="V17" s="1923"/>
      <c r="W17" s="4644"/>
    </row>
    <row r="18" spans="1:23" ht="17.25" customHeight="1">
      <c r="A18" s="4642"/>
      <c r="B18" s="4681"/>
      <c r="C18" s="1930"/>
      <c r="D18" s="1893"/>
      <c r="E18" s="1893"/>
      <c r="F18" s="1894"/>
      <c r="G18" s="1894"/>
      <c r="H18" s="1894"/>
      <c r="I18" s="1894"/>
      <c r="J18" s="1894"/>
      <c r="K18" s="1894"/>
      <c r="L18" s="1894"/>
      <c r="M18" s="1894"/>
      <c r="N18" s="1894"/>
      <c r="O18" s="1894"/>
      <c r="P18" s="1894"/>
      <c r="Q18" s="1894"/>
      <c r="R18" s="1894"/>
      <c r="S18" s="1894"/>
      <c r="T18" s="1894"/>
      <c r="U18" s="1894"/>
      <c r="V18" s="1924"/>
      <c r="W18" s="4645"/>
    </row>
    <row r="19" spans="1:23" ht="17.25" customHeight="1">
      <c r="A19" s="4642"/>
      <c r="B19" s="4681"/>
      <c r="C19" s="1930"/>
      <c r="D19" s="1893"/>
      <c r="E19" s="1893"/>
      <c r="F19" s="1894"/>
      <c r="G19" s="1894"/>
      <c r="H19" s="1894"/>
      <c r="I19" s="1894"/>
      <c r="J19" s="1894"/>
      <c r="K19" s="1894"/>
      <c r="L19" s="1894"/>
      <c r="M19" s="1894"/>
      <c r="N19" s="1894"/>
      <c r="O19" s="1894"/>
      <c r="P19" s="1894"/>
      <c r="Q19" s="1894"/>
      <c r="R19" s="1894"/>
      <c r="S19" s="1894"/>
      <c r="T19" s="1894"/>
      <c r="U19" s="1894"/>
      <c r="V19" s="1924"/>
      <c r="W19" s="4645"/>
    </row>
    <row r="20" spans="1:23" ht="17.25" customHeight="1">
      <c r="A20" s="4642"/>
      <c r="B20" s="4681"/>
      <c r="C20" s="1930"/>
      <c r="D20" s="1893"/>
      <c r="E20" s="1893"/>
      <c r="F20" s="1894"/>
      <c r="G20" s="1894"/>
      <c r="H20" s="1894"/>
      <c r="I20" s="1894"/>
      <c r="J20" s="1894"/>
      <c r="K20" s="1894"/>
      <c r="L20" s="1894"/>
      <c r="M20" s="1894"/>
      <c r="N20" s="1894"/>
      <c r="O20" s="1894"/>
      <c r="P20" s="1894"/>
      <c r="Q20" s="1894"/>
      <c r="R20" s="1894"/>
      <c r="S20" s="1894"/>
      <c r="T20" s="1894"/>
      <c r="U20" s="1894"/>
      <c r="V20" s="1924"/>
      <c r="W20" s="4645"/>
    </row>
    <row r="21" spans="1:23" ht="17.25" customHeight="1">
      <c r="A21" s="4643"/>
      <c r="B21" s="4682"/>
      <c r="C21" s="1931"/>
      <c r="D21" s="1908"/>
      <c r="E21" s="1908"/>
      <c r="F21" s="1909"/>
      <c r="G21" s="1909"/>
      <c r="H21" s="1909"/>
      <c r="I21" s="1909"/>
      <c r="J21" s="1909"/>
      <c r="K21" s="1909"/>
      <c r="L21" s="1909"/>
      <c r="M21" s="1909"/>
      <c r="N21" s="1909"/>
      <c r="O21" s="1909"/>
      <c r="P21" s="1909"/>
      <c r="Q21" s="1909"/>
      <c r="R21" s="1909"/>
      <c r="S21" s="1909"/>
      <c r="T21" s="1909"/>
      <c r="U21" s="1909"/>
      <c r="V21" s="1925"/>
      <c r="W21" s="4646"/>
    </row>
    <row r="22" spans="1:23" ht="21" customHeight="1">
      <c r="A22" s="4641">
        <v>3</v>
      </c>
      <c r="B22" s="4680" t="s">
        <v>964</v>
      </c>
      <c r="C22" s="1929"/>
      <c r="D22" s="1910"/>
      <c r="E22" s="1910"/>
      <c r="F22" s="1911"/>
      <c r="G22" s="1911"/>
      <c r="H22" s="1911"/>
      <c r="I22" s="1911"/>
      <c r="J22" s="1911"/>
      <c r="K22" s="1911"/>
      <c r="L22" s="1911"/>
      <c r="M22" s="1911"/>
      <c r="N22" s="1911"/>
      <c r="O22" s="1911"/>
      <c r="P22" s="1911"/>
      <c r="Q22" s="1911"/>
      <c r="R22" s="1911"/>
      <c r="S22" s="1911"/>
      <c r="T22" s="1911"/>
      <c r="U22" s="1911"/>
      <c r="V22" s="1923"/>
      <c r="W22" s="4644"/>
    </row>
    <row r="23" spans="1:23" ht="21" customHeight="1">
      <c r="A23" s="4642"/>
      <c r="B23" s="4681"/>
      <c r="C23" s="1930"/>
      <c r="D23" s="1893"/>
      <c r="E23" s="1893"/>
      <c r="F23" s="1894"/>
      <c r="G23" s="1894"/>
      <c r="H23" s="1894"/>
      <c r="I23" s="1894"/>
      <c r="J23" s="1894"/>
      <c r="K23" s="1894"/>
      <c r="L23" s="1894"/>
      <c r="M23" s="1894"/>
      <c r="N23" s="1894"/>
      <c r="O23" s="1894"/>
      <c r="P23" s="1894"/>
      <c r="Q23" s="1894"/>
      <c r="R23" s="1894"/>
      <c r="S23" s="1894"/>
      <c r="T23" s="1894"/>
      <c r="U23" s="1894"/>
      <c r="V23" s="1924"/>
      <c r="W23" s="4645"/>
    </row>
    <row r="24" spans="1:23" ht="21" customHeight="1">
      <c r="A24" s="4642"/>
      <c r="B24" s="4681"/>
      <c r="C24" s="1930"/>
      <c r="D24" s="1893"/>
      <c r="E24" s="1893"/>
      <c r="F24" s="1894"/>
      <c r="G24" s="1894"/>
      <c r="H24" s="1894"/>
      <c r="I24" s="1894"/>
      <c r="J24" s="1894"/>
      <c r="K24" s="1894"/>
      <c r="L24" s="1894"/>
      <c r="M24" s="1894"/>
      <c r="N24" s="1894"/>
      <c r="O24" s="1894"/>
      <c r="P24" s="1894"/>
      <c r="Q24" s="1894"/>
      <c r="R24" s="1894"/>
      <c r="S24" s="1894"/>
      <c r="T24" s="1894"/>
      <c r="U24" s="1894"/>
      <c r="V24" s="1924"/>
      <c r="W24" s="4645"/>
    </row>
    <row r="25" spans="1:23" ht="21" customHeight="1">
      <c r="A25" s="4642"/>
      <c r="B25" s="4681"/>
      <c r="C25" s="1930"/>
      <c r="D25" s="1893"/>
      <c r="E25" s="1893"/>
      <c r="F25" s="1894"/>
      <c r="G25" s="1894"/>
      <c r="H25" s="1894"/>
      <c r="I25" s="1894"/>
      <c r="J25" s="1894"/>
      <c r="K25" s="1894"/>
      <c r="L25" s="1894"/>
      <c r="M25" s="1894"/>
      <c r="N25" s="1894"/>
      <c r="O25" s="1894"/>
      <c r="P25" s="1894"/>
      <c r="Q25" s="1894"/>
      <c r="R25" s="1894"/>
      <c r="S25" s="1894"/>
      <c r="T25" s="1894"/>
      <c r="U25" s="1894"/>
      <c r="V25" s="1924"/>
      <c r="W25" s="4645"/>
    </row>
    <row r="26" spans="1:23" ht="21" customHeight="1">
      <c r="A26" s="4643"/>
      <c r="B26" s="4682"/>
      <c r="C26" s="1931"/>
      <c r="D26" s="1908"/>
      <c r="E26" s="1908"/>
      <c r="F26" s="1909"/>
      <c r="G26" s="1909"/>
      <c r="H26" s="1909"/>
      <c r="I26" s="1909"/>
      <c r="J26" s="1909"/>
      <c r="K26" s="1909"/>
      <c r="L26" s="1909"/>
      <c r="M26" s="1909"/>
      <c r="N26" s="1909"/>
      <c r="O26" s="1909"/>
      <c r="P26" s="1909"/>
      <c r="Q26" s="1909"/>
      <c r="R26" s="1909"/>
      <c r="S26" s="1909"/>
      <c r="T26" s="1909"/>
      <c r="U26" s="1909"/>
      <c r="V26" s="1925"/>
      <c r="W26" s="4646"/>
    </row>
    <row r="27" spans="1:23" ht="19.5" customHeight="1">
      <c r="A27" s="4641">
        <v>4</v>
      </c>
      <c r="B27" s="4680" t="s">
        <v>965</v>
      </c>
      <c r="C27" s="1929"/>
      <c r="D27" s="1910"/>
      <c r="E27" s="1910"/>
      <c r="F27" s="1911"/>
      <c r="G27" s="1911"/>
      <c r="H27" s="1911"/>
      <c r="I27" s="1911"/>
      <c r="J27" s="1911"/>
      <c r="K27" s="1911"/>
      <c r="L27" s="1911"/>
      <c r="M27" s="1911"/>
      <c r="N27" s="1911"/>
      <c r="O27" s="1911"/>
      <c r="P27" s="1911"/>
      <c r="Q27" s="1911"/>
      <c r="R27" s="1911"/>
      <c r="S27" s="1911"/>
      <c r="T27" s="1911"/>
      <c r="U27" s="1911"/>
      <c r="V27" s="1923"/>
      <c r="W27" s="4644"/>
    </row>
    <row r="28" spans="1:23" ht="19.5" customHeight="1">
      <c r="A28" s="4642"/>
      <c r="B28" s="4681"/>
      <c r="C28" s="1930"/>
      <c r="D28" s="1893"/>
      <c r="E28" s="1893"/>
      <c r="F28" s="1894"/>
      <c r="G28" s="1894"/>
      <c r="H28" s="1894"/>
      <c r="I28" s="1894"/>
      <c r="J28" s="1894"/>
      <c r="K28" s="1894"/>
      <c r="L28" s="1894"/>
      <c r="M28" s="1894"/>
      <c r="N28" s="1894"/>
      <c r="O28" s="1894"/>
      <c r="P28" s="1894"/>
      <c r="Q28" s="1894"/>
      <c r="R28" s="1894"/>
      <c r="S28" s="1894"/>
      <c r="T28" s="1894"/>
      <c r="U28" s="1894"/>
      <c r="V28" s="1924"/>
      <c r="W28" s="4645"/>
    </row>
    <row r="29" spans="1:23" ht="19.5" customHeight="1">
      <c r="A29" s="4642"/>
      <c r="B29" s="4681"/>
      <c r="C29" s="1930"/>
      <c r="D29" s="1893"/>
      <c r="E29" s="1893"/>
      <c r="F29" s="1894"/>
      <c r="G29" s="1894"/>
      <c r="H29" s="1894"/>
      <c r="I29" s="1894"/>
      <c r="J29" s="1894"/>
      <c r="K29" s="1894"/>
      <c r="L29" s="1894"/>
      <c r="M29" s="1894"/>
      <c r="N29" s="1894"/>
      <c r="O29" s="1894"/>
      <c r="P29" s="1894"/>
      <c r="Q29" s="1894"/>
      <c r="R29" s="1894"/>
      <c r="S29" s="1894"/>
      <c r="T29" s="1894"/>
      <c r="U29" s="1894"/>
      <c r="V29" s="1924"/>
      <c r="W29" s="4645"/>
    </row>
    <row r="30" spans="1:23" ht="19.5" customHeight="1">
      <c r="A30" s="4642"/>
      <c r="B30" s="4681"/>
      <c r="C30" s="1930"/>
      <c r="D30" s="1893"/>
      <c r="E30" s="1893"/>
      <c r="F30" s="1894"/>
      <c r="G30" s="1894"/>
      <c r="H30" s="1894"/>
      <c r="I30" s="1894"/>
      <c r="J30" s="1894"/>
      <c r="K30" s="1894"/>
      <c r="L30" s="1894"/>
      <c r="M30" s="1894"/>
      <c r="N30" s="1894"/>
      <c r="O30" s="1894"/>
      <c r="P30" s="1894"/>
      <c r="Q30" s="1894"/>
      <c r="R30" s="1894"/>
      <c r="S30" s="1894"/>
      <c r="T30" s="1894"/>
      <c r="U30" s="1894"/>
      <c r="V30" s="1924"/>
      <c r="W30" s="4645"/>
    </row>
    <row r="31" spans="1:23" ht="19.5" customHeight="1">
      <c r="A31" s="4643"/>
      <c r="B31" s="4682"/>
      <c r="C31" s="1931"/>
      <c r="D31" s="1908"/>
      <c r="E31" s="1908"/>
      <c r="F31" s="1909"/>
      <c r="G31" s="1909"/>
      <c r="H31" s="1909"/>
      <c r="I31" s="1909"/>
      <c r="J31" s="1909"/>
      <c r="K31" s="1909"/>
      <c r="L31" s="1909"/>
      <c r="M31" s="1909"/>
      <c r="N31" s="1909"/>
      <c r="O31" s="1909"/>
      <c r="P31" s="1909"/>
      <c r="Q31" s="1909"/>
      <c r="R31" s="1909"/>
      <c r="S31" s="1909"/>
      <c r="T31" s="1909"/>
      <c r="U31" s="1909"/>
      <c r="V31" s="1925"/>
      <c r="W31" s="4646"/>
    </row>
    <row r="32" spans="1:23" ht="17.25" customHeight="1">
      <c r="A32" s="4641">
        <v>5</v>
      </c>
      <c r="B32" s="4680" t="s">
        <v>952</v>
      </c>
      <c r="C32" s="1929"/>
      <c r="D32" s="1910"/>
      <c r="E32" s="1910"/>
      <c r="F32" s="1911"/>
      <c r="G32" s="1911"/>
      <c r="H32" s="1911"/>
      <c r="I32" s="1911"/>
      <c r="J32" s="1911"/>
      <c r="K32" s="1911"/>
      <c r="L32" s="1911"/>
      <c r="M32" s="1911"/>
      <c r="N32" s="1911"/>
      <c r="O32" s="1911"/>
      <c r="P32" s="1911"/>
      <c r="Q32" s="1911"/>
      <c r="R32" s="1911"/>
      <c r="S32" s="1911"/>
      <c r="T32" s="1911"/>
      <c r="U32" s="1911"/>
      <c r="V32" s="1923"/>
      <c r="W32" s="4644"/>
    </row>
    <row r="33" spans="1:23" ht="17.25" customHeight="1">
      <c r="A33" s="4642"/>
      <c r="B33" s="4681"/>
      <c r="C33" s="1930"/>
      <c r="D33" s="1893"/>
      <c r="E33" s="1893"/>
      <c r="F33" s="1894"/>
      <c r="G33" s="1894"/>
      <c r="H33" s="1894"/>
      <c r="I33" s="1894"/>
      <c r="J33" s="1894"/>
      <c r="K33" s="1894"/>
      <c r="L33" s="1894"/>
      <c r="M33" s="1894"/>
      <c r="N33" s="1894"/>
      <c r="O33" s="1894"/>
      <c r="P33" s="1894"/>
      <c r="Q33" s="1894"/>
      <c r="R33" s="1894"/>
      <c r="S33" s="1894"/>
      <c r="T33" s="1894"/>
      <c r="U33" s="1894"/>
      <c r="V33" s="1924"/>
      <c r="W33" s="4645"/>
    </row>
    <row r="34" spans="1:23" ht="17.25" customHeight="1">
      <c r="A34" s="4642"/>
      <c r="B34" s="4681"/>
      <c r="C34" s="1930"/>
      <c r="D34" s="1893"/>
      <c r="E34" s="1893"/>
      <c r="F34" s="1894"/>
      <c r="G34" s="1894"/>
      <c r="H34" s="1894"/>
      <c r="I34" s="1894"/>
      <c r="J34" s="1894"/>
      <c r="K34" s="1894"/>
      <c r="L34" s="1894"/>
      <c r="M34" s="1894"/>
      <c r="N34" s="1894"/>
      <c r="O34" s="1894"/>
      <c r="P34" s="1894"/>
      <c r="Q34" s="1894"/>
      <c r="R34" s="1894"/>
      <c r="S34" s="1894"/>
      <c r="T34" s="1894"/>
      <c r="U34" s="1894"/>
      <c r="V34" s="1924"/>
      <c r="W34" s="4645"/>
    </row>
    <row r="35" spans="1:23" ht="17.25" customHeight="1">
      <c r="A35" s="4642"/>
      <c r="B35" s="4681"/>
      <c r="C35" s="1930"/>
      <c r="D35" s="1893"/>
      <c r="E35" s="1893"/>
      <c r="F35" s="1894"/>
      <c r="G35" s="1894"/>
      <c r="H35" s="1894"/>
      <c r="I35" s="1894"/>
      <c r="J35" s="1894"/>
      <c r="K35" s="1894"/>
      <c r="L35" s="1894"/>
      <c r="M35" s="1894"/>
      <c r="N35" s="1894"/>
      <c r="O35" s="1894"/>
      <c r="P35" s="1894"/>
      <c r="Q35" s="1894"/>
      <c r="R35" s="1894"/>
      <c r="S35" s="1894"/>
      <c r="T35" s="1894"/>
      <c r="U35" s="1894"/>
      <c r="V35" s="1924"/>
      <c r="W35" s="4645"/>
    </row>
    <row r="36" spans="1:23" ht="17.25" customHeight="1">
      <c r="A36" s="4643"/>
      <c r="B36" s="4682"/>
      <c r="C36" s="1931"/>
      <c r="D36" s="1908"/>
      <c r="E36" s="1908"/>
      <c r="F36" s="1909"/>
      <c r="G36" s="1909"/>
      <c r="H36" s="1909"/>
      <c r="I36" s="1909"/>
      <c r="J36" s="1909"/>
      <c r="K36" s="1909"/>
      <c r="L36" s="1909"/>
      <c r="M36" s="1909"/>
      <c r="N36" s="1909"/>
      <c r="O36" s="1909"/>
      <c r="P36" s="1909"/>
      <c r="Q36" s="1909"/>
      <c r="R36" s="1909"/>
      <c r="S36" s="1909"/>
      <c r="T36" s="1909"/>
      <c r="U36" s="1909"/>
      <c r="V36" s="1925"/>
      <c r="W36" s="4646"/>
    </row>
    <row r="37" spans="1:23" ht="18" customHeight="1">
      <c r="A37" s="4641">
        <v>6</v>
      </c>
      <c r="B37" s="4680" t="s">
        <v>953</v>
      </c>
      <c r="C37" s="1929"/>
      <c r="D37" s="1910"/>
      <c r="E37" s="1910"/>
      <c r="F37" s="1911"/>
      <c r="G37" s="1911"/>
      <c r="H37" s="1911"/>
      <c r="I37" s="1911"/>
      <c r="J37" s="1911"/>
      <c r="K37" s="1911"/>
      <c r="L37" s="1911"/>
      <c r="M37" s="1911"/>
      <c r="N37" s="1911"/>
      <c r="O37" s="1911"/>
      <c r="P37" s="1911"/>
      <c r="Q37" s="1911"/>
      <c r="R37" s="1911"/>
      <c r="S37" s="1911"/>
      <c r="T37" s="1911"/>
      <c r="U37" s="1911"/>
      <c r="V37" s="1926"/>
      <c r="W37" s="4644"/>
    </row>
    <row r="38" spans="1:23" ht="18" customHeight="1">
      <c r="A38" s="4642"/>
      <c r="B38" s="4681"/>
      <c r="C38" s="1930"/>
      <c r="D38" s="1893"/>
      <c r="E38" s="1893"/>
      <c r="F38" s="1894"/>
      <c r="G38" s="1894"/>
      <c r="H38" s="1894"/>
      <c r="I38" s="1894"/>
      <c r="J38" s="1894"/>
      <c r="K38" s="1894"/>
      <c r="L38" s="1894"/>
      <c r="M38" s="1894"/>
      <c r="N38" s="1894"/>
      <c r="O38" s="1894"/>
      <c r="P38" s="1894"/>
      <c r="Q38" s="1894"/>
      <c r="R38" s="1894"/>
      <c r="S38" s="1894"/>
      <c r="T38" s="1894"/>
      <c r="U38" s="1894"/>
      <c r="V38" s="1927"/>
      <c r="W38" s="4645"/>
    </row>
    <row r="39" spans="1:23" ht="18" customHeight="1">
      <c r="A39" s="4642"/>
      <c r="B39" s="4681"/>
      <c r="C39" s="1930"/>
      <c r="D39" s="1893"/>
      <c r="E39" s="1893"/>
      <c r="F39" s="1894"/>
      <c r="G39" s="1894"/>
      <c r="H39" s="1894"/>
      <c r="I39" s="1894"/>
      <c r="J39" s="1894"/>
      <c r="K39" s="1894"/>
      <c r="L39" s="1894"/>
      <c r="M39" s="1894"/>
      <c r="N39" s="1894"/>
      <c r="O39" s="1894"/>
      <c r="P39" s="1894"/>
      <c r="Q39" s="1894"/>
      <c r="R39" s="1894"/>
      <c r="S39" s="1894"/>
      <c r="T39" s="1894"/>
      <c r="U39" s="1894"/>
      <c r="V39" s="1927"/>
      <c r="W39" s="4645"/>
    </row>
    <row r="40" spans="1:23" ht="18" customHeight="1">
      <c r="A40" s="4642"/>
      <c r="B40" s="4681"/>
      <c r="C40" s="1930"/>
      <c r="D40" s="1893"/>
      <c r="E40" s="1893"/>
      <c r="F40" s="1894"/>
      <c r="G40" s="1894"/>
      <c r="H40" s="1894"/>
      <c r="I40" s="1894"/>
      <c r="J40" s="1894"/>
      <c r="K40" s="1894"/>
      <c r="L40" s="1894"/>
      <c r="M40" s="1894"/>
      <c r="N40" s="1894"/>
      <c r="O40" s="1894"/>
      <c r="P40" s="1894"/>
      <c r="Q40" s="1894"/>
      <c r="R40" s="1894"/>
      <c r="S40" s="1894"/>
      <c r="T40" s="1894"/>
      <c r="U40" s="1894"/>
      <c r="V40" s="1927"/>
      <c r="W40" s="4645"/>
    </row>
    <row r="41" spans="1:23" ht="18" customHeight="1">
      <c r="A41" s="4643"/>
      <c r="B41" s="4682"/>
      <c r="C41" s="1931"/>
      <c r="D41" s="1908"/>
      <c r="E41" s="1908"/>
      <c r="F41" s="1909"/>
      <c r="G41" s="1909"/>
      <c r="H41" s="1909"/>
      <c r="I41" s="1909"/>
      <c r="J41" s="1909"/>
      <c r="K41" s="1909"/>
      <c r="L41" s="1909"/>
      <c r="M41" s="1909"/>
      <c r="N41" s="1909"/>
      <c r="O41" s="1909"/>
      <c r="P41" s="1909"/>
      <c r="Q41" s="1909"/>
      <c r="R41" s="1909"/>
      <c r="S41" s="1909"/>
      <c r="T41" s="1909"/>
      <c r="U41" s="1909"/>
      <c r="V41" s="1928"/>
      <c r="W41" s="4646"/>
    </row>
    <row r="42" spans="1:23" ht="18" customHeight="1">
      <c r="A42" s="4641">
        <v>7</v>
      </c>
      <c r="B42" s="4680" t="s">
        <v>954</v>
      </c>
      <c r="C42" s="1929"/>
      <c r="D42" s="1910"/>
      <c r="E42" s="1910"/>
      <c r="F42" s="1911"/>
      <c r="G42" s="1911"/>
      <c r="H42" s="1911"/>
      <c r="I42" s="1911"/>
      <c r="J42" s="1911"/>
      <c r="K42" s="1911"/>
      <c r="L42" s="1911"/>
      <c r="M42" s="1911"/>
      <c r="N42" s="1911"/>
      <c r="O42" s="1911"/>
      <c r="P42" s="1911"/>
      <c r="Q42" s="1911"/>
      <c r="R42" s="1911"/>
      <c r="S42" s="1911"/>
      <c r="T42" s="1911"/>
      <c r="U42" s="1911"/>
      <c r="V42" s="1923"/>
      <c r="W42" s="4644"/>
    </row>
    <row r="43" spans="1:23" ht="18" customHeight="1">
      <c r="A43" s="4642"/>
      <c r="B43" s="4681"/>
      <c r="C43" s="1930"/>
      <c r="D43" s="1893"/>
      <c r="E43" s="1893"/>
      <c r="F43" s="1894"/>
      <c r="G43" s="1894"/>
      <c r="H43" s="1894"/>
      <c r="I43" s="1894"/>
      <c r="J43" s="1894"/>
      <c r="K43" s="1894"/>
      <c r="L43" s="1894"/>
      <c r="M43" s="1894"/>
      <c r="N43" s="1894"/>
      <c r="O43" s="1894"/>
      <c r="P43" s="1894"/>
      <c r="Q43" s="1894"/>
      <c r="R43" s="1894"/>
      <c r="S43" s="1894"/>
      <c r="T43" s="1894"/>
      <c r="U43" s="1894"/>
      <c r="V43" s="1924"/>
      <c r="W43" s="4645"/>
    </row>
    <row r="44" spans="1:23" ht="18" customHeight="1">
      <c r="A44" s="4642"/>
      <c r="B44" s="4681"/>
      <c r="C44" s="1930"/>
      <c r="D44" s="1893"/>
      <c r="E44" s="1893"/>
      <c r="F44" s="1894"/>
      <c r="G44" s="1894"/>
      <c r="H44" s="1894"/>
      <c r="I44" s="1894"/>
      <c r="J44" s="1894"/>
      <c r="K44" s="1894"/>
      <c r="L44" s="1894"/>
      <c r="M44" s="1894"/>
      <c r="N44" s="1894"/>
      <c r="O44" s="1894"/>
      <c r="P44" s="1894"/>
      <c r="Q44" s="1894"/>
      <c r="R44" s="1894"/>
      <c r="S44" s="1894"/>
      <c r="T44" s="1894"/>
      <c r="U44" s="1894"/>
      <c r="V44" s="1924"/>
      <c r="W44" s="4645"/>
    </row>
    <row r="45" spans="1:23" ht="18" customHeight="1">
      <c r="A45" s="4642"/>
      <c r="B45" s="4681"/>
      <c r="C45" s="1930"/>
      <c r="D45" s="1893"/>
      <c r="E45" s="1893"/>
      <c r="F45" s="1894"/>
      <c r="G45" s="1894"/>
      <c r="H45" s="1894"/>
      <c r="I45" s="1894"/>
      <c r="J45" s="1894"/>
      <c r="K45" s="1894"/>
      <c r="L45" s="1894"/>
      <c r="M45" s="1894"/>
      <c r="N45" s="1894"/>
      <c r="O45" s="1894"/>
      <c r="P45" s="1894"/>
      <c r="Q45" s="1894"/>
      <c r="R45" s="1894"/>
      <c r="S45" s="1894"/>
      <c r="T45" s="1894"/>
      <c r="U45" s="1894"/>
      <c r="V45" s="1924"/>
      <c r="W45" s="4645"/>
    </row>
    <row r="46" spans="1:23" ht="18" customHeight="1">
      <c r="A46" s="4643"/>
      <c r="B46" s="4682"/>
      <c r="C46" s="1931"/>
      <c r="D46" s="1908"/>
      <c r="E46" s="1908"/>
      <c r="F46" s="1909"/>
      <c r="G46" s="1909"/>
      <c r="H46" s="1909"/>
      <c r="I46" s="1909"/>
      <c r="J46" s="1909"/>
      <c r="K46" s="1909"/>
      <c r="L46" s="1909"/>
      <c r="M46" s="1909"/>
      <c r="N46" s="1909"/>
      <c r="O46" s="1909"/>
      <c r="P46" s="1909"/>
      <c r="Q46" s="1909"/>
      <c r="R46" s="1909"/>
      <c r="S46" s="1909"/>
      <c r="T46" s="1909"/>
      <c r="U46" s="1909"/>
      <c r="V46" s="1925"/>
      <c r="W46" s="4646"/>
    </row>
    <row r="47" spans="1:23" ht="18" customHeight="1">
      <c r="A47" s="4641">
        <v>8</v>
      </c>
      <c r="B47" s="4680" t="s">
        <v>966</v>
      </c>
      <c r="C47" s="1929"/>
      <c r="D47" s="1910"/>
      <c r="E47" s="1910"/>
      <c r="F47" s="1911"/>
      <c r="G47" s="1911"/>
      <c r="H47" s="1911"/>
      <c r="I47" s="1911"/>
      <c r="J47" s="1911"/>
      <c r="K47" s="1911"/>
      <c r="L47" s="1911"/>
      <c r="M47" s="1911"/>
      <c r="N47" s="1911"/>
      <c r="O47" s="1911"/>
      <c r="P47" s="1911"/>
      <c r="Q47" s="1911"/>
      <c r="R47" s="1911"/>
      <c r="S47" s="1911"/>
      <c r="T47" s="1911"/>
      <c r="U47" s="1911"/>
      <c r="V47" s="1923"/>
      <c r="W47" s="4644"/>
    </row>
    <row r="48" spans="1:23" ht="18" customHeight="1">
      <c r="A48" s="4642"/>
      <c r="B48" s="4681"/>
      <c r="C48" s="1930"/>
      <c r="D48" s="1893"/>
      <c r="E48" s="1893"/>
      <c r="F48" s="1894"/>
      <c r="G48" s="1894"/>
      <c r="H48" s="1894"/>
      <c r="I48" s="1894"/>
      <c r="J48" s="1894"/>
      <c r="K48" s="1894"/>
      <c r="L48" s="1894"/>
      <c r="M48" s="1894"/>
      <c r="N48" s="1894"/>
      <c r="O48" s="1894"/>
      <c r="P48" s="1894"/>
      <c r="Q48" s="1894"/>
      <c r="R48" s="1894"/>
      <c r="S48" s="1894"/>
      <c r="T48" s="1894"/>
      <c r="U48" s="1894"/>
      <c r="V48" s="1924"/>
      <c r="W48" s="4645"/>
    </row>
    <row r="49" spans="1:23" ht="18" customHeight="1">
      <c r="A49" s="4642"/>
      <c r="B49" s="4681"/>
      <c r="C49" s="1930"/>
      <c r="D49" s="1893"/>
      <c r="E49" s="1893"/>
      <c r="F49" s="1894"/>
      <c r="G49" s="1894"/>
      <c r="H49" s="1894"/>
      <c r="I49" s="1894"/>
      <c r="J49" s="1894"/>
      <c r="K49" s="1894"/>
      <c r="L49" s="1894"/>
      <c r="M49" s="1894"/>
      <c r="N49" s="1894"/>
      <c r="O49" s="1894"/>
      <c r="P49" s="1894"/>
      <c r="Q49" s="1894"/>
      <c r="R49" s="1894"/>
      <c r="S49" s="1894"/>
      <c r="T49" s="1894"/>
      <c r="U49" s="1894"/>
      <c r="V49" s="1924"/>
      <c r="W49" s="4645"/>
    </row>
    <row r="50" spans="1:23" ht="18" customHeight="1">
      <c r="A50" s="4642"/>
      <c r="B50" s="4681"/>
      <c r="C50" s="1930"/>
      <c r="D50" s="1893"/>
      <c r="E50" s="1893"/>
      <c r="F50" s="1894"/>
      <c r="G50" s="1894"/>
      <c r="H50" s="1894"/>
      <c r="I50" s="1894"/>
      <c r="J50" s="1894"/>
      <c r="K50" s="1894"/>
      <c r="L50" s="1894"/>
      <c r="M50" s="1894"/>
      <c r="N50" s="1894"/>
      <c r="O50" s="1894"/>
      <c r="P50" s="1894"/>
      <c r="Q50" s="1894"/>
      <c r="R50" s="1894"/>
      <c r="S50" s="1894"/>
      <c r="T50" s="1894"/>
      <c r="U50" s="1894"/>
      <c r="V50" s="1924"/>
      <c r="W50" s="4645"/>
    </row>
    <row r="51" spans="1:23" ht="18" customHeight="1">
      <c r="A51" s="4643"/>
      <c r="B51" s="4682"/>
      <c r="C51" s="1931"/>
      <c r="D51" s="1908"/>
      <c r="E51" s="1908"/>
      <c r="F51" s="1909"/>
      <c r="G51" s="1909"/>
      <c r="H51" s="1909"/>
      <c r="I51" s="1909"/>
      <c r="J51" s="1909"/>
      <c r="K51" s="1909"/>
      <c r="L51" s="1909"/>
      <c r="M51" s="1909"/>
      <c r="N51" s="1909"/>
      <c r="O51" s="1909"/>
      <c r="P51" s="1909"/>
      <c r="Q51" s="1909"/>
      <c r="R51" s="1909"/>
      <c r="S51" s="1909"/>
      <c r="T51" s="1909"/>
      <c r="U51" s="1909"/>
      <c r="V51" s="1925"/>
      <c r="W51" s="4646"/>
    </row>
    <row r="52" spans="1:23" ht="15" customHeight="1">
      <c r="A52" s="4641">
        <v>9</v>
      </c>
      <c r="B52" s="4680" t="s">
        <v>989</v>
      </c>
      <c r="C52" s="1929"/>
      <c r="D52" s="1910"/>
      <c r="E52" s="1910"/>
      <c r="F52" s="1911"/>
      <c r="G52" s="1911"/>
      <c r="H52" s="1911"/>
      <c r="I52" s="1911"/>
      <c r="J52" s="1911"/>
      <c r="K52" s="1911"/>
      <c r="L52" s="1911"/>
      <c r="M52" s="1911"/>
      <c r="N52" s="1911"/>
      <c r="O52" s="1911"/>
      <c r="P52" s="1911"/>
      <c r="Q52" s="1911"/>
      <c r="R52" s="1911"/>
      <c r="S52" s="1911"/>
      <c r="T52" s="1911"/>
      <c r="U52" s="1911"/>
      <c r="V52" s="1923"/>
      <c r="W52" s="4644"/>
    </row>
    <row r="53" spans="1:23" ht="15" customHeight="1">
      <c r="A53" s="4642"/>
      <c r="B53" s="4681"/>
      <c r="C53" s="1930"/>
      <c r="D53" s="1893"/>
      <c r="E53" s="1893"/>
      <c r="F53" s="1894"/>
      <c r="G53" s="1894"/>
      <c r="H53" s="1894"/>
      <c r="I53" s="1894"/>
      <c r="J53" s="1894"/>
      <c r="K53" s="1894"/>
      <c r="L53" s="1894"/>
      <c r="M53" s="1894"/>
      <c r="N53" s="1894"/>
      <c r="O53" s="1894"/>
      <c r="P53" s="1894"/>
      <c r="Q53" s="1894"/>
      <c r="R53" s="1894"/>
      <c r="S53" s="1894"/>
      <c r="T53" s="1894"/>
      <c r="U53" s="1894"/>
      <c r="V53" s="1924"/>
      <c r="W53" s="4645"/>
    </row>
    <row r="54" spans="1:23" ht="15" customHeight="1">
      <c r="A54" s="4642"/>
      <c r="B54" s="4681"/>
      <c r="C54" s="1930"/>
      <c r="D54" s="1893"/>
      <c r="E54" s="1893"/>
      <c r="F54" s="1894"/>
      <c r="G54" s="1894"/>
      <c r="H54" s="1894"/>
      <c r="I54" s="1894"/>
      <c r="J54" s="1894"/>
      <c r="K54" s="1894"/>
      <c r="L54" s="1894"/>
      <c r="M54" s="1894"/>
      <c r="N54" s="1894"/>
      <c r="O54" s="1894"/>
      <c r="P54" s="1894"/>
      <c r="Q54" s="1894"/>
      <c r="R54" s="1894"/>
      <c r="S54" s="1894"/>
      <c r="T54" s="1894"/>
      <c r="U54" s="1894"/>
      <c r="V54" s="1924"/>
      <c r="W54" s="4645"/>
    </row>
    <row r="55" spans="1:23" ht="15" customHeight="1">
      <c r="A55" s="4642"/>
      <c r="B55" s="4681"/>
      <c r="C55" s="1930"/>
      <c r="D55" s="1893"/>
      <c r="E55" s="1893"/>
      <c r="F55" s="1894"/>
      <c r="G55" s="1894"/>
      <c r="H55" s="1894"/>
      <c r="I55" s="1894"/>
      <c r="J55" s="1894"/>
      <c r="K55" s="1894"/>
      <c r="L55" s="1894"/>
      <c r="M55" s="1894"/>
      <c r="N55" s="1894"/>
      <c r="O55" s="1894"/>
      <c r="P55" s="1894"/>
      <c r="Q55" s="1894"/>
      <c r="R55" s="1894"/>
      <c r="S55" s="1894"/>
      <c r="T55" s="1894"/>
      <c r="U55" s="1894"/>
      <c r="V55" s="1924"/>
      <c r="W55" s="4645"/>
    </row>
    <row r="56" spans="1:23" ht="15" customHeight="1">
      <c r="A56" s="4643"/>
      <c r="B56" s="4682"/>
      <c r="C56" s="1931"/>
      <c r="D56" s="1908"/>
      <c r="E56" s="1908"/>
      <c r="F56" s="1909"/>
      <c r="G56" s="1909"/>
      <c r="H56" s="1909"/>
      <c r="I56" s="1909"/>
      <c r="J56" s="1909"/>
      <c r="K56" s="1909"/>
      <c r="L56" s="1909"/>
      <c r="M56" s="1909"/>
      <c r="N56" s="1909"/>
      <c r="O56" s="1909"/>
      <c r="P56" s="1909"/>
      <c r="Q56" s="1909"/>
      <c r="R56" s="1909"/>
      <c r="S56" s="1909"/>
      <c r="T56" s="1909"/>
      <c r="U56" s="1909"/>
      <c r="V56" s="1925"/>
      <c r="W56" s="4646"/>
    </row>
    <row r="57" spans="1:23" ht="17.25" customHeight="1">
      <c r="A57" s="4641">
        <v>10</v>
      </c>
      <c r="B57" s="4680" t="s">
        <v>955</v>
      </c>
      <c r="C57" s="1929"/>
      <c r="D57" s="1910"/>
      <c r="E57" s="1910"/>
      <c r="F57" s="1911"/>
      <c r="G57" s="1911"/>
      <c r="H57" s="1911"/>
      <c r="I57" s="1911"/>
      <c r="J57" s="1911"/>
      <c r="K57" s="1911"/>
      <c r="L57" s="1911"/>
      <c r="M57" s="1911"/>
      <c r="N57" s="1911"/>
      <c r="O57" s="1911"/>
      <c r="P57" s="1911"/>
      <c r="Q57" s="1911"/>
      <c r="R57" s="1911"/>
      <c r="S57" s="1911"/>
      <c r="T57" s="1911"/>
      <c r="U57" s="1911"/>
      <c r="V57" s="1923"/>
      <c r="W57" s="4644"/>
    </row>
    <row r="58" spans="1:23" ht="17.25" customHeight="1">
      <c r="A58" s="4642"/>
      <c r="B58" s="4681"/>
      <c r="C58" s="1930"/>
      <c r="D58" s="1893"/>
      <c r="E58" s="1893"/>
      <c r="F58" s="1894"/>
      <c r="G58" s="1894"/>
      <c r="H58" s="1894"/>
      <c r="I58" s="1894"/>
      <c r="J58" s="1894"/>
      <c r="K58" s="1894"/>
      <c r="L58" s="1894"/>
      <c r="M58" s="1894"/>
      <c r="N58" s="1894"/>
      <c r="O58" s="1894"/>
      <c r="P58" s="1894"/>
      <c r="Q58" s="1894"/>
      <c r="R58" s="1894"/>
      <c r="S58" s="1894"/>
      <c r="T58" s="1894"/>
      <c r="U58" s="1894"/>
      <c r="V58" s="1924"/>
      <c r="W58" s="4645"/>
    </row>
    <row r="59" spans="1:23" ht="17.25" customHeight="1">
      <c r="A59" s="4642"/>
      <c r="B59" s="4681"/>
      <c r="C59" s="1930"/>
      <c r="D59" s="1893"/>
      <c r="E59" s="1893"/>
      <c r="F59" s="1894"/>
      <c r="G59" s="1894"/>
      <c r="H59" s="1894"/>
      <c r="I59" s="1894"/>
      <c r="J59" s="1894"/>
      <c r="K59" s="1894"/>
      <c r="L59" s="1894"/>
      <c r="M59" s="1894"/>
      <c r="N59" s="1894"/>
      <c r="O59" s="1894"/>
      <c r="P59" s="1894"/>
      <c r="Q59" s="1894"/>
      <c r="R59" s="1894"/>
      <c r="S59" s="1894"/>
      <c r="T59" s="1894"/>
      <c r="U59" s="1894"/>
      <c r="V59" s="1924"/>
      <c r="W59" s="4645"/>
    </row>
    <row r="60" spans="1:23" ht="17.25" customHeight="1">
      <c r="A60" s="4642"/>
      <c r="B60" s="4681"/>
      <c r="C60" s="1930"/>
      <c r="D60" s="1893"/>
      <c r="E60" s="1893"/>
      <c r="F60" s="1894"/>
      <c r="G60" s="1894"/>
      <c r="H60" s="1894"/>
      <c r="I60" s="1894"/>
      <c r="J60" s="1894"/>
      <c r="K60" s="1894"/>
      <c r="L60" s="1894"/>
      <c r="M60" s="1894"/>
      <c r="N60" s="1894"/>
      <c r="O60" s="1894"/>
      <c r="P60" s="1894"/>
      <c r="Q60" s="1894"/>
      <c r="R60" s="1894"/>
      <c r="S60" s="1894"/>
      <c r="T60" s="1894"/>
      <c r="U60" s="1894"/>
      <c r="V60" s="1924"/>
      <c r="W60" s="4645"/>
    </row>
    <row r="61" spans="1:23" ht="17.25" customHeight="1">
      <c r="A61" s="4643"/>
      <c r="B61" s="4682"/>
      <c r="C61" s="1931"/>
      <c r="D61" s="1908"/>
      <c r="E61" s="1908"/>
      <c r="F61" s="1909"/>
      <c r="G61" s="1909"/>
      <c r="H61" s="1909"/>
      <c r="I61" s="1909"/>
      <c r="J61" s="1909"/>
      <c r="K61" s="1909"/>
      <c r="L61" s="1909"/>
      <c r="M61" s="1909"/>
      <c r="N61" s="1909"/>
      <c r="O61" s="1909"/>
      <c r="P61" s="1909"/>
      <c r="Q61" s="1909"/>
      <c r="R61" s="1909"/>
      <c r="S61" s="1909"/>
      <c r="T61" s="1909"/>
      <c r="U61" s="1909"/>
      <c r="V61" s="1925"/>
      <c r="W61" s="4646"/>
    </row>
    <row r="62" spans="1:23" ht="24" customHeight="1">
      <c r="A62" s="4641">
        <v>11</v>
      </c>
      <c r="B62" s="4680" t="s">
        <v>967</v>
      </c>
      <c r="C62" s="1929"/>
      <c r="D62" s="1910"/>
      <c r="E62" s="1910"/>
      <c r="F62" s="1911"/>
      <c r="G62" s="1911"/>
      <c r="H62" s="1911"/>
      <c r="I62" s="1911"/>
      <c r="J62" s="1911"/>
      <c r="K62" s="1911"/>
      <c r="L62" s="1911"/>
      <c r="M62" s="1911"/>
      <c r="N62" s="1911"/>
      <c r="O62" s="1911"/>
      <c r="P62" s="1911"/>
      <c r="Q62" s="1911"/>
      <c r="R62" s="1911"/>
      <c r="S62" s="1911"/>
      <c r="T62" s="1911"/>
      <c r="U62" s="1911"/>
      <c r="V62" s="1923"/>
      <c r="W62" s="4644"/>
    </row>
    <row r="63" spans="1:23" ht="24" customHeight="1">
      <c r="A63" s="4642"/>
      <c r="B63" s="4681"/>
      <c r="C63" s="1930"/>
      <c r="D63" s="1893"/>
      <c r="E63" s="1893"/>
      <c r="F63" s="1894"/>
      <c r="G63" s="1894"/>
      <c r="H63" s="1894"/>
      <c r="I63" s="1894"/>
      <c r="J63" s="1894"/>
      <c r="K63" s="1894"/>
      <c r="L63" s="1894"/>
      <c r="M63" s="1894"/>
      <c r="N63" s="1894"/>
      <c r="O63" s="1894"/>
      <c r="P63" s="1894"/>
      <c r="Q63" s="1894"/>
      <c r="R63" s="1894"/>
      <c r="S63" s="1894"/>
      <c r="T63" s="1894"/>
      <c r="U63" s="1894"/>
      <c r="V63" s="1924"/>
      <c r="W63" s="4645"/>
    </row>
    <row r="64" spans="1:23" ht="24" customHeight="1">
      <c r="A64" s="4642"/>
      <c r="B64" s="4681"/>
      <c r="C64" s="1930"/>
      <c r="D64" s="1893"/>
      <c r="E64" s="1893"/>
      <c r="F64" s="1894"/>
      <c r="G64" s="1894"/>
      <c r="H64" s="1894"/>
      <c r="I64" s="1894"/>
      <c r="J64" s="1894"/>
      <c r="K64" s="1894"/>
      <c r="L64" s="1894"/>
      <c r="M64" s="1894"/>
      <c r="N64" s="1894"/>
      <c r="O64" s="1894"/>
      <c r="P64" s="1894"/>
      <c r="Q64" s="1894"/>
      <c r="R64" s="1894"/>
      <c r="S64" s="1894"/>
      <c r="T64" s="1894"/>
      <c r="U64" s="1894"/>
      <c r="V64" s="1924"/>
      <c r="W64" s="4645"/>
    </row>
    <row r="65" spans="1:23" ht="24" customHeight="1">
      <c r="A65" s="4642"/>
      <c r="B65" s="4681"/>
      <c r="C65" s="1930"/>
      <c r="D65" s="1893"/>
      <c r="E65" s="1893"/>
      <c r="F65" s="1894"/>
      <c r="G65" s="1894"/>
      <c r="H65" s="1894"/>
      <c r="I65" s="1894"/>
      <c r="J65" s="1894"/>
      <c r="K65" s="1894"/>
      <c r="L65" s="1894"/>
      <c r="M65" s="1894"/>
      <c r="N65" s="1894"/>
      <c r="O65" s="1894"/>
      <c r="P65" s="1894"/>
      <c r="Q65" s="1894"/>
      <c r="R65" s="1894"/>
      <c r="S65" s="1894"/>
      <c r="T65" s="1894"/>
      <c r="U65" s="1894"/>
      <c r="V65" s="1924"/>
      <c r="W65" s="4645"/>
    </row>
    <row r="66" spans="1:23" ht="24" customHeight="1">
      <c r="A66" s="4643"/>
      <c r="B66" s="4682"/>
      <c r="C66" s="1931"/>
      <c r="D66" s="1908"/>
      <c r="E66" s="1908"/>
      <c r="F66" s="1909"/>
      <c r="G66" s="1909"/>
      <c r="H66" s="1909"/>
      <c r="I66" s="1909"/>
      <c r="J66" s="1909"/>
      <c r="K66" s="1909"/>
      <c r="L66" s="1909"/>
      <c r="M66" s="1909"/>
      <c r="N66" s="1909"/>
      <c r="O66" s="1909"/>
      <c r="P66" s="1909"/>
      <c r="Q66" s="1909"/>
      <c r="R66" s="1909"/>
      <c r="S66" s="1909"/>
      <c r="T66" s="1909"/>
      <c r="U66" s="1909"/>
      <c r="V66" s="1925"/>
      <c r="W66" s="4646"/>
    </row>
    <row r="67" spans="1:23" ht="22.5" customHeight="1">
      <c r="A67" s="4641">
        <v>12</v>
      </c>
      <c r="B67" s="4641" t="s">
        <v>990</v>
      </c>
      <c r="C67" s="1929"/>
      <c r="D67" s="1910"/>
      <c r="E67" s="1910"/>
      <c r="F67" s="1911"/>
      <c r="G67" s="1911"/>
      <c r="H67" s="1911"/>
      <c r="I67" s="1911"/>
      <c r="J67" s="1911"/>
      <c r="K67" s="1911"/>
      <c r="L67" s="1911"/>
      <c r="M67" s="1911"/>
      <c r="N67" s="1911"/>
      <c r="O67" s="1911"/>
      <c r="P67" s="1911"/>
      <c r="Q67" s="1911"/>
      <c r="R67" s="1911"/>
      <c r="S67" s="1911"/>
      <c r="T67" s="1911"/>
      <c r="U67" s="1911"/>
      <c r="V67" s="1923"/>
      <c r="W67" s="4644"/>
    </row>
    <row r="68" spans="1:23" ht="22.5" customHeight="1">
      <c r="A68" s="4642"/>
      <c r="B68" s="4642"/>
      <c r="C68" s="1930"/>
      <c r="D68" s="1893"/>
      <c r="E68" s="1893"/>
      <c r="F68" s="1894"/>
      <c r="G68" s="1894"/>
      <c r="H68" s="1894"/>
      <c r="I68" s="1894"/>
      <c r="J68" s="1894"/>
      <c r="K68" s="1894"/>
      <c r="L68" s="1894"/>
      <c r="M68" s="1894"/>
      <c r="N68" s="1894"/>
      <c r="O68" s="1894"/>
      <c r="P68" s="1894"/>
      <c r="Q68" s="1894"/>
      <c r="R68" s="1894"/>
      <c r="S68" s="1894"/>
      <c r="T68" s="1894"/>
      <c r="U68" s="1894"/>
      <c r="V68" s="1924"/>
      <c r="W68" s="4645"/>
    </row>
    <row r="69" spans="1:23" ht="22.5" customHeight="1">
      <c r="A69" s="4642"/>
      <c r="B69" s="4642"/>
      <c r="C69" s="1930"/>
      <c r="D69" s="1893"/>
      <c r="E69" s="1893"/>
      <c r="F69" s="1894"/>
      <c r="G69" s="1894"/>
      <c r="H69" s="1894"/>
      <c r="I69" s="1894"/>
      <c r="J69" s="1894"/>
      <c r="K69" s="1894"/>
      <c r="L69" s="1894"/>
      <c r="M69" s="1894"/>
      <c r="N69" s="1894"/>
      <c r="O69" s="1894"/>
      <c r="P69" s="1894"/>
      <c r="Q69" s="1894"/>
      <c r="R69" s="1894"/>
      <c r="S69" s="1894"/>
      <c r="T69" s="1894"/>
      <c r="U69" s="1894"/>
      <c r="V69" s="1924"/>
      <c r="W69" s="4645"/>
    </row>
    <row r="70" spans="1:23" ht="22.5" customHeight="1">
      <c r="A70" s="4642"/>
      <c r="B70" s="4642"/>
      <c r="C70" s="1930"/>
      <c r="D70" s="1893"/>
      <c r="E70" s="1893"/>
      <c r="F70" s="1894"/>
      <c r="G70" s="1894"/>
      <c r="H70" s="1894"/>
      <c r="I70" s="1894"/>
      <c r="J70" s="1894"/>
      <c r="K70" s="1894"/>
      <c r="L70" s="1894"/>
      <c r="M70" s="1894"/>
      <c r="N70" s="1894"/>
      <c r="O70" s="1894"/>
      <c r="P70" s="1894"/>
      <c r="Q70" s="1894"/>
      <c r="R70" s="1894"/>
      <c r="S70" s="1894"/>
      <c r="T70" s="1894"/>
      <c r="U70" s="1894"/>
      <c r="V70" s="1924"/>
      <c r="W70" s="4645"/>
    </row>
    <row r="71" spans="1:23" ht="22.5" customHeight="1">
      <c r="A71" s="4643"/>
      <c r="B71" s="4643"/>
      <c r="C71" s="1931"/>
      <c r="D71" s="1908"/>
      <c r="E71" s="1908"/>
      <c r="F71" s="1909"/>
      <c r="G71" s="1909"/>
      <c r="H71" s="1909"/>
      <c r="I71" s="1909"/>
      <c r="J71" s="1909"/>
      <c r="K71" s="1909"/>
      <c r="L71" s="1909"/>
      <c r="M71" s="1909"/>
      <c r="N71" s="1909"/>
      <c r="O71" s="1909"/>
      <c r="P71" s="1909"/>
      <c r="Q71" s="1909"/>
      <c r="R71" s="1909"/>
      <c r="S71" s="1909"/>
      <c r="T71" s="1909"/>
      <c r="U71" s="1909"/>
      <c r="V71" s="1925"/>
      <c r="W71" s="4646"/>
    </row>
    <row r="72" spans="1:23" ht="22.5" customHeight="1">
      <c r="A72" s="4641">
        <v>13</v>
      </c>
      <c r="B72" s="4680" t="s">
        <v>991</v>
      </c>
      <c r="C72" s="1929"/>
      <c r="D72" s="1910"/>
      <c r="E72" s="1910"/>
      <c r="F72" s="1911"/>
      <c r="G72" s="1911"/>
      <c r="H72" s="1911"/>
      <c r="I72" s="1911"/>
      <c r="J72" s="1911"/>
      <c r="K72" s="1911"/>
      <c r="L72" s="1911"/>
      <c r="M72" s="1911"/>
      <c r="N72" s="1911"/>
      <c r="O72" s="1911"/>
      <c r="P72" s="1911"/>
      <c r="Q72" s="1911"/>
      <c r="R72" s="1911"/>
      <c r="S72" s="1911"/>
      <c r="T72" s="1911"/>
      <c r="U72" s="1911"/>
      <c r="V72" s="1923"/>
      <c r="W72" s="4644"/>
    </row>
    <row r="73" spans="1:23" ht="22.5" customHeight="1">
      <c r="A73" s="4642"/>
      <c r="B73" s="4681"/>
      <c r="C73" s="1930"/>
      <c r="D73" s="1893"/>
      <c r="E73" s="1893"/>
      <c r="F73" s="1894"/>
      <c r="G73" s="1894"/>
      <c r="H73" s="1894"/>
      <c r="I73" s="1894"/>
      <c r="J73" s="1894"/>
      <c r="K73" s="1894"/>
      <c r="L73" s="1894"/>
      <c r="M73" s="1894"/>
      <c r="N73" s="1894"/>
      <c r="O73" s="1894"/>
      <c r="P73" s="1894"/>
      <c r="Q73" s="1894"/>
      <c r="R73" s="1894"/>
      <c r="S73" s="1894"/>
      <c r="T73" s="1894"/>
      <c r="U73" s="1894"/>
      <c r="V73" s="1924"/>
      <c r="W73" s="4645"/>
    </row>
    <row r="74" spans="1:23" ht="22.5" customHeight="1">
      <c r="A74" s="4642"/>
      <c r="B74" s="4681"/>
      <c r="C74" s="1930"/>
      <c r="D74" s="1893"/>
      <c r="E74" s="1893"/>
      <c r="F74" s="1894"/>
      <c r="G74" s="1894"/>
      <c r="H74" s="1894"/>
      <c r="I74" s="1894"/>
      <c r="J74" s="1894"/>
      <c r="K74" s="1894"/>
      <c r="L74" s="1894"/>
      <c r="M74" s="1894"/>
      <c r="N74" s="1894"/>
      <c r="O74" s="1894"/>
      <c r="P74" s="1894"/>
      <c r="Q74" s="1894"/>
      <c r="R74" s="1894"/>
      <c r="S74" s="1894"/>
      <c r="T74" s="1894"/>
      <c r="U74" s="1894"/>
      <c r="V74" s="1924"/>
      <c r="W74" s="4645"/>
    </row>
    <row r="75" spans="1:23" ht="22.5" customHeight="1">
      <c r="A75" s="4642"/>
      <c r="B75" s="4681"/>
      <c r="C75" s="1930"/>
      <c r="D75" s="1893"/>
      <c r="E75" s="1893"/>
      <c r="F75" s="1894"/>
      <c r="G75" s="1894"/>
      <c r="H75" s="1894"/>
      <c r="I75" s="1894"/>
      <c r="J75" s="1894"/>
      <c r="K75" s="1894"/>
      <c r="L75" s="1894"/>
      <c r="M75" s="1894"/>
      <c r="N75" s="1894"/>
      <c r="O75" s="1894"/>
      <c r="P75" s="1894"/>
      <c r="Q75" s="1894"/>
      <c r="R75" s="1894"/>
      <c r="S75" s="1894"/>
      <c r="T75" s="1894"/>
      <c r="U75" s="1894"/>
      <c r="V75" s="1924"/>
      <c r="W75" s="4645"/>
    </row>
    <row r="76" spans="1:23" ht="22.5" customHeight="1">
      <c r="A76" s="4643"/>
      <c r="B76" s="4682"/>
      <c r="C76" s="1931"/>
      <c r="D76" s="1908"/>
      <c r="E76" s="1908"/>
      <c r="F76" s="1909"/>
      <c r="G76" s="1909"/>
      <c r="H76" s="1909"/>
      <c r="I76" s="1909"/>
      <c r="J76" s="1909"/>
      <c r="K76" s="1909"/>
      <c r="L76" s="1909"/>
      <c r="M76" s="1909"/>
      <c r="N76" s="1909"/>
      <c r="O76" s="1909"/>
      <c r="P76" s="1909"/>
      <c r="Q76" s="1909"/>
      <c r="R76" s="1909"/>
      <c r="S76" s="1909"/>
      <c r="T76" s="1909"/>
      <c r="U76" s="1909"/>
      <c r="V76" s="1925"/>
      <c r="W76" s="4646"/>
    </row>
    <row r="77" spans="1:23" ht="28.5" customHeight="1">
      <c r="A77" s="4641">
        <v>14</v>
      </c>
      <c r="B77" s="4680" t="s">
        <v>600</v>
      </c>
      <c r="C77" s="1929"/>
      <c r="D77" s="1910"/>
      <c r="E77" s="1910"/>
      <c r="F77" s="1911"/>
      <c r="G77" s="1911"/>
      <c r="H77" s="1911"/>
      <c r="I77" s="1911"/>
      <c r="J77" s="1911"/>
      <c r="K77" s="1911"/>
      <c r="L77" s="1911"/>
      <c r="M77" s="1911"/>
      <c r="N77" s="1911"/>
      <c r="O77" s="1911"/>
      <c r="P77" s="1911"/>
      <c r="Q77" s="1911"/>
      <c r="R77" s="1911"/>
      <c r="S77" s="1911"/>
      <c r="T77" s="1911"/>
      <c r="U77" s="1911"/>
      <c r="V77" s="1923"/>
      <c r="W77" s="4644"/>
    </row>
    <row r="78" spans="1:23" ht="28.5" customHeight="1">
      <c r="A78" s="4642"/>
      <c r="B78" s="4681"/>
      <c r="C78" s="1930"/>
      <c r="D78" s="1893"/>
      <c r="E78" s="1893"/>
      <c r="F78" s="1894"/>
      <c r="G78" s="1894"/>
      <c r="H78" s="1894"/>
      <c r="I78" s="1894"/>
      <c r="J78" s="1894"/>
      <c r="K78" s="1894"/>
      <c r="L78" s="1894"/>
      <c r="M78" s="1894"/>
      <c r="N78" s="1894"/>
      <c r="O78" s="1894"/>
      <c r="P78" s="1894"/>
      <c r="Q78" s="1894"/>
      <c r="R78" s="1894"/>
      <c r="S78" s="1894"/>
      <c r="T78" s="1894"/>
      <c r="U78" s="1894"/>
      <c r="V78" s="1924"/>
      <c r="W78" s="4645"/>
    </row>
    <row r="79" spans="1:23" ht="28.5" customHeight="1">
      <c r="A79" s="4642"/>
      <c r="B79" s="4681"/>
      <c r="C79" s="1930"/>
      <c r="D79" s="1893"/>
      <c r="E79" s="1893"/>
      <c r="F79" s="1894"/>
      <c r="G79" s="1894"/>
      <c r="H79" s="1894"/>
      <c r="I79" s="1894"/>
      <c r="J79" s="1894"/>
      <c r="K79" s="1894"/>
      <c r="L79" s="1894"/>
      <c r="M79" s="1894"/>
      <c r="N79" s="1894"/>
      <c r="O79" s="1894"/>
      <c r="P79" s="1894"/>
      <c r="Q79" s="1894"/>
      <c r="R79" s="1894"/>
      <c r="S79" s="1894"/>
      <c r="T79" s="1894"/>
      <c r="U79" s="1894"/>
      <c r="V79" s="1924"/>
      <c r="W79" s="4645"/>
    </row>
    <row r="80" spans="1:23" ht="28.5" customHeight="1">
      <c r="A80" s="4642"/>
      <c r="B80" s="4681"/>
      <c r="C80" s="1930"/>
      <c r="D80" s="1893"/>
      <c r="E80" s="1893"/>
      <c r="F80" s="1894"/>
      <c r="G80" s="1894"/>
      <c r="H80" s="1894"/>
      <c r="I80" s="1894"/>
      <c r="J80" s="1894"/>
      <c r="K80" s="1894"/>
      <c r="L80" s="1894"/>
      <c r="M80" s="1894"/>
      <c r="N80" s="1894"/>
      <c r="O80" s="1894"/>
      <c r="P80" s="1894"/>
      <c r="Q80" s="1894"/>
      <c r="R80" s="1894"/>
      <c r="S80" s="1894"/>
      <c r="T80" s="1894"/>
      <c r="U80" s="1894"/>
      <c r="V80" s="1924"/>
      <c r="W80" s="4645"/>
    </row>
    <row r="81" spans="1:23" ht="28.5" customHeight="1">
      <c r="A81" s="4643"/>
      <c r="B81" s="4682"/>
      <c r="C81" s="1931"/>
      <c r="D81" s="1908"/>
      <c r="E81" s="1908"/>
      <c r="F81" s="1909"/>
      <c r="G81" s="1909"/>
      <c r="H81" s="1909"/>
      <c r="I81" s="1909"/>
      <c r="J81" s="1909"/>
      <c r="K81" s="1909"/>
      <c r="L81" s="1909"/>
      <c r="M81" s="1909"/>
      <c r="N81" s="1909"/>
      <c r="O81" s="1909"/>
      <c r="P81" s="1909"/>
      <c r="Q81" s="1909"/>
      <c r="R81" s="1909"/>
      <c r="S81" s="1909"/>
      <c r="T81" s="1909"/>
      <c r="U81" s="1909"/>
      <c r="V81" s="1925"/>
      <c r="W81" s="4646"/>
    </row>
    <row r="82" spans="1:23" ht="25.5" customHeight="1">
      <c r="A82" s="4641">
        <v>15</v>
      </c>
      <c r="B82" s="4680" t="s">
        <v>745</v>
      </c>
      <c r="C82" s="1929"/>
      <c r="D82" s="1910"/>
      <c r="E82" s="1910"/>
      <c r="F82" s="1911"/>
      <c r="G82" s="1911"/>
      <c r="H82" s="1911"/>
      <c r="I82" s="1911"/>
      <c r="J82" s="1911"/>
      <c r="K82" s="1911"/>
      <c r="L82" s="1911"/>
      <c r="M82" s="1911"/>
      <c r="N82" s="1911"/>
      <c r="O82" s="1911"/>
      <c r="P82" s="1911"/>
      <c r="Q82" s="1911"/>
      <c r="R82" s="1911"/>
      <c r="S82" s="1911"/>
      <c r="T82" s="1911"/>
      <c r="U82" s="1911"/>
      <c r="V82" s="1923"/>
      <c r="W82" s="4644"/>
    </row>
    <row r="83" spans="1:23" ht="25.5" customHeight="1">
      <c r="A83" s="4642"/>
      <c r="B83" s="4681"/>
      <c r="C83" s="1930"/>
      <c r="D83" s="1893"/>
      <c r="E83" s="1893"/>
      <c r="F83" s="1894"/>
      <c r="G83" s="1894"/>
      <c r="H83" s="1894"/>
      <c r="I83" s="1894"/>
      <c r="J83" s="1894"/>
      <c r="K83" s="1894"/>
      <c r="L83" s="1894"/>
      <c r="M83" s="1894"/>
      <c r="N83" s="1894"/>
      <c r="O83" s="1894"/>
      <c r="P83" s="1894"/>
      <c r="Q83" s="1894"/>
      <c r="R83" s="1894"/>
      <c r="S83" s="1894"/>
      <c r="T83" s="1894"/>
      <c r="U83" s="1894"/>
      <c r="V83" s="1924"/>
      <c r="W83" s="4645"/>
    </row>
    <row r="84" spans="1:23" ht="25.5" customHeight="1">
      <c r="A84" s="4642"/>
      <c r="B84" s="4681"/>
      <c r="C84" s="1930"/>
      <c r="D84" s="1893"/>
      <c r="E84" s="1893"/>
      <c r="F84" s="1894"/>
      <c r="G84" s="1894"/>
      <c r="H84" s="1894"/>
      <c r="I84" s="1894"/>
      <c r="J84" s="1894"/>
      <c r="K84" s="1894"/>
      <c r="L84" s="1894"/>
      <c r="M84" s="1894"/>
      <c r="N84" s="1894"/>
      <c r="O84" s="1894"/>
      <c r="P84" s="1894"/>
      <c r="Q84" s="1894"/>
      <c r="R84" s="1894"/>
      <c r="S84" s="1894"/>
      <c r="T84" s="1894"/>
      <c r="U84" s="1894"/>
      <c r="V84" s="1924"/>
      <c r="W84" s="4645"/>
    </row>
    <row r="85" spans="1:23" ht="25.5" customHeight="1">
      <c r="A85" s="4642"/>
      <c r="B85" s="4681"/>
      <c r="C85" s="1930"/>
      <c r="D85" s="1893"/>
      <c r="E85" s="1893"/>
      <c r="F85" s="1894"/>
      <c r="G85" s="1894"/>
      <c r="H85" s="1894"/>
      <c r="I85" s="1894"/>
      <c r="J85" s="1894"/>
      <c r="K85" s="1894"/>
      <c r="L85" s="1894"/>
      <c r="M85" s="1894"/>
      <c r="N85" s="1894"/>
      <c r="O85" s="1894"/>
      <c r="P85" s="1894"/>
      <c r="Q85" s="1894"/>
      <c r="R85" s="1894"/>
      <c r="S85" s="1894"/>
      <c r="T85" s="1894"/>
      <c r="U85" s="1894"/>
      <c r="V85" s="1924"/>
      <c r="W85" s="4645"/>
    </row>
    <row r="86" spans="1:23" ht="25.5" customHeight="1">
      <c r="A86" s="4643"/>
      <c r="B86" s="4682"/>
      <c r="C86" s="1931"/>
      <c r="D86" s="1908"/>
      <c r="E86" s="1908"/>
      <c r="F86" s="1909"/>
      <c r="G86" s="1909"/>
      <c r="H86" s="1909"/>
      <c r="I86" s="1909"/>
      <c r="J86" s="1909"/>
      <c r="K86" s="1909"/>
      <c r="L86" s="1909"/>
      <c r="M86" s="1909"/>
      <c r="N86" s="1909"/>
      <c r="O86" s="1909"/>
      <c r="P86" s="1909"/>
      <c r="Q86" s="1909"/>
      <c r="R86" s="1909"/>
      <c r="S86" s="1909"/>
      <c r="T86" s="1909"/>
      <c r="U86" s="1909"/>
      <c r="V86" s="1925"/>
      <c r="W86" s="4646"/>
    </row>
    <row r="87" spans="1:23" ht="15" hidden="1" customHeight="1">
      <c r="A87" s="4684">
        <v>16</v>
      </c>
      <c r="B87" s="4671"/>
      <c r="C87" s="1907"/>
      <c r="D87" s="1907"/>
      <c r="E87" s="1907"/>
      <c r="F87" s="1904"/>
      <c r="G87" s="1904"/>
      <c r="H87" s="1904"/>
      <c r="I87" s="1904"/>
      <c r="J87" s="1904"/>
      <c r="K87" s="1904"/>
      <c r="L87" s="1904"/>
      <c r="M87" s="1904"/>
      <c r="N87" s="1904"/>
      <c r="O87" s="1904"/>
      <c r="P87" s="1904"/>
      <c r="Q87" s="1904"/>
      <c r="R87" s="1904"/>
      <c r="S87" s="1904"/>
      <c r="T87" s="1904"/>
      <c r="U87" s="1904"/>
      <c r="V87" s="1904"/>
      <c r="W87" s="1903"/>
    </row>
    <row r="88" spans="1:23" ht="15" hidden="1" customHeight="1">
      <c r="A88" s="4684"/>
      <c r="B88" s="4667"/>
      <c r="C88" s="1893"/>
      <c r="D88" s="1893"/>
      <c r="E88" s="1893"/>
      <c r="F88" s="1894"/>
      <c r="G88" s="1894"/>
      <c r="H88" s="1894"/>
      <c r="I88" s="1894"/>
      <c r="J88" s="1894"/>
      <c r="K88" s="1894"/>
      <c r="L88" s="1894"/>
      <c r="M88" s="1894"/>
      <c r="N88" s="1894"/>
      <c r="O88" s="1894"/>
      <c r="P88" s="1894"/>
      <c r="Q88" s="1894"/>
      <c r="R88" s="1894"/>
      <c r="S88" s="1894"/>
      <c r="T88" s="1894"/>
      <c r="U88" s="1894"/>
      <c r="V88" s="1894"/>
      <c r="W88" s="1895"/>
    </row>
    <row r="89" spans="1:23" ht="15" hidden="1" customHeight="1">
      <c r="A89" s="4684"/>
      <c r="B89" s="4667"/>
      <c r="C89" s="1893"/>
      <c r="D89" s="1893"/>
      <c r="E89" s="1893"/>
      <c r="F89" s="1894"/>
      <c r="G89" s="1894"/>
      <c r="H89" s="1894"/>
      <c r="I89" s="1894"/>
      <c r="J89" s="1894"/>
      <c r="K89" s="1894"/>
      <c r="L89" s="1894"/>
      <c r="M89" s="1894"/>
      <c r="N89" s="1894"/>
      <c r="O89" s="1894"/>
      <c r="P89" s="1894"/>
      <c r="Q89" s="1894"/>
      <c r="R89" s="1894"/>
      <c r="S89" s="1894"/>
      <c r="T89" s="1894"/>
      <c r="U89" s="1894"/>
      <c r="V89" s="1894"/>
      <c r="W89" s="1895"/>
    </row>
    <row r="90" spans="1:23" ht="15" hidden="1" customHeight="1">
      <c r="A90" s="4684"/>
      <c r="B90" s="4667"/>
      <c r="C90" s="1893"/>
      <c r="D90" s="1893"/>
      <c r="E90" s="1893"/>
      <c r="F90" s="1894"/>
      <c r="G90" s="1894"/>
      <c r="H90" s="1894"/>
      <c r="I90" s="1894"/>
      <c r="J90" s="1894"/>
      <c r="K90" s="1894"/>
      <c r="L90" s="1894"/>
      <c r="M90" s="1894"/>
      <c r="N90" s="1894"/>
      <c r="O90" s="1894"/>
      <c r="P90" s="1894"/>
      <c r="Q90" s="1894"/>
      <c r="R90" s="1894"/>
      <c r="S90" s="1894"/>
      <c r="T90" s="1894"/>
      <c r="U90" s="1894"/>
      <c r="V90" s="1894"/>
      <c r="W90" s="1895"/>
    </row>
    <row r="91" spans="1:23" ht="15" hidden="1" customHeight="1">
      <c r="A91" s="4671"/>
      <c r="B91" s="4667"/>
      <c r="C91" s="1893"/>
      <c r="D91" s="1893"/>
      <c r="E91" s="1893"/>
      <c r="F91" s="1894"/>
      <c r="G91" s="1894"/>
      <c r="H91" s="1894"/>
      <c r="I91" s="1894"/>
      <c r="J91" s="1894"/>
      <c r="K91" s="1894"/>
      <c r="L91" s="1894"/>
      <c r="M91" s="1894"/>
      <c r="N91" s="1894"/>
      <c r="O91" s="1894"/>
      <c r="P91" s="1894"/>
      <c r="Q91" s="1894"/>
      <c r="R91" s="1894"/>
      <c r="S91" s="1894"/>
      <c r="T91" s="1894"/>
      <c r="U91" s="1894"/>
      <c r="V91" s="1894"/>
      <c r="W91" s="1895"/>
    </row>
    <row r="92" spans="1:23" ht="15" hidden="1" customHeight="1">
      <c r="A92" s="4683">
        <v>17</v>
      </c>
      <c r="B92" s="4667"/>
      <c r="C92" s="1893"/>
      <c r="D92" s="1893"/>
      <c r="E92" s="1893"/>
      <c r="F92" s="1894"/>
      <c r="G92" s="1894"/>
      <c r="H92" s="1894"/>
      <c r="I92" s="1894"/>
      <c r="J92" s="1894"/>
      <c r="K92" s="1894"/>
      <c r="L92" s="1894"/>
      <c r="M92" s="1894"/>
      <c r="N92" s="1894"/>
      <c r="O92" s="1894"/>
      <c r="P92" s="1894"/>
      <c r="Q92" s="1894"/>
      <c r="R92" s="1894"/>
      <c r="S92" s="1894"/>
      <c r="T92" s="1894"/>
      <c r="U92" s="1894"/>
      <c r="V92" s="1894"/>
      <c r="W92" s="1895"/>
    </row>
    <row r="93" spans="1:23" ht="15" hidden="1" customHeight="1">
      <c r="A93" s="4684"/>
      <c r="B93" s="4667"/>
      <c r="C93" s="1893"/>
      <c r="D93" s="1893"/>
      <c r="E93" s="1893"/>
      <c r="F93" s="1894"/>
      <c r="G93" s="1894"/>
      <c r="H93" s="1894"/>
      <c r="I93" s="1894"/>
      <c r="J93" s="1894"/>
      <c r="K93" s="1894"/>
      <c r="L93" s="1894"/>
      <c r="M93" s="1894"/>
      <c r="N93" s="1894"/>
      <c r="O93" s="1894"/>
      <c r="P93" s="1894"/>
      <c r="Q93" s="1894"/>
      <c r="R93" s="1894"/>
      <c r="S93" s="1894"/>
      <c r="T93" s="1894"/>
      <c r="U93" s="1894"/>
      <c r="V93" s="1894"/>
      <c r="W93" s="1895"/>
    </row>
    <row r="94" spans="1:23" ht="15" hidden="1" customHeight="1">
      <c r="A94" s="4684"/>
      <c r="B94" s="4667"/>
      <c r="C94" s="1893"/>
      <c r="D94" s="1893"/>
      <c r="E94" s="1893"/>
      <c r="F94" s="1894"/>
      <c r="G94" s="1894"/>
      <c r="H94" s="1894"/>
      <c r="I94" s="1894"/>
      <c r="J94" s="1894"/>
      <c r="K94" s="1894"/>
      <c r="L94" s="1894"/>
      <c r="M94" s="1894"/>
      <c r="N94" s="1894"/>
      <c r="O94" s="1894"/>
      <c r="P94" s="1894"/>
      <c r="Q94" s="1894"/>
      <c r="R94" s="1894"/>
      <c r="S94" s="1894"/>
      <c r="T94" s="1894"/>
      <c r="U94" s="1894"/>
      <c r="V94" s="1894"/>
      <c r="W94" s="1895"/>
    </row>
    <row r="95" spans="1:23" ht="15" hidden="1" customHeight="1">
      <c r="A95" s="4684"/>
      <c r="B95" s="4667"/>
      <c r="C95" s="1893"/>
      <c r="D95" s="1893"/>
      <c r="E95" s="1893"/>
      <c r="F95" s="1894"/>
      <c r="G95" s="1894"/>
      <c r="H95" s="1894"/>
      <c r="I95" s="1894"/>
      <c r="J95" s="1894"/>
      <c r="K95" s="1894"/>
      <c r="L95" s="1894"/>
      <c r="M95" s="1894"/>
      <c r="N95" s="1894"/>
      <c r="O95" s="1894"/>
      <c r="P95" s="1894"/>
      <c r="Q95" s="1894"/>
      <c r="R95" s="1894"/>
      <c r="S95" s="1894"/>
      <c r="T95" s="1894"/>
      <c r="U95" s="1894"/>
      <c r="V95" s="1894"/>
      <c r="W95" s="1895"/>
    </row>
    <row r="96" spans="1:23" ht="15" hidden="1" customHeight="1">
      <c r="A96" s="4671"/>
      <c r="B96" s="4667"/>
      <c r="C96" s="1893"/>
      <c r="D96" s="1893"/>
      <c r="E96" s="1893"/>
      <c r="F96" s="1894"/>
      <c r="G96" s="1894"/>
      <c r="H96" s="1894"/>
      <c r="I96" s="1894"/>
      <c r="J96" s="1894"/>
      <c r="K96" s="1894"/>
      <c r="L96" s="1894"/>
      <c r="M96" s="1894"/>
      <c r="N96" s="1894"/>
      <c r="O96" s="1894"/>
      <c r="P96" s="1894"/>
      <c r="Q96" s="1894"/>
      <c r="R96" s="1894"/>
      <c r="S96" s="1894"/>
      <c r="T96" s="1894"/>
      <c r="U96" s="1894"/>
      <c r="V96" s="1894"/>
      <c r="W96" s="1895"/>
    </row>
    <row r="97" spans="1:23" ht="15" hidden="1" customHeight="1">
      <c r="A97" s="4683">
        <v>18</v>
      </c>
      <c r="B97" s="4667"/>
      <c r="C97" s="1893"/>
      <c r="D97" s="1893"/>
      <c r="E97" s="1893"/>
      <c r="F97" s="1894"/>
      <c r="G97" s="1894"/>
      <c r="H97" s="1894"/>
      <c r="I97" s="1894"/>
      <c r="J97" s="1894"/>
      <c r="K97" s="1894"/>
      <c r="L97" s="1894"/>
      <c r="M97" s="1894"/>
      <c r="N97" s="1894"/>
      <c r="O97" s="1894"/>
      <c r="P97" s="1894"/>
      <c r="Q97" s="1894"/>
      <c r="R97" s="1894"/>
      <c r="S97" s="1894"/>
      <c r="T97" s="1894"/>
      <c r="U97" s="1894"/>
      <c r="V97" s="1894"/>
      <c r="W97" s="1895"/>
    </row>
    <row r="98" spans="1:23" ht="15" hidden="1" customHeight="1">
      <c r="A98" s="4684"/>
      <c r="B98" s="4667"/>
      <c r="C98" s="1893"/>
      <c r="D98" s="1893"/>
      <c r="E98" s="1893"/>
      <c r="F98" s="1894"/>
      <c r="G98" s="1894"/>
      <c r="H98" s="1894"/>
      <c r="I98" s="1894"/>
      <c r="J98" s="1894"/>
      <c r="K98" s="1894"/>
      <c r="L98" s="1894"/>
      <c r="M98" s="1894"/>
      <c r="N98" s="1894"/>
      <c r="O98" s="1894"/>
      <c r="P98" s="1894"/>
      <c r="Q98" s="1894"/>
      <c r="R98" s="1894"/>
      <c r="S98" s="1894"/>
      <c r="T98" s="1894"/>
      <c r="U98" s="1894"/>
      <c r="V98" s="1894"/>
      <c r="W98" s="1895"/>
    </row>
    <row r="99" spans="1:23" ht="15" hidden="1" customHeight="1">
      <c r="A99" s="4684"/>
      <c r="B99" s="4667"/>
      <c r="C99" s="1893"/>
      <c r="D99" s="1893"/>
      <c r="E99" s="1893"/>
      <c r="F99" s="1894"/>
      <c r="G99" s="1894"/>
      <c r="H99" s="1894"/>
      <c r="I99" s="1894"/>
      <c r="J99" s="1894"/>
      <c r="K99" s="1894"/>
      <c r="L99" s="1894"/>
      <c r="M99" s="1894"/>
      <c r="N99" s="1894"/>
      <c r="O99" s="1894"/>
      <c r="P99" s="1894"/>
      <c r="Q99" s="1894"/>
      <c r="R99" s="1894"/>
      <c r="S99" s="1894"/>
      <c r="T99" s="1894"/>
      <c r="U99" s="1894"/>
      <c r="V99" s="1894"/>
      <c r="W99" s="1895"/>
    </row>
    <row r="100" spans="1:23" ht="15" hidden="1" customHeight="1">
      <c r="A100" s="4684"/>
      <c r="B100" s="4667"/>
      <c r="C100" s="1893"/>
      <c r="D100" s="1893"/>
      <c r="E100" s="1893"/>
      <c r="F100" s="1894"/>
      <c r="G100" s="1894"/>
      <c r="H100" s="1894"/>
      <c r="I100" s="1894"/>
      <c r="J100" s="1894"/>
      <c r="K100" s="1894"/>
      <c r="L100" s="1894"/>
      <c r="M100" s="1894"/>
      <c r="N100" s="1894"/>
      <c r="O100" s="1894"/>
      <c r="P100" s="1894"/>
      <c r="Q100" s="1894"/>
      <c r="R100" s="1894"/>
      <c r="S100" s="1894"/>
      <c r="T100" s="1894"/>
      <c r="U100" s="1894"/>
      <c r="V100" s="1894"/>
      <c r="W100" s="1895"/>
    </row>
    <row r="101" spans="1:23" ht="15" hidden="1" customHeight="1">
      <c r="A101" s="4671"/>
      <c r="B101" s="4667"/>
      <c r="C101" s="1893"/>
      <c r="D101" s="1893"/>
      <c r="E101" s="1893"/>
      <c r="F101" s="1894"/>
      <c r="G101" s="1894"/>
      <c r="H101" s="1894"/>
      <c r="I101" s="1894"/>
      <c r="J101" s="1894"/>
      <c r="K101" s="1894"/>
      <c r="L101" s="1894"/>
      <c r="M101" s="1894"/>
      <c r="N101" s="1894"/>
      <c r="O101" s="1894"/>
      <c r="P101" s="1894"/>
      <c r="Q101" s="1894"/>
      <c r="R101" s="1894"/>
      <c r="S101" s="1894"/>
      <c r="T101" s="1894"/>
      <c r="U101" s="1894"/>
      <c r="V101" s="1894"/>
      <c r="W101" s="1895"/>
    </row>
    <row r="102" spans="1:23" ht="15" hidden="1" customHeight="1">
      <c r="A102" s="4683">
        <v>19</v>
      </c>
      <c r="B102" s="4667"/>
      <c r="C102" s="1893"/>
      <c r="D102" s="1893"/>
      <c r="E102" s="1893"/>
      <c r="F102" s="1894"/>
      <c r="G102" s="1894"/>
      <c r="H102" s="1894"/>
      <c r="I102" s="1894"/>
      <c r="J102" s="1894"/>
      <c r="K102" s="1894"/>
      <c r="L102" s="1894"/>
      <c r="M102" s="1894"/>
      <c r="N102" s="1894"/>
      <c r="O102" s="1894"/>
      <c r="P102" s="1894"/>
      <c r="Q102" s="1894"/>
      <c r="R102" s="1894"/>
      <c r="S102" s="1894"/>
      <c r="T102" s="1894"/>
      <c r="U102" s="1894"/>
      <c r="V102" s="1894"/>
      <c r="W102" s="1895"/>
    </row>
    <row r="103" spans="1:23" ht="15" hidden="1" customHeight="1">
      <c r="A103" s="4684"/>
      <c r="B103" s="4667"/>
      <c r="C103" s="1893"/>
      <c r="D103" s="1893"/>
      <c r="E103" s="1893"/>
      <c r="F103" s="1894"/>
      <c r="G103" s="1894"/>
      <c r="H103" s="1894"/>
      <c r="I103" s="1894"/>
      <c r="J103" s="1894"/>
      <c r="K103" s="1894"/>
      <c r="L103" s="1894"/>
      <c r="M103" s="1894"/>
      <c r="N103" s="1894"/>
      <c r="O103" s="1894"/>
      <c r="P103" s="1894"/>
      <c r="Q103" s="1894"/>
      <c r="R103" s="1894"/>
      <c r="S103" s="1894"/>
      <c r="T103" s="1894"/>
      <c r="U103" s="1894"/>
      <c r="V103" s="1894"/>
      <c r="W103" s="1895"/>
    </row>
    <row r="104" spans="1:23" ht="15" hidden="1" customHeight="1">
      <c r="A104" s="4684"/>
      <c r="B104" s="4667"/>
      <c r="C104" s="1893"/>
      <c r="D104" s="1893"/>
      <c r="E104" s="1893"/>
      <c r="F104" s="1894"/>
      <c r="G104" s="1894"/>
      <c r="H104" s="1894"/>
      <c r="I104" s="1894"/>
      <c r="J104" s="1894"/>
      <c r="K104" s="1894"/>
      <c r="L104" s="1894"/>
      <c r="M104" s="1894"/>
      <c r="N104" s="1894"/>
      <c r="O104" s="1894"/>
      <c r="P104" s="1894"/>
      <c r="Q104" s="1894"/>
      <c r="R104" s="1894"/>
      <c r="S104" s="1894"/>
      <c r="T104" s="1894"/>
      <c r="U104" s="1894"/>
      <c r="V104" s="1894"/>
      <c r="W104" s="1895"/>
    </row>
    <row r="105" spans="1:23" ht="15" hidden="1" customHeight="1">
      <c r="A105" s="4684"/>
      <c r="B105" s="4667"/>
      <c r="C105" s="1893"/>
      <c r="D105" s="1893"/>
      <c r="E105" s="1893"/>
      <c r="F105" s="1894"/>
      <c r="G105" s="1894"/>
      <c r="H105" s="1894"/>
      <c r="I105" s="1894"/>
      <c r="J105" s="1894"/>
      <c r="K105" s="1894"/>
      <c r="L105" s="1894"/>
      <c r="M105" s="1894"/>
      <c r="N105" s="1894"/>
      <c r="O105" s="1894"/>
      <c r="P105" s="1894"/>
      <c r="Q105" s="1894"/>
      <c r="R105" s="1894"/>
      <c r="S105" s="1894"/>
      <c r="T105" s="1894"/>
      <c r="U105" s="1894"/>
      <c r="V105" s="1894"/>
      <c r="W105" s="1895"/>
    </row>
    <row r="106" spans="1:23" ht="15" hidden="1" customHeight="1">
      <c r="A106" s="4671"/>
      <c r="B106" s="4667"/>
      <c r="C106" s="1893"/>
      <c r="D106" s="1893"/>
      <c r="E106" s="1893"/>
      <c r="F106" s="1894"/>
      <c r="G106" s="1894"/>
      <c r="H106" s="1894"/>
      <c r="I106" s="1894"/>
      <c r="J106" s="1894"/>
      <c r="K106" s="1894"/>
      <c r="L106" s="1894"/>
      <c r="M106" s="1894"/>
      <c r="N106" s="1894"/>
      <c r="O106" s="1894"/>
      <c r="P106" s="1894"/>
      <c r="Q106" s="1894"/>
      <c r="R106" s="1894"/>
      <c r="S106" s="1894"/>
      <c r="T106" s="1894"/>
      <c r="U106" s="1894"/>
      <c r="V106" s="1894"/>
      <c r="W106" s="1895"/>
    </row>
    <row r="107" spans="1:23" ht="15" hidden="1" customHeight="1">
      <c r="A107" s="4683">
        <v>20</v>
      </c>
      <c r="B107" s="4667"/>
      <c r="C107" s="1893"/>
      <c r="D107" s="1893"/>
      <c r="E107" s="1893"/>
      <c r="F107" s="1894"/>
      <c r="G107" s="1894"/>
      <c r="H107" s="1894"/>
      <c r="I107" s="1894"/>
      <c r="J107" s="1894"/>
      <c r="K107" s="1894"/>
      <c r="L107" s="1894"/>
      <c r="M107" s="1894"/>
      <c r="N107" s="1894"/>
      <c r="O107" s="1894"/>
      <c r="P107" s="1894"/>
      <c r="Q107" s="1894"/>
      <c r="R107" s="1894"/>
      <c r="S107" s="1894"/>
      <c r="T107" s="1894"/>
      <c r="U107" s="1894"/>
      <c r="V107" s="1894"/>
      <c r="W107" s="1895"/>
    </row>
    <row r="108" spans="1:23" ht="15" hidden="1" customHeight="1">
      <c r="A108" s="4684"/>
      <c r="B108" s="4667"/>
      <c r="C108" s="1893"/>
      <c r="D108" s="1893"/>
      <c r="E108" s="1893"/>
      <c r="F108" s="1894"/>
      <c r="G108" s="1894"/>
      <c r="H108" s="1894"/>
      <c r="I108" s="1894"/>
      <c r="J108" s="1894"/>
      <c r="K108" s="1894"/>
      <c r="L108" s="1894"/>
      <c r="M108" s="1894"/>
      <c r="N108" s="1894"/>
      <c r="O108" s="1894"/>
      <c r="P108" s="1894"/>
      <c r="Q108" s="1894"/>
      <c r="R108" s="1894"/>
      <c r="S108" s="1894"/>
      <c r="T108" s="1894"/>
      <c r="U108" s="1894"/>
      <c r="V108" s="1894"/>
      <c r="W108" s="1895"/>
    </row>
    <row r="109" spans="1:23" ht="15" hidden="1" customHeight="1">
      <c r="A109" s="4684"/>
      <c r="B109" s="4667"/>
      <c r="C109" s="1893"/>
      <c r="D109" s="1893"/>
      <c r="E109" s="1893"/>
      <c r="F109" s="1894"/>
      <c r="G109" s="1894"/>
      <c r="H109" s="1894"/>
      <c r="I109" s="1894"/>
      <c r="J109" s="1894"/>
      <c r="K109" s="1894"/>
      <c r="L109" s="1894"/>
      <c r="M109" s="1894"/>
      <c r="N109" s="1894"/>
      <c r="O109" s="1894"/>
      <c r="P109" s="1894"/>
      <c r="Q109" s="1894"/>
      <c r="R109" s="1894"/>
      <c r="S109" s="1894"/>
      <c r="T109" s="1894"/>
      <c r="U109" s="1894"/>
      <c r="V109" s="1894"/>
      <c r="W109" s="1895"/>
    </row>
    <row r="110" spans="1:23" ht="15" hidden="1" customHeight="1">
      <c r="A110" s="4684"/>
      <c r="B110" s="4667"/>
      <c r="C110" s="1893"/>
      <c r="D110" s="1893"/>
      <c r="E110" s="1893"/>
      <c r="F110" s="1894"/>
      <c r="G110" s="1894"/>
      <c r="H110" s="1894"/>
      <c r="I110" s="1894"/>
      <c r="J110" s="1894"/>
      <c r="K110" s="1894"/>
      <c r="L110" s="1894"/>
      <c r="M110" s="1894"/>
      <c r="N110" s="1894"/>
      <c r="O110" s="1894"/>
      <c r="P110" s="1894"/>
      <c r="Q110" s="1894"/>
      <c r="R110" s="1894"/>
      <c r="S110" s="1894"/>
      <c r="T110" s="1894"/>
      <c r="U110" s="1894"/>
      <c r="V110" s="1894"/>
      <c r="W110" s="1895"/>
    </row>
    <row r="111" spans="1:23" ht="15" hidden="1" customHeight="1">
      <c r="A111" s="4671"/>
      <c r="B111" s="4667"/>
      <c r="C111" s="1893"/>
      <c r="D111" s="1893"/>
      <c r="E111" s="1893"/>
      <c r="F111" s="1894"/>
      <c r="G111" s="1894"/>
      <c r="H111" s="1894"/>
      <c r="I111" s="1894"/>
      <c r="J111" s="1894"/>
      <c r="K111" s="1894"/>
      <c r="L111" s="1894"/>
      <c r="M111" s="1894"/>
      <c r="N111" s="1894"/>
      <c r="O111" s="1894"/>
      <c r="P111" s="1894"/>
      <c r="Q111" s="1894"/>
      <c r="R111" s="1894"/>
      <c r="S111" s="1894"/>
      <c r="T111" s="1894"/>
      <c r="U111" s="1894"/>
      <c r="V111" s="1894"/>
      <c r="W111" s="1895"/>
    </row>
    <row r="112" spans="1:23" ht="15" hidden="1" customHeight="1">
      <c r="A112" s="4683">
        <v>21</v>
      </c>
      <c r="B112" s="4667"/>
      <c r="C112" s="1893"/>
      <c r="D112" s="1893"/>
      <c r="E112" s="1893"/>
      <c r="F112" s="1894"/>
      <c r="G112" s="1894"/>
      <c r="H112" s="1894"/>
      <c r="I112" s="1894"/>
      <c r="J112" s="1894"/>
      <c r="K112" s="1894"/>
      <c r="L112" s="1894"/>
      <c r="M112" s="1894"/>
      <c r="N112" s="1894"/>
      <c r="O112" s="1894"/>
      <c r="P112" s="1894"/>
      <c r="Q112" s="1894"/>
      <c r="R112" s="1894"/>
      <c r="S112" s="1894"/>
      <c r="T112" s="1894"/>
      <c r="U112" s="1894"/>
      <c r="V112" s="1894"/>
      <c r="W112" s="1895"/>
    </row>
    <row r="113" spans="1:23" ht="15" hidden="1" customHeight="1">
      <c r="A113" s="4684"/>
      <c r="B113" s="4667"/>
      <c r="C113" s="1893"/>
      <c r="D113" s="1893"/>
      <c r="E113" s="1893"/>
      <c r="F113" s="1894"/>
      <c r="G113" s="1894"/>
      <c r="H113" s="1894"/>
      <c r="I113" s="1894"/>
      <c r="J113" s="1894"/>
      <c r="K113" s="1894"/>
      <c r="L113" s="1894"/>
      <c r="M113" s="1894"/>
      <c r="N113" s="1894"/>
      <c r="O113" s="1894"/>
      <c r="P113" s="1894"/>
      <c r="Q113" s="1894"/>
      <c r="R113" s="1894"/>
      <c r="S113" s="1894"/>
      <c r="T113" s="1894"/>
      <c r="U113" s="1894"/>
      <c r="V113" s="1894"/>
      <c r="W113" s="1895"/>
    </row>
    <row r="114" spans="1:23" ht="15" hidden="1" customHeight="1">
      <c r="A114" s="4684"/>
      <c r="B114" s="4667"/>
      <c r="C114" s="1893"/>
      <c r="D114" s="1893"/>
      <c r="E114" s="1893"/>
      <c r="F114" s="1894"/>
      <c r="G114" s="1894"/>
      <c r="H114" s="1894"/>
      <c r="I114" s="1894"/>
      <c r="J114" s="1894"/>
      <c r="K114" s="1894"/>
      <c r="L114" s="1894"/>
      <c r="M114" s="1894"/>
      <c r="N114" s="1894"/>
      <c r="O114" s="1894"/>
      <c r="P114" s="1894"/>
      <c r="Q114" s="1894"/>
      <c r="R114" s="1894"/>
      <c r="S114" s="1894"/>
      <c r="T114" s="1894"/>
      <c r="U114" s="1894"/>
      <c r="V114" s="1894"/>
      <c r="W114" s="1895"/>
    </row>
    <row r="115" spans="1:23" ht="15" hidden="1" customHeight="1">
      <c r="A115" s="4684"/>
      <c r="B115" s="4667"/>
      <c r="C115" s="1893"/>
      <c r="D115" s="1893"/>
      <c r="E115" s="1893"/>
      <c r="F115" s="1894"/>
      <c r="G115" s="1894"/>
      <c r="H115" s="1894"/>
      <c r="I115" s="1894"/>
      <c r="J115" s="1894"/>
      <c r="K115" s="1894"/>
      <c r="L115" s="1894"/>
      <c r="M115" s="1894"/>
      <c r="N115" s="1894"/>
      <c r="O115" s="1894"/>
      <c r="P115" s="1894"/>
      <c r="Q115" s="1894"/>
      <c r="R115" s="1894"/>
      <c r="S115" s="1894"/>
      <c r="T115" s="1894"/>
      <c r="U115" s="1894"/>
      <c r="V115" s="1894"/>
      <c r="W115" s="1895"/>
    </row>
    <row r="116" spans="1:23" ht="15" hidden="1" customHeight="1">
      <c r="A116" s="4671"/>
      <c r="B116" s="4667"/>
      <c r="C116" s="1893"/>
      <c r="D116" s="1893"/>
      <c r="E116" s="1893"/>
      <c r="F116" s="1894"/>
      <c r="G116" s="1894"/>
      <c r="H116" s="1894"/>
      <c r="I116" s="1894"/>
      <c r="J116" s="1894"/>
      <c r="K116" s="1894"/>
      <c r="L116" s="1894"/>
      <c r="M116" s="1894"/>
      <c r="N116" s="1894"/>
      <c r="O116" s="1894"/>
      <c r="P116" s="1894"/>
      <c r="Q116" s="1894"/>
      <c r="R116" s="1894"/>
      <c r="S116" s="1894"/>
      <c r="T116" s="1894"/>
      <c r="U116" s="1894"/>
      <c r="V116" s="1894"/>
      <c r="W116" s="1895"/>
    </row>
    <row r="117" spans="1:23" ht="15" hidden="1" customHeight="1">
      <c r="A117" s="4683">
        <v>22</v>
      </c>
      <c r="B117" s="4667"/>
      <c r="C117" s="1893"/>
      <c r="D117" s="1893"/>
      <c r="E117" s="1893"/>
      <c r="F117" s="1894"/>
      <c r="G117" s="1894"/>
      <c r="H117" s="1894"/>
      <c r="I117" s="1894"/>
      <c r="J117" s="1894"/>
      <c r="K117" s="1894"/>
      <c r="L117" s="1894"/>
      <c r="M117" s="1894"/>
      <c r="N117" s="1894"/>
      <c r="O117" s="1894"/>
      <c r="P117" s="1894"/>
      <c r="Q117" s="1894"/>
      <c r="R117" s="1894"/>
      <c r="S117" s="1894"/>
      <c r="T117" s="1894"/>
      <c r="U117" s="1894"/>
      <c r="V117" s="1894"/>
      <c r="W117" s="1895"/>
    </row>
    <row r="118" spans="1:23" ht="15" hidden="1" customHeight="1">
      <c r="A118" s="4684"/>
      <c r="B118" s="4667"/>
      <c r="C118" s="1893"/>
      <c r="D118" s="1893"/>
      <c r="E118" s="1893"/>
      <c r="F118" s="1894"/>
      <c r="G118" s="1894"/>
      <c r="H118" s="1894"/>
      <c r="I118" s="1894"/>
      <c r="J118" s="1894"/>
      <c r="K118" s="1894"/>
      <c r="L118" s="1894"/>
      <c r="M118" s="1894"/>
      <c r="N118" s="1894"/>
      <c r="O118" s="1894"/>
      <c r="P118" s="1894"/>
      <c r="Q118" s="1894"/>
      <c r="R118" s="1894"/>
      <c r="S118" s="1894"/>
      <c r="T118" s="1894"/>
      <c r="U118" s="1894"/>
      <c r="V118" s="1894"/>
      <c r="W118" s="1895"/>
    </row>
    <row r="119" spans="1:23" ht="15" hidden="1" customHeight="1">
      <c r="A119" s="4684"/>
      <c r="B119" s="4667"/>
      <c r="C119" s="1893"/>
      <c r="D119" s="1893"/>
      <c r="E119" s="1893"/>
      <c r="F119" s="1894"/>
      <c r="G119" s="1894"/>
      <c r="H119" s="1894"/>
      <c r="I119" s="1894"/>
      <c r="J119" s="1894"/>
      <c r="K119" s="1894"/>
      <c r="L119" s="1894"/>
      <c r="M119" s="1894"/>
      <c r="N119" s="1894"/>
      <c r="O119" s="1894"/>
      <c r="P119" s="1894"/>
      <c r="Q119" s="1894"/>
      <c r="R119" s="1894"/>
      <c r="S119" s="1894"/>
      <c r="T119" s="1894"/>
      <c r="U119" s="1894"/>
      <c r="V119" s="1894"/>
      <c r="W119" s="1895"/>
    </row>
    <row r="120" spans="1:23" ht="15" hidden="1" customHeight="1">
      <c r="A120" s="4684"/>
      <c r="B120" s="4667"/>
      <c r="C120" s="1893"/>
      <c r="D120" s="1893"/>
      <c r="E120" s="1893"/>
      <c r="F120" s="1894"/>
      <c r="G120" s="1894"/>
      <c r="H120" s="1894"/>
      <c r="I120" s="1894"/>
      <c r="J120" s="1894"/>
      <c r="K120" s="1894"/>
      <c r="L120" s="1894"/>
      <c r="M120" s="1894"/>
      <c r="N120" s="1894"/>
      <c r="O120" s="1894"/>
      <c r="P120" s="1894"/>
      <c r="Q120" s="1894"/>
      <c r="R120" s="1894"/>
      <c r="S120" s="1894"/>
      <c r="T120" s="1894"/>
      <c r="U120" s="1894"/>
      <c r="V120" s="1894"/>
      <c r="W120" s="1895"/>
    </row>
    <row r="121" spans="1:23" ht="16.5" hidden="1">
      <c r="A121" s="4671"/>
      <c r="B121" s="4667"/>
      <c r="C121" s="1893"/>
      <c r="D121" s="1893"/>
      <c r="E121" s="1893"/>
      <c r="F121" s="1894"/>
      <c r="G121" s="1894"/>
      <c r="H121" s="1894"/>
      <c r="I121" s="1894"/>
      <c r="J121" s="1894"/>
      <c r="K121" s="1894"/>
      <c r="L121" s="1894"/>
      <c r="M121" s="1894"/>
      <c r="N121" s="1894"/>
      <c r="O121" s="1894"/>
      <c r="P121" s="1894"/>
      <c r="Q121" s="1894"/>
      <c r="R121" s="1894"/>
      <c r="S121" s="1894"/>
      <c r="T121" s="1894"/>
      <c r="U121" s="1894"/>
      <c r="V121" s="1894"/>
      <c r="W121" s="1895"/>
    </row>
    <row r="122" spans="1:23" ht="16.5">
      <c r="S122" s="4668" t="s">
        <v>1014</v>
      </c>
      <c r="T122" s="4668"/>
      <c r="U122" s="4668"/>
      <c r="V122" s="4668"/>
      <c r="W122" s="4668"/>
    </row>
    <row r="123" spans="1:23" ht="17.25" customHeight="1">
      <c r="A123" s="1902" t="s">
        <v>1111</v>
      </c>
      <c r="B123" s="1902"/>
      <c r="C123" s="1902"/>
      <c r="D123" s="1902"/>
      <c r="E123" s="1902"/>
      <c r="F123" s="1902"/>
      <c r="H123" s="1897"/>
      <c r="J123" s="1897" t="s">
        <v>1112</v>
      </c>
      <c r="K123" s="1897"/>
      <c r="L123" s="1897"/>
      <c r="M123" s="4638" t="s">
        <v>1113</v>
      </c>
      <c r="N123" s="4638"/>
      <c r="O123" s="4638"/>
      <c r="P123" s="4638"/>
      <c r="Q123" s="4638"/>
      <c r="R123" s="4638"/>
      <c r="S123" s="1897"/>
      <c r="T123" s="1897"/>
      <c r="U123" s="4638" t="s">
        <v>1114</v>
      </c>
      <c r="V123" s="4638"/>
      <c r="W123" s="4638"/>
    </row>
    <row r="124" spans="1:23" ht="17.25" customHeight="1">
      <c r="B124" s="1898" t="s">
        <v>113</v>
      </c>
      <c r="C124" s="1898" t="s">
        <v>1115</v>
      </c>
      <c r="D124" s="1898"/>
      <c r="E124" s="1896"/>
    </row>
    <row r="125" spans="1:23" ht="17.25" customHeight="1">
      <c r="B125" s="1898" t="s">
        <v>113</v>
      </c>
      <c r="C125" s="1898" t="s">
        <v>52</v>
      </c>
      <c r="D125" s="1898"/>
      <c r="E125" s="1896"/>
      <c r="G125" s="4669"/>
      <c r="H125" s="4669"/>
      <c r="I125" s="4669"/>
      <c r="J125" s="4669"/>
      <c r="K125" s="4669"/>
      <c r="L125" s="4669"/>
      <c r="M125" s="4669"/>
      <c r="N125" s="4669"/>
      <c r="O125" s="4669"/>
      <c r="P125" s="4669"/>
      <c r="Q125" s="4669"/>
      <c r="R125" s="4669"/>
      <c r="S125" s="4669"/>
      <c r="T125" s="4669"/>
      <c r="U125" s="4669"/>
      <c r="V125" s="4669"/>
    </row>
    <row r="126" spans="1:23" ht="17.25" customHeight="1">
      <c r="B126" s="1898" t="s">
        <v>113</v>
      </c>
      <c r="C126" s="1898" t="s">
        <v>92</v>
      </c>
      <c r="D126" s="1898"/>
      <c r="E126" s="1896"/>
      <c r="G126" s="4669"/>
      <c r="H126" s="4669"/>
      <c r="I126" s="4669"/>
      <c r="J126" s="4669"/>
      <c r="K126" s="4669"/>
      <c r="L126" s="4669"/>
      <c r="M126" s="4669"/>
      <c r="N126" s="4669"/>
      <c r="O126" s="4669"/>
      <c r="P126" s="4669"/>
      <c r="Q126" s="4669"/>
      <c r="R126" s="4669"/>
      <c r="S126" s="4669"/>
      <c r="T126" s="4669"/>
      <c r="U126" s="4669"/>
      <c r="V126" s="4669"/>
    </row>
    <row r="127" spans="1:23" ht="17.25" customHeight="1">
      <c r="B127" s="1898" t="s">
        <v>113</v>
      </c>
      <c r="C127" s="1898" t="s">
        <v>53</v>
      </c>
      <c r="D127" s="1898"/>
      <c r="E127" s="1896"/>
      <c r="G127" s="4669"/>
      <c r="H127" s="4669"/>
      <c r="I127" s="4669"/>
      <c r="J127" s="4669"/>
      <c r="K127" s="4669"/>
      <c r="L127" s="4669"/>
      <c r="M127" s="4669"/>
      <c r="N127" s="4669"/>
      <c r="O127" s="4669"/>
      <c r="P127" s="4669"/>
      <c r="Q127" s="4669"/>
      <c r="R127" s="4669"/>
      <c r="S127" s="4669"/>
      <c r="T127" s="4669"/>
      <c r="U127" s="4669"/>
      <c r="V127" s="4669"/>
    </row>
    <row r="128" spans="1:23" ht="17.25" customHeight="1">
      <c r="B128" s="1898" t="s">
        <v>113</v>
      </c>
      <c r="C128" s="1898" t="s">
        <v>93</v>
      </c>
      <c r="D128" s="1898"/>
      <c r="E128" s="1896"/>
      <c r="G128" s="4669"/>
      <c r="H128" s="4669"/>
      <c r="I128" s="4669"/>
      <c r="J128" s="4669"/>
      <c r="K128" s="4669"/>
      <c r="L128" s="4669"/>
      <c r="M128" s="4669"/>
      <c r="N128" s="4669"/>
      <c r="O128" s="4669"/>
      <c r="P128" s="4669"/>
      <c r="Q128" s="4669"/>
      <c r="R128" s="4669"/>
      <c r="S128" s="4669"/>
      <c r="T128" s="4669"/>
      <c r="U128" s="4669"/>
      <c r="V128" s="4669"/>
    </row>
    <row r="129" spans="1:23" ht="17.25" customHeight="1">
      <c r="B129" s="4670" t="s">
        <v>21</v>
      </c>
      <c r="C129" s="4670"/>
      <c r="D129" s="1899"/>
      <c r="E129" s="1896"/>
      <c r="G129" s="4669"/>
      <c r="H129" s="4669"/>
      <c r="I129" s="4669"/>
      <c r="J129" s="4669"/>
      <c r="K129" s="4669"/>
      <c r="L129" s="4669"/>
      <c r="M129" s="4669"/>
      <c r="N129" s="4669"/>
      <c r="O129" s="4669"/>
      <c r="P129" s="4669"/>
      <c r="Q129" s="4669"/>
      <c r="R129" s="4669"/>
      <c r="S129" s="4669"/>
      <c r="T129" s="4669"/>
      <c r="U129" s="4669"/>
      <c r="V129" s="4669"/>
    </row>
    <row r="130" spans="1:23" s="1901" customFormat="1" ht="16.5">
      <c r="A130" s="4666"/>
      <c r="B130" s="4666"/>
      <c r="C130" s="4666"/>
      <c r="D130" s="4666"/>
      <c r="E130" s="4666"/>
      <c r="F130" s="4666"/>
      <c r="G130" s="1900"/>
      <c r="H130" s="1900"/>
      <c r="I130" s="1900"/>
      <c r="J130" s="4666"/>
      <c r="K130" s="4666"/>
      <c r="L130" s="4666"/>
      <c r="M130" s="4666"/>
      <c r="N130" s="4666"/>
      <c r="O130" s="4666"/>
      <c r="P130" s="1900"/>
      <c r="Q130" s="1900"/>
      <c r="R130" s="1900"/>
      <c r="S130" s="1900"/>
      <c r="T130" s="1900"/>
      <c r="U130" s="4666"/>
      <c r="V130" s="4666"/>
      <c r="W130" s="4666"/>
    </row>
    <row r="131" spans="1:23" ht="17.25" customHeight="1"/>
  </sheetData>
  <mergeCells count="89">
    <mergeCell ref="G125:V129"/>
    <mergeCell ref="B129:C129"/>
    <mergeCell ref="A130:F130"/>
    <mergeCell ref="J130:O130"/>
    <mergeCell ref="U130:W130"/>
    <mergeCell ref="M123:R123"/>
    <mergeCell ref="U123:W123"/>
    <mergeCell ref="A97:A101"/>
    <mergeCell ref="B97:B101"/>
    <mergeCell ref="A102:A106"/>
    <mergeCell ref="B102:B106"/>
    <mergeCell ref="A107:A111"/>
    <mergeCell ref="B107:B111"/>
    <mergeCell ref="A112:A116"/>
    <mergeCell ref="B112:B116"/>
    <mergeCell ref="A117:A121"/>
    <mergeCell ref="B117:B121"/>
    <mergeCell ref="S122:W122"/>
    <mergeCell ref="A92:A96"/>
    <mergeCell ref="B92:B96"/>
    <mergeCell ref="A72:A76"/>
    <mergeCell ref="B72:B76"/>
    <mergeCell ref="W72:W76"/>
    <mergeCell ref="A77:A81"/>
    <mergeCell ref="B77:B81"/>
    <mergeCell ref="W77:W81"/>
    <mergeCell ref="A82:A86"/>
    <mergeCell ref="B82:B86"/>
    <mergeCell ref="W82:W86"/>
    <mergeCell ref="A87:A91"/>
    <mergeCell ref="B87:B91"/>
    <mergeCell ref="A62:A66"/>
    <mergeCell ref="B62:B66"/>
    <mergeCell ref="W62:W66"/>
    <mergeCell ref="A67:A71"/>
    <mergeCell ref="B67:B71"/>
    <mergeCell ref="W67:W71"/>
    <mergeCell ref="A52:A56"/>
    <mergeCell ref="B52:B56"/>
    <mergeCell ref="W52:W56"/>
    <mergeCell ref="A57:A61"/>
    <mergeCell ref="B57:B61"/>
    <mergeCell ref="W57:W61"/>
    <mergeCell ref="A42:A46"/>
    <mergeCell ref="B42:B46"/>
    <mergeCell ref="W42:W46"/>
    <mergeCell ref="A47:A51"/>
    <mergeCell ref="B47:B51"/>
    <mergeCell ref="W47:W51"/>
    <mergeCell ref="A32:A36"/>
    <mergeCell ref="B32:B36"/>
    <mergeCell ref="W32:W36"/>
    <mergeCell ref="A37:A41"/>
    <mergeCell ref="B37:B41"/>
    <mergeCell ref="W37:W41"/>
    <mergeCell ref="A22:A26"/>
    <mergeCell ref="B22:B26"/>
    <mergeCell ref="W22:W26"/>
    <mergeCell ref="A27:A31"/>
    <mergeCell ref="B27:B31"/>
    <mergeCell ref="W27:W31"/>
    <mergeCell ref="A12:A16"/>
    <mergeCell ref="B12:B16"/>
    <mergeCell ref="W12:W16"/>
    <mergeCell ref="A17:A21"/>
    <mergeCell ref="B17:B21"/>
    <mergeCell ref="W17:W21"/>
    <mergeCell ref="A11:B11"/>
    <mergeCell ref="A7:A10"/>
    <mergeCell ref="B7:B10"/>
    <mergeCell ref="C7:E10"/>
    <mergeCell ref="F7:V7"/>
    <mergeCell ref="R8:R9"/>
    <mergeCell ref="S8:S9"/>
    <mergeCell ref="T8:T9"/>
    <mergeCell ref="U8:U9"/>
    <mergeCell ref="V8:V9"/>
    <mergeCell ref="W7:W11"/>
    <mergeCell ref="F8:F9"/>
    <mergeCell ref="G8:H8"/>
    <mergeCell ref="I8:J8"/>
    <mergeCell ref="K8:M8"/>
    <mergeCell ref="N8:Q8"/>
    <mergeCell ref="A2:I2"/>
    <mergeCell ref="A3:G3"/>
    <mergeCell ref="A5:W5"/>
    <mergeCell ref="V6:W6"/>
    <mergeCell ref="P1:W1"/>
    <mergeCell ref="P2:W2"/>
  </mergeCells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1"/>
  <sheetViews>
    <sheetView workbookViewId="0">
      <selection activeCell="X7" sqref="A7:XFD11"/>
    </sheetView>
  </sheetViews>
  <sheetFormatPr defaultColWidth="9.25" defaultRowHeight="12.75"/>
  <cols>
    <col min="1" max="1" width="3" style="1886" customWidth="1"/>
    <col min="2" max="2" width="11" style="1886" customWidth="1"/>
    <col min="3" max="5" width="4.375" style="1886" customWidth="1"/>
    <col min="6" max="11" width="5" style="1886" customWidth="1"/>
    <col min="12" max="16" width="5.125" style="1886" customWidth="1"/>
    <col min="17" max="17" width="6.125" style="1886" customWidth="1"/>
    <col min="18" max="19" width="4.375" style="1886" customWidth="1"/>
    <col min="20" max="20" width="4.375" style="1886" bestFit="1" customWidth="1"/>
    <col min="21" max="23" width="8" style="1886" customWidth="1"/>
    <col min="24" max="16384" width="9.25" style="1886"/>
  </cols>
  <sheetData>
    <row r="1" spans="1:25" s="1885" customFormat="1" ht="15.75">
      <c r="A1" s="4692" t="s">
        <v>574</v>
      </c>
      <c r="B1" s="4692"/>
      <c r="C1" s="4692"/>
      <c r="D1" s="4692"/>
      <c r="E1" s="4692"/>
      <c r="F1" s="4692"/>
      <c r="G1" s="4692"/>
      <c r="H1" s="4692"/>
      <c r="I1" s="4692"/>
      <c r="J1" s="4692"/>
      <c r="O1" s="4638" t="s">
        <v>165</v>
      </c>
      <c r="P1" s="4638"/>
      <c r="Q1" s="4638"/>
      <c r="R1" s="4638"/>
      <c r="S1" s="4638"/>
      <c r="T1" s="4638"/>
      <c r="U1" s="4638"/>
      <c r="V1" s="4638"/>
      <c r="W1" s="4638"/>
    </row>
    <row r="2" spans="1:25" ht="15.75">
      <c r="A2" s="4638" t="s">
        <v>541</v>
      </c>
      <c r="B2" s="4638"/>
      <c r="C2" s="4638"/>
      <c r="D2" s="4638"/>
      <c r="E2" s="4638"/>
      <c r="F2" s="4638"/>
      <c r="G2" s="4638"/>
      <c r="H2" s="4638"/>
      <c r="I2" s="4638"/>
      <c r="J2" s="4638"/>
      <c r="O2" s="4638" t="s">
        <v>171</v>
      </c>
      <c r="P2" s="4638"/>
      <c r="Q2" s="4638"/>
      <c r="R2" s="4638"/>
      <c r="S2" s="4638"/>
      <c r="T2" s="4638"/>
      <c r="U2" s="4638"/>
      <c r="V2" s="4638"/>
      <c r="W2" s="4638"/>
    </row>
    <row r="3" spans="1:25" ht="15.75">
      <c r="A3" s="4638" t="s">
        <v>371</v>
      </c>
      <c r="B3" s="4638"/>
      <c r="C3" s="4638"/>
      <c r="D3" s="4638"/>
      <c r="E3" s="4638"/>
      <c r="F3" s="4638"/>
      <c r="G3" s="4638"/>
      <c r="H3" s="4638"/>
      <c r="I3" s="4638"/>
      <c r="J3" s="4638"/>
    </row>
    <row r="4" spans="1:25" ht="9" customHeight="1">
      <c r="A4" s="1887"/>
      <c r="B4" s="1887"/>
      <c r="C4" s="1887"/>
      <c r="D4" s="1887"/>
      <c r="E4" s="1887"/>
    </row>
    <row r="5" spans="1:25" ht="18.75">
      <c r="A5" s="4639" t="s">
        <v>1116</v>
      </c>
      <c r="B5" s="4639"/>
      <c r="C5" s="4639"/>
      <c r="D5" s="4639"/>
      <c r="E5" s="4639"/>
      <c r="F5" s="4639"/>
      <c r="G5" s="4639"/>
      <c r="H5" s="4639"/>
      <c r="I5" s="4639"/>
      <c r="J5" s="4639"/>
      <c r="K5" s="4639"/>
      <c r="L5" s="4639"/>
      <c r="M5" s="4639"/>
      <c r="N5" s="4639"/>
      <c r="O5" s="4639"/>
      <c r="P5" s="4639"/>
      <c r="Q5" s="4639"/>
      <c r="R5" s="4639"/>
      <c r="S5" s="4639"/>
      <c r="T5" s="4639"/>
      <c r="U5" s="4639"/>
      <c r="V5" s="4639"/>
      <c r="W5" s="4639"/>
    </row>
    <row r="6" spans="1:25" ht="15" customHeight="1">
      <c r="U6" s="1906"/>
      <c r="V6" s="4640"/>
      <c r="W6" s="4640"/>
    </row>
    <row r="7" spans="1:25" ht="17.25" customHeight="1">
      <c r="A7" s="4675" t="s">
        <v>19</v>
      </c>
      <c r="B7" s="4659" t="s">
        <v>1110</v>
      </c>
      <c r="C7" s="4659" t="s">
        <v>116</v>
      </c>
      <c r="D7" s="4659"/>
      <c r="E7" s="4659"/>
      <c r="F7" s="4664" t="s">
        <v>117</v>
      </c>
      <c r="G7" s="4664"/>
      <c r="H7" s="4664"/>
      <c r="I7" s="4664"/>
      <c r="J7" s="4664"/>
      <c r="K7" s="4664"/>
      <c r="L7" s="4664"/>
      <c r="M7" s="4664"/>
      <c r="N7" s="4664"/>
      <c r="O7" s="4664"/>
      <c r="P7" s="4664"/>
      <c r="Q7" s="4664"/>
      <c r="R7" s="4664"/>
      <c r="S7" s="4664"/>
      <c r="T7" s="4664"/>
      <c r="U7" s="4664"/>
      <c r="V7" s="4665"/>
      <c r="W7" s="4647" t="s">
        <v>118</v>
      </c>
      <c r="Y7" s="1888"/>
    </row>
    <row r="8" spans="1:25" ht="16.5">
      <c r="A8" s="4676"/>
      <c r="B8" s="4661"/>
      <c r="C8" s="4661"/>
      <c r="D8" s="4661"/>
      <c r="E8" s="4661"/>
      <c r="F8" s="4650" t="s">
        <v>119</v>
      </c>
      <c r="G8" s="4651" t="s">
        <v>120</v>
      </c>
      <c r="H8" s="4651"/>
      <c r="I8" s="4651" t="s">
        <v>121</v>
      </c>
      <c r="J8" s="4651"/>
      <c r="K8" s="4651" t="s">
        <v>122</v>
      </c>
      <c r="L8" s="4651"/>
      <c r="M8" s="4651"/>
      <c r="N8" s="4651" t="s">
        <v>123</v>
      </c>
      <c r="O8" s="4651"/>
      <c r="P8" s="4651"/>
      <c r="Q8" s="4651"/>
      <c r="R8" s="4650" t="s">
        <v>124</v>
      </c>
      <c r="S8" s="4650" t="s">
        <v>125</v>
      </c>
      <c r="T8" s="4650" t="s">
        <v>126</v>
      </c>
      <c r="U8" s="4650" t="s">
        <v>127</v>
      </c>
      <c r="V8" s="4652" t="s">
        <v>128</v>
      </c>
      <c r="W8" s="4648"/>
      <c r="Y8" s="1889"/>
    </row>
    <row r="9" spans="1:25" ht="54.75" customHeight="1">
      <c r="A9" s="4676"/>
      <c r="B9" s="4661"/>
      <c r="C9" s="4661"/>
      <c r="D9" s="4661"/>
      <c r="E9" s="4661"/>
      <c r="F9" s="4650"/>
      <c r="G9" s="1890" t="s">
        <v>129</v>
      </c>
      <c r="H9" s="1890" t="s">
        <v>130</v>
      </c>
      <c r="I9" s="1891" t="s">
        <v>129</v>
      </c>
      <c r="J9" s="1890" t="s">
        <v>130</v>
      </c>
      <c r="K9" s="1890" t="s">
        <v>131</v>
      </c>
      <c r="L9" s="1890" t="s">
        <v>132</v>
      </c>
      <c r="M9" s="1890" t="s">
        <v>133</v>
      </c>
      <c r="N9" s="1890" t="s">
        <v>134</v>
      </c>
      <c r="O9" s="1891" t="s">
        <v>135</v>
      </c>
      <c r="P9" s="1890" t="s">
        <v>136</v>
      </c>
      <c r="Q9" s="1890" t="s">
        <v>137</v>
      </c>
      <c r="R9" s="4650"/>
      <c r="S9" s="4650"/>
      <c r="T9" s="4650"/>
      <c r="U9" s="4650"/>
      <c r="V9" s="4652"/>
      <c r="W9" s="4648"/>
      <c r="Y9" s="1892"/>
    </row>
    <row r="10" spans="1:25" ht="23.25" customHeight="1">
      <c r="A10" s="4677"/>
      <c r="B10" s="4663"/>
      <c r="C10" s="4663"/>
      <c r="D10" s="4663"/>
      <c r="E10" s="4663"/>
      <c r="F10" s="1914" t="s">
        <v>138</v>
      </c>
      <c r="G10" s="1915" t="s">
        <v>139</v>
      </c>
      <c r="H10" s="1915" t="s">
        <v>139</v>
      </c>
      <c r="I10" s="1915" t="s">
        <v>140</v>
      </c>
      <c r="J10" s="1915" t="s">
        <v>140</v>
      </c>
      <c r="K10" s="1915" t="s">
        <v>141</v>
      </c>
      <c r="L10" s="1914"/>
      <c r="M10" s="1914" t="s">
        <v>142</v>
      </c>
      <c r="N10" s="1916"/>
      <c r="O10" s="1917"/>
      <c r="P10" s="1918" t="s">
        <v>143</v>
      </c>
      <c r="Q10" s="1918"/>
      <c r="R10" s="1919" t="s">
        <v>144</v>
      </c>
      <c r="S10" s="1916"/>
      <c r="T10" s="1920" t="s">
        <v>145</v>
      </c>
      <c r="U10" s="1918"/>
      <c r="V10" s="1921"/>
      <c r="W10" s="4648"/>
    </row>
    <row r="11" spans="1:25" ht="18" customHeight="1">
      <c r="A11" s="4673" t="s">
        <v>146</v>
      </c>
      <c r="B11" s="4674"/>
      <c r="C11" s="1912" t="s">
        <v>147</v>
      </c>
      <c r="D11" s="1912" t="s">
        <v>148</v>
      </c>
      <c r="E11" s="1912" t="s">
        <v>149</v>
      </c>
      <c r="F11" s="1913">
        <v>0</v>
      </c>
      <c r="G11" s="1913">
        <v>3</v>
      </c>
      <c r="H11" s="1913">
        <v>1</v>
      </c>
      <c r="I11" s="1913">
        <v>5</v>
      </c>
      <c r="J11" s="1913">
        <v>3</v>
      </c>
      <c r="K11" s="1913">
        <v>1</v>
      </c>
      <c r="L11" s="1913">
        <v>1</v>
      </c>
      <c r="M11" s="1913">
        <v>3</v>
      </c>
      <c r="N11" s="1913">
        <v>1</v>
      </c>
      <c r="O11" s="1913">
        <v>1</v>
      </c>
      <c r="P11" s="1913">
        <v>1</v>
      </c>
      <c r="Q11" s="1913">
        <v>1</v>
      </c>
      <c r="R11" s="1913">
        <v>3</v>
      </c>
      <c r="S11" s="1913">
        <v>5</v>
      </c>
      <c r="T11" s="1913">
        <v>2</v>
      </c>
      <c r="U11" s="1913">
        <v>2</v>
      </c>
      <c r="V11" s="1922">
        <v>2</v>
      </c>
      <c r="W11" s="4672"/>
    </row>
    <row r="12" spans="1:25" ht="17.25" customHeight="1">
      <c r="A12" s="4685">
        <v>1</v>
      </c>
      <c r="B12" s="4690" t="s">
        <v>747</v>
      </c>
      <c r="C12" s="1910"/>
      <c r="D12" s="1910"/>
      <c r="E12" s="1910"/>
      <c r="F12" s="1911"/>
      <c r="G12" s="1911"/>
      <c r="H12" s="1911"/>
      <c r="I12" s="1911"/>
      <c r="J12" s="1911"/>
      <c r="K12" s="1911"/>
      <c r="L12" s="1911"/>
      <c r="M12" s="1911"/>
      <c r="N12" s="1911"/>
      <c r="O12" s="1911"/>
      <c r="P12" s="1911"/>
      <c r="Q12" s="1911"/>
      <c r="R12" s="1911"/>
      <c r="S12" s="1911"/>
      <c r="T12" s="1911"/>
      <c r="U12" s="1911"/>
      <c r="V12" s="1923"/>
      <c r="W12" s="4644"/>
    </row>
    <row r="13" spans="1:25" ht="17.25" customHeight="1">
      <c r="A13" s="4686"/>
      <c r="B13" s="4684"/>
      <c r="C13" s="1893"/>
      <c r="D13" s="1893"/>
      <c r="E13" s="1893"/>
      <c r="F13" s="1894"/>
      <c r="G13" s="1894"/>
      <c r="H13" s="1894"/>
      <c r="I13" s="1894"/>
      <c r="J13" s="1894"/>
      <c r="K13" s="1894"/>
      <c r="L13" s="1894"/>
      <c r="M13" s="1894"/>
      <c r="N13" s="1894"/>
      <c r="O13" s="1894"/>
      <c r="P13" s="1894"/>
      <c r="Q13" s="1894"/>
      <c r="R13" s="1894"/>
      <c r="S13" s="1894"/>
      <c r="T13" s="1894"/>
      <c r="U13" s="1894"/>
      <c r="V13" s="1924"/>
      <c r="W13" s="4645"/>
    </row>
    <row r="14" spans="1:25" ht="17.25" customHeight="1">
      <c r="A14" s="4686"/>
      <c r="B14" s="4684"/>
      <c r="C14" s="1893"/>
      <c r="D14" s="1893"/>
      <c r="E14" s="1893"/>
      <c r="F14" s="1894"/>
      <c r="G14" s="1894"/>
      <c r="H14" s="1894"/>
      <c r="I14" s="1894"/>
      <c r="J14" s="1894"/>
      <c r="K14" s="1894"/>
      <c r="L14" s="1894"/>
      <c r="M14" s="1894"/>
      <c r="N14" s="1894"/>
      <c r="O14" s="1894"/>
      <c r="P14" s="1894"/>
      <c r="Q14" s="1894"/>
      <c r="R14" s="1894"/>
      <c r="S14" s="1894"/>
      <c r="T14" s="1894"/>
      <c r="U14" s="1894"/>
      <c r="V14" s="1924"/>
      <c r="W14" s="4645"/>
    </row>
    <row r="15" spans="1:25" ht="17.25" customHeight="1">
      <c r="A15" s="4686"/>
      <c r="B15" s="4684"/>
      <c r="C15" s="1893"/>
      <c r="D15" s="1893"/>
      <c r="E15" s="1893"/>
      <c r="F15" s="1894"/>
      <c r="G15" s="1894"/>
      <c r="H15" s="1894"/>
      <c r="I15" s="1894"/>
      <c r="J15" s="1894"/>
      <c r="K15" s="1894"/>
      <c r="L15" s="1894"/>
      <c r="M15" s="1894"/>
      <c r="N15" s="1894"/>
      <c r="O15" s="1894"/>
      <c r="P15" s="1894"/>
      <c r="Q15" s="1894"/>
      <c r="R15" s="1894"/>
      <c r="S15" s="1894"/>
      <c r="T15" s="1894"/>
      <c r="U15" s="1894"/>
      <c r="V15" s="1924"/>
      <c r="W15" s="4645"/>
    </row>
    <row r="16" spans="1:25" ht="17.25" customHeight="1">
      <c r="A16" s="4687"/>
      <c r="B16" s="4691"/>
      <c r="C16" s="1908"/>
      <c r="D16" s="1908"/>
      <c r="E16" s="1908"/>
      <c r="F16" s="1909"/>
      <c r="G16" s="1909"/>
      <c r="H16" s="1909"/>
      <c r="I16" s="1909"/>
      <c r="J16" s="1909"/>
      <c r="K16" s="1909"/>
      <c r="L16" s="1909"/>
      <c r="M16" s="1909"/>
      <c r="N16" s="1909"/>
      <c r="O16" s="1909"/>
      <c r="P16" s="1909"/>
      <c r="Q16" s="1909"/>
      <c r="R16" s="1909"/>
      <c r="S16" s="1909"/>
      <c r="T16" s="1909"/>
      <c r="U16" s="1909"/>
      <c r="V16" s="1925"/>
      <c r="W16" s="4646"/>
    </row>
    <row r="17" spans="1:23" ht="17.25" customHeight="1">
      <c r="A17" s="4685">
        <v>2</v>
      </c>
      <c r="B17" s="4688" t="s">
        <v>968</v>
      </c>
      <c r="C17" s="1910"/>
      <c r="D17" s="1910"/>
      <c r="E17" s="1910"/>
      <c r="F17" s="1911"/>
      <c r="G17" s="1911"/>
      <c r="H17" s="1911"/>
      <c r="I17" s="1911"/>
      <c r="J17" s="1911"/>
      <c r="K17" s="1911"/>
      <c r="L17" s="1911"/>
      <c r="M17" s="1911"/>
      <c r="N17" s="1911"/>
      <c r="O17" s="1911"/>
      <c r="P17" s="1911"/>
      <c r="Q17" s="1911"/>
      <c r="R17" s="1911"/>
      <c r="S17" s="1911"/>
      <c r="T17" s="1911"/>
      <c r="U17" s="1911"/>
      <c r="V17" s="1923"/>
      <c r="W17" s="4644"/>
    </row>
    <row r="18" spans="1:23" ht="17.25" customHeight="1">
      <c r="A18" s="4686"/>
      <c r="B18" s="4667"/>
      <c r="C18" s="1893"/>
      <c r="D18" s="1893"/>
      <c r="E18" s="1893"/>
      <c r="F18" s="1894"/>
      <c r="G18" s="1894"/>
      <c r="H18" s="1894"/>
      <c r="I18" s="1894"/>
      <c r="J18" s="1894"/>
      <c r="K18" s="1894"/>
      <c r="L18" s="1894"/>
      <c r="M18" s="1894"/>
      <c r="N18" s="1894"/>
      <c r="O18" s="1894"/>
      <c r="P18" s="1894"/>
      <c r="Q18" s="1894"/>
      <c r="R18" s="1894"/>
      <c r="S18" s="1894"/>
      <c r="T18" s="1894"/>
      <c r="U18" s="1894"/>
      <c r="V18" s="1924"/>
      <c r="W18" s="4645"/>
    </row>
    <row r="19" spans="1:23" ht="17.25" customHeight="1">
      <c r="A19" s="4686"/>
      <c r="B19" s="4667"/>
      <c r="C19" s="1893"/>
      <c r="D19" s="1893"/>
      <c r="E19" s="1893"/>
      <c r="F19" s="1894"/>
      <c r="G19" s="1894"/>
      <c r="H19" s="1894"/>
      <c r="I19" s="1894"/>
      <c r="J19" s="1894"/>
      <c r="K19" s="1894"/>
      <c r="L19" s="1894"/>
      <c r="M19" s="1894"/>
      <c r="N19" s="1894"/>
      <c r="O19" s="1894"/>
      <c r="P19" s="1894"/>
      <c r="Q19" s="1894"/>
      <c r="R19" s="1894"/>
      <c r="S19" s="1894"/>
      <c r="T19" s="1894"/>
      <c r="U19" s="1894"/>
      <c r="V19" s="1924"/>
      <c r="W19" s="4645"/>
    </row>
    <row r="20" spans="1:23" ht="17.25" customHeight="1">
      <c r="A20" s="4686"/>
      <c r="B20" s="4667"/>
      <c r="C20" s="1893"/>
      <c r="D20" s="1893"/>
      <c r="E20" s="1893"/>
      <c r="F20" s="1894"/>
      <c r="G20" s="1894"/>
      <c r="H20" s="1894"/>
      <c r="I20" s="1894"/>
      <c r="J20" s="1894"/>
      <c r="K20" s="1894"/>
      <c r="L20" s="1894"/>
      <c r="M20" s="1894"/>
      <c r="N20" s="1894"/>
      <c r="O20" s="1894"/>
      <c r="P20" s="1894"/>
      <c r="Q20" s="1894"/>
      <c r="R20" s="1894"/>
      <c r="S20" s="1894"/>
      <c r="T20" s="1894"/>
      <c r="U20" s="1894"/>
      <c r="V20" s="1924"/>
      <c r="W20" s="4645"/>
    </row>
    <row r="21" spans="1:23" ht="17.25" customHeight="1">
      <c r="A21" s="4687"/>
      <c r="B21" s="4689"/>
      <c r="C21" s="1908"/>
      <c r="D21" s="1908"/>
      <c r="E21" s="1908"/>
      <c r="F21" s="1909"/>
      <c r="G21" s="1909"/>
      <c r="H21" s="1909"/>
      <c r="I21" s="1909"/>
      <c r="J21" s="1909"/>
      <c r="K21" s="1909"/>
      <c r="L21" s="1909"/>
      <c r="M21" s="1909"/>
      <c r="N21" s="1909"/>
      <c r="O21" s="1909"/>
      <c r="P21" s="1909"/>
      <c r="Q21" s="1909"/>
      <c r="R21" s="1909"/>
      <c r="S21" s="1909"/>
      <c r="T21" s="1909"/>
      <c r="U21" s="1909"/>
      <c r="V21" s="1925"/>
      <c r="W21" s="4646"/>
    </row>
    <row r="22" spans="1:23" ht="22.5" customHeight="1">
      <c r="A22" s="4685">
        <v>3</v>
      </c>
      <c r="B22" s="4688" t="s">
        <v>978</v>
      </c>
      <c r="C22" s="1910"/>
      <c r="D22" s="1910"/>
      <c r="E22" s="1910"/>
      <c r="F22" s="1911"/>
      <c r="G22" s="1911"/>
      <c r="H22" s="1911"/>
      <c r="I22" s="1911"/>
      <c r="J22" s="1911"/>
      <c r="K22" s="1911"/>
      <c r="L22" s="1911"/>
      <c r="M22" s="1911"/>
      <c r="N22" s="1911"/>
      <c r="O22" s="1911"/>
      <c r="P22" s="1911"/>
      <c r="Q22" s="1911"/>
      <c r="R22" s="1911"/>
      <c r="S22" s="1911"/>
      <c r="T22" s="1911"/>
      <c r="U22" s="1911"/>
      <c r="V22" s="1923"/>
      <c r="W22" s="4644"/>
    </row>
    <row r="23" spans="1:23" ht="22.5" customHeight="1">
      <c r="A23" s="4686"/>
      <c r="B23" s="4667"/>
      <c r="C23" s="1893"/>
      <c r="D23" s="1893"/>
      <c r="E23" s="1893"/>
      <c r="F23" s="1894"/>
      <c r="G23" s="1894"/>
      <c r="H23" s="1894"/>
      <c r="I23" s="1894"/>
      <c r="J23" s="1894"/>
      <c r="K23" s="1894"/>
      <c r="L23" s="1894"/>
      <c r="M23" s="1894"/>
      <c r="N23" s="1894"/>
      <c r="O23" s="1894"/>
      <c r="P23" s="1894"/>
      <c r="Q23" s="1894"/>
      <c r="R23" s="1894"/>
      <c r="S23" s="1894"/>
      <c r="T23" s="1894"/>
      <c r="U23" s="1894"/>
      <c r="V23" s="1924"/>
      <c r="W23" s="4645"/>
    </row>
    <row r="24" spans="1:23" ht="22.5" customHeight="1">
      <c r="A24" s="4686"/>
      <c r="B24" s="4667"/>
      <c r="C24" s="1893"/>
      <c r="D24" s="1893"/>
      <c r="E24" s="1893"/>
      <c r="F24" s="1894"/>
      <c r="G24" s="1894"/>
      <c r="H24" s="1894"/>
      <c r="I24" s="1894"/>
      <c r="J24" s="1894"/>
      <c r="K24" s="1894"/>
      <c r="L24" s="1894"/>
      <c r="M24" s="1894"/>
      <c r="N24" s="1894"/>
      <c r="O24" s="1894"/>
      <c r="P24" s="1894"/>
      <c r="Q24" s="1894"/>
      <c r="R24" s="1894"/>
      <c r="S24" s="1894"/>
      <c r="T24" s="1894"/>
      <c r="U24" s="1894"/>
      <c r="V24" s="1924"/>
      <c r="W24" s="4645"/>
    </row>
    <row r="25" spans="1:23" ht="22.5" customHeight="1">
      <c r="A25" s="4686"/>
      <c r="B25" s="4667"/>
      <c r="C25" s="1893"/>
      <c r="D25" s="1893"/>
      <c r="E25" s="1893"/>
      <c r="F25" s="1894"/>
      <c r="G25" s="1894"/>
      <c r="H25" s="1894"/>
      <c r="I25" s="1894"/>
      <c r="J25" s="1894"/>
      <c r="K25" s="1894"/>
      <c r="L25" s="1894"/>
      <c r="M25" s="1894"/>
      <c r="N25" s="1894"/>
      <c r="O25" s="1894"/>
      <c r="P25" s="1894"/>
      <c r="Q25" s="1894"/>
      <c r="R25" s="1894"/>
      <c r="S25" s="1894"/>
      <c r="T25" s="1894"/>
      <c r="U25" s="1894"/>
      <c r="V25" s="1924"/>
      <c r="W25" s="4645"/>
    </row>
    <row r="26" spans="1:23" ht="22.5" customHeight="1">
      <c r="A26" s="4687"/>
      <c r="B26" s="4689"/>
      <c r="C26" s="1908"/>
      <c r="D26" s="1908"/>
      <c r="E26" s="1908"/>
      <c r="F26" s="1909"/>
      <c r="G26" s="1909"/>
      <c r="H26" s="1909"/>
      <c r="I26" s="1909"/>
      <c r="J26" s="1909"/>
      <c r="K26" s="1909"/>
      <c r="L26" s="1909"/>
      <c r="M26" s="1909"/>
      <c r="N26" s="1909"/>
      <c r="O26" s="1909"/>
      <c r="P26" s="1909"/>
      <c r="Q26" s="1909"/>
      <c r="R26" s="1909"/>
      <c r="S26" s="1909"/>
      <c r="T26" s="1909"/>
      <c r="U26" s="1909"/>
      <c r="V26" s="1925"/>
      <c r="W26" s="4646"/>
    </row>
    <row r="27" spans="1:23" ht="17.25" customHeight="1">
      <c r="A27" s="4685">
        <v>4</v>
      </c>
      <c r="B27" s="4688" t="s">
        <v>753</v>
      </c>
      <c r="C27" s="1910"/>
      <c r="D27" s="1910"/>
      <c r="E27" s="1910"/>
      <c r="F27" s="1911"/>
      <c r="G27" s="1911"/>
      <c r="H27" s="1911"/>
      <c r="I27" s="1911"/>
      <c r="J27" s="1911"/>
      <c r="K27" s="1911"/>
      <c r="L27" s="1911"/>
      <c r="M27" s="1911"/>
      <c r="N27" s="1911"/>
      <c r="O27" s="1911"/>
      <c r="P27" s="1911"/>
      <c r="Q27" s="1911"/>
      <c r="R27" s="1911"/>
      <c r="S27" s="1911"/>
      <c r="T27" s="1911"/>
      <c r="U27" s="1911"/>
      <c r="V27" s="1923"/>
      <c r="W27" s="4644"/>
    </row>
    <row r="28" spans="1:23" ht="17.25" customHeight="1">
      <c r="A28" s="4686"/>
      <c r="B28" s="4667"/>
      <c r="C28" s="1893"/>
      <c r="D28" s="1893"/>
      <c r="E28" s="1893"/>
      <c r="F28" s="1894"/>
      <c r="G28" s="1894"/>
      <c r="H28" s="1894"/>
      <c r="I28" s="1894"/>
      <c r="J28" s="1894"/>
      <c r="K28" s="1894"/>
      <c r="L28" s="1894"/>
      <c r="M28" s="1894"/>
      <c r="N28" s="1894"/>
      <c r="O28" s="1894"/>
      <c r="P28" s="1894"/>
      <c r="Q28" s="1894"/>
      <c r="R28" s="1894"/>
      <c r="S28" s="1894"/>
      <c r="T28" s="1894"/>
      <c r="U28" s="1894"/>
      <c r="V28" s="1924"/>
      <c r="W28" s="4645"/>
    </row>
    <row r="29" spans="1:23" ht="17.25" customHeight="1">
      <c r="A29" s="4686"/>
      <c r="B29" s="4667"/>
      <c r="C29" s="1893"/>
      <c r="D29" s="1893"/>
      <c r="E29" s="1893"/>
      <c r="F29" s="1894"/>
      <c r="G29" s="1894"/>
      <c r="H29" s="1894"/>
      <c r="I29" s="1894"/>
      <c r="J29" s="1894"/>
      <c r="K29" s="1894"/>
      <c r="L29" s="1894"/>
      <c r="M29" s="1894"/>
      <c r="N29" s="1894"/>
      <c r="O29" s="1894"/>
      <c r="P29" s="1894"/>
      <c r="Q29" s="1894"/>
      <c r="R29" s="1894"/>
      <c r="S29" s="1894"/>
      <c r="T29" s="1894"/>
      <c r="U29" s="1894"/>
      <c r="V29" s="1924"/>
      <c r="W29" s="4645"/>
    </row>
    <row r="30" spans="1:23" ht="17.25" customHeight="1">
      <c r="A30" s="4686"/>
      <c r="B30" s="4667"/>
      <c r="C30" s="1893"/>
      <c r="D30" s="1893"/>
      <c r="E30" s="1893"/>
      <c r="F30" s="1894"/>
      <c r="G30" s="1894"/>
      <c r="H30" s="1894"/>
      <c r="I30" s="1894"/>
      <c r="J30" s="1894"/>
      <c r="K30" s="1894"/>
      <c r="L30" s="1894"/>
      <c r="M30" s="1894"/>
      <c r="N30" s="1894"/>
      <c r="O30" s="1894"/>
      <c r="P30" s="1894"/>
      <c r="Q30" s="1894"/>
      <c r="R30" s="1894"/>
      <c r="S30" s="1894"/>
      <c r="T30" s="1894"/>
      <c r="U30" s="1894"/>
      <c r="V30" s="1924"/>
      <c r="W30" s="4645"/>
    </row>
    <row r="31" spans="1:23" ht="17.25" customHeight="1">
      <c r="A31" s="4687"/>
      <c r="B31" s="4689"/>
      <c r="C31" s="1908"/>
      <c r="D31" s="1908"/>
      <c r="E31" s="1908"/>
      <c r="F31" s="1909"/>
      <c r="G31" s="1909"/>
      <c r="H31" s="1909"/>
      <c r="I31" s="1909"/>
      <c r="J31" s="1909"/>
      <c r="K31" s="1909"/>
      <c r="L31" s="1909"/>
      <c r="M31" s="1909"/>
      <c r="N31" s="1909"/>
      <c r="O31" s="1909"/>
      <c r="P31" s="1909"/>
      <c r="Q31" s="1909"/>
      <c r="R31" s="1909"/>
      <c r="S31" s="1909"/>
      <c r="T31" s="1909"/>
      <c r="U31" s="1909"/>
      <c r="V31" s="1925"/>
      <c r="W31" s="4646"/>
    </row>
    <row r="32" spans="1:23" ht="17.25" customHeight="1">
      <c r="A32" s="4685">
        <v>5</v>
      </c>
      <c r="B32" s="4688" t="s">
        <v>977</v>
      </c>
      <c r="C32" s="1910"/>
      <c r="D32" s="1910"/>
      <c r="E32" s="1910"/>
      <c r="F32" s="1911"/>
      <c r="G32" s="1911"/>
      <c r="H32" s="1911"/>
      <c r="I32" s="1911"/>
      <c r="J32" s="1911"/>
      <c r="K32" s="1911"/>
      <c r="L32" s="1911"/>
      <c r="M32" s="1911"/>
      <c r="N32" s="1911"/>
      <c r="O32" s="1911"/>
      <c r="P32" s="1911"/>
      <c r="Q32" s="1911"/>
      <c r="R32" s="1911"/>
      <c r="S32" s="1911"/>
      <c r="T32" s="1911"/>
      <c r="U32" s="1911"/>
      <c r="V32" s="1923"/>
      <c r="W32" s="4644"/>
    </row>
    <row r="33" spans="1:23" ht="17.25" customHeight="1">
      <c r="A33" s="4686"/>
      <c r="B33" s="4667"/>
      <c r="C33" s="1893"/>
      <c r="D33" s="1893"/>
      <c r="E33" s="1893"/>
      <c r="F33" s="1894"/>
      <c r="G33" s="1894"/>
      <c r="H33" s="1894"/>
      <c r="I33" s="1894"/>
      <c r="J33" s="1894"/>
      <c r="K33" s="1894"/>
      <c r="L33" s="1894"/>
      <c r="M33" s="1894"/>
      <c r="N33" s="1894"/>
      <c r="O33" s="1894"/>
      <c r="P33" s="1894"/>
      <c r="Q33" s="1894"/>
      <c r="R33" s="1894"/>
      <c r="S33" s="1894"/>
      <c r="T33" s="1894"/>
      <c r="U33" s="1894"/>
      <c r="V33" s="1924"/>
      <c r="W33" s="4645"/>
    </row>
    <row r="34" spans="1:23" ht="17.25" customHeight="1">
      <c r="A34" s="4686"/>
      <c r="B34" s="4667"/>
      <c r="C34" s="1893"/>
      <c r="D34" s="1893"/>
      <c r="E34" s="1893"/>
      <c r="F34" s="1894"/>
      <c r="G34" s="1894"/>
      <c r="H34" s="1894"/>
      <c r="I34" s="1894"/>
      <c r="J34" s="1894"/>
      <c r="K34" s="1894"/>
      <c r="L34" s="1894"/>
      <c r="M34" s="1894"/>
      <c r="N34" s="1894"/>
      <c r="O34" s="1894"/>
      <c r="P34" s="1894"/>
      <c r="Q34" s="1894"/>
      <c r="R34" s="1894"/>
      <c r="S34" s="1894"/>
      <c r="T34" s="1894"/>
      <c r="U34" s="1894"/>
      <c r="V34" s="1924"/>
      <c r="W34" s="4645"/>
    </row>
    <row r="35" spans="1:23" ht="17.25" customHeight="1">
      <c r="A35" s="4686"/>
      <c r="B35" s="4667"/>
      <c r="C35" s="1893"/>
      <c r="D35" s="1893"/>
      <c r="E35" s="1893"/>
      <c r="F35" s="1894"/>
      <c r="G35" s="1894"/>
      <c r="H35" s="1894"/>
      <c r="I35" s="1894"/>
      <c r="J35" s="1894"/>
      <c r="K35" s="1894"/>
      <c r="L35" s="1894"/>
      <c r="M35" s="1894"/>
      <c r="N35" s="1894"/>
      <c r="O35" s="1894"/>
      <c r="P35" s="1894"/>
      <c r="Q35" s="1894"/>
      <c r="R35" s="1894"/>
      <c r="S35" s="1894"/>
      <c r="T35" s="1894"/>
      <c r="U35" s="1894"/>
      <c r="V35" s="1924"/>
      <c r="W35" s="4645"/>
    </row>
    <row r="36" spans="1:23" ht="17.25" customHeight="1">
      <c r="A36" s="4687"/>
      <c r="B36" s="4689"/>
      <c r="C36" s="1908"/>
      <c r="D36" s="1908"/>
      <c r="E36" s="1908"/>
      <c r="F36" s="1909"/>
      <c r="G36" s="1909"/>
      <c r="H36" s="1909"/>
      <c r="I36" s="1909"/>
      <c r="J36" s="1909"/>
      <c r="K36" s="1909"/>
      <c r="L36" s="1909"/>
      <c r="M36" s="1909"/>
      <c r="N36" s="1909"/>
      <c r="O36" s="1909"/>
      <c r="P36" s="1909"/>
      <c r="Q36" s="1909"/>
      <c r="R36" s="1909"/>
      <c r="S36" s="1909"/>
      <c r="T36" s="1909"/>
      <c r="U36" s="1909"/>
      <c r="V36" s="1925"/>
      <c r="W36" s="4646"/>
    </row>
    <row r="37" spans="1:23" ht="39" customHeight="1">
      <c r="A37" s="4685">
        <v>6</v>
      </c>
      <c r="B37" s="4688" t="s">
        <v>926</v>
      </c>
      <c r="C37" s="1910"/>
      <c r="D37" s="1910"/>
      <c r="E37" s="1910"/>
      <c r="F37" s="1911"/>
      <c r="G37" s="1911"/>
      <c r="H37" s="1911"/>
      <c r="I37" s="1911"/>
      <c r="J37" s="1911"/>
      <c r="K37" s="1911"/>
      <c r="L37" s="1911"/>
      <c r="M37" s="1911"/>
      <c r="N37" s="1911"/>
      <c r="O37" s="1911"/>
      <c r="P37" s="1911"/>
      <c r="Q37" s="1911"/>
      <c r="R37" s="1911"/>
      <c r="S37" s="1911"/>
      <c r="T37" s="1911"/>
      <c r="U37" s="1911"/>
      <c r="V37" s="1923"/>
      <c r="W37" s="4644"/>
    </row>
    <row r="38" spans="1:23" ht="39" customHeight="1">
      <c r="A38" s="4686"/>
      <c r="B38" s="4667"/>
      <c r="C38" s="1893"/>
      <c r="D38" s="1893"/>
      <c r="E38" s="1893"/>
      <c r="F38" s="1894"/>
      <c r="G38" s="1894"/>
      <c r="H38" s="1894"/>
      <c r="I38" s="1894"/>
      <c r="J38" s="1894"/>
      <c r="K38" s="1894"/>
      <c r="L38" s="1894"/>
      <c r="M38" s="1894"/>
      <c r="N38" s="1894"/>
      <c r="O38" s="1894"/>
      <c r="P38" s="1894"/>
      <c r="Q38" s="1894"/>
      <c r="R38" s="1894"/>
      <c r="S38" s="1894"/>
      <c r="T38" s="1894"/>
      <c r="U38" s="1894"/>
      <c r="V38" s="1924"/>
      <c r="W38" s="4645"/>
    </row>
    <row r="39" spans="1:23" ht="39" customHeight="1">
      <c r="A39" s="4686"/>
      <c r="B39" s="4667"/>
      <c r="C39" s="1893"/>
      <c r="D39" s="1893"/>
      <c r="E39" s="1893"/>
      <c r="F39" s="1894"/>
      <c r="G39" s="1894"/>
      <c r="H39" s="1894"/>
      <c r="I39" s="1894"/>
      <c r="J39" s="1894"/>
      <c r="K39" s="1894"/>
      <c r="L39" s="1894"/>
      <c r="M39" s="1894"/>
      <c r="N39" s="1894"/>
      <c r="O39" s="1894"/>
      <c r="P39" s="1894"/>
      <c r="Q39" s="1894"/>
      <c r="R39" s="1894"/>
      <c r="S39" s="1894"/>
      <c r="T39" s="1894"/>
      <c r="U39" s="1894"/>
      <c r="V39" s="1924"/>
      <c r="W39" s="4645"/>
    </row>
    <row r="40" spans="1:23" ht="39" customHeight="1">
      <c r="A40" s="4686"/>
      <c r="B40" s="4667"/>
      <c r="C40" s="1893"/>
      <c r="D40" s="1893"/>
      <c r="E40" s="1893"/>
      <c r="F40" s="1894"/>
      <c r="G40" s="1894"/>
      <c r="H40" s="1894"/>
      <c r="I40" s="1894"/>
      <c r="J40" s="1894"/>
      <c r="K40" s="1894"/>
      <c r="L40" s="1894"/>
      <c r="M40" s="1894"/>
      <c r="N40" s="1894"/>
      <c r="O40" s="1894"/>
      <c r="P40" s="1894"/>
      <c r="Q40" s="1894"/>
      <c r="R40" s="1894"/>
      <c r="S40" s="1894"/>
      <c r="T40" s="1894"/>
      <c r="U40" s="1894"/>
      <c r="V40" s="1924"/>
      <c r="W40" s="4645"/>
    </row>
    <row r="41" spans="1:23" ht="39" customHeight="1">
      <c r="A41" s="4687"/>
      <c r="B41" s="4689"/>
      <c r="C41" s="1908"/>
      <c r="D41" s="1908"/>
      <c r="E41" s="1908"/>
      <c r="F41" s="1909"/>
      <c r="G41" s="1909"/>
      <c r="H41" s="1909"/>
      <c r="I41" s="1909"/>
      <c r="J41" s="1909"/>
      <c r="K41" s="1909"/>
      <c r="L41" s="1909"/>
      <c r="M41" s="1909"/>
      <c r="N41" s="1909"/>
      <c r="O41" s="1909"/>
      <c r="P41" s="1909"/>
      <c r="Q41" s="1909"/>
      <c r="R41" s="1909"/>
      <c r="S41" s="1909"/>
      <c r="T41" s="1909"/>
      <c r="U41" s="1909"/>
      <c r="V41" s="1925"/>
      <c r="W41" s="4646"/>
    </row>
    <row r="42" spans="1:23" ht="27.75" customHeight="1">
      <c r="A42" s="4685">
        <v>7</v>
      </c>
      <c r="B42" s="4688" t="s">
        <v>992</v>
      </c>
      <c r="C42" s="1910"/>
      <c r="D42" s="1910"/>
      <c r="E42" s="1910"/>
      <c r="F42" s="1911"/>
      <c r="G42" s="1911"/>
      <c r="H42" s="1911"/>
      <c r="I42" s="1911"/>
      <c r="J42" s="1911"/>
      <c r="K42" s="1911"/>
      <c r="L42" s="1911"/>
      <c r="M42" s="1911"/>
      <c r="N42" s="1911"/>
      <c r="O42" s="1911"/>
      <c r="P42" s="1911"/>
      <c r="Q42" s="1911"/>
      <c r="R42" s="1911"/>
      <c r="S42" s="1911"/>
      <c r="T42" s="1911"/>
      <c r="U42" s="1911"/>
      <c r="V42" s="1923"/>
      <c r="W42" s="4644"/>
    </row>
    <row r="43" spans="1:23" ht="27.75" customHeight="1">
      <c r="A43" s="4686"/>
      <c r="B43" s="4667"/>
      <c r="C43" s="1893"/>
      <c r="D43" s="1893"/>
      <c r="E43" s="1893"/>
      <c r="F43" s="1894"/>
      <c r="G43" s="1894"/>
      <c r="H43" s="1894"/>
      <c r="I43" s="1894"/>
      <c r="J43" s="1894"/>
      <c r="K43" s="1894"/>
      <c r="L43" s="1894"/>
      <c r="M43" s="1894"/>
      <c r="N43" s="1894"/>
      <c r="O43" s="1894"/>
      <c r="P43" s="1894"/>
      <c r="Q43" s="1894"/>
      <c r="R43" s="1894"/>
      <c r="S43" s="1894"/>
      <c r="T43" s="1894"/>
      <c r="U43" s="1894"/>
      <c r="V43" s="1924"/>
      <c r="W43" s="4645"/>
    </row>
    <row r="44" spans="1:23" ht="27.75" customHeight="1">
      <c r="A44" s="4686"/>
      <c r="B44" s="4667"/>
      <c r="C44" s="1893"/>
      <c r="D44" s="1893"/>
      <c r="E44" s="1893"/>
      <c r="F44" s="1894"/>
      <c r="G44" s="1894"/>
      <c r="H44" s="1894"/>
      <c r="I44" s="1894"/>
      <c r="J44" s="1894"/>
      <c r="K44" s="1894"/>
      <c r="L44" s="1894"/>
      <c r="M44" s="1894"/>
      <c r="N44" s="1894"/>
      <c r="O44" s="1894"/>
      <c r="P44" s="1894"/>
      <c r="Q44" s="1894"/>
      <c r="R44" s="1894"/>
      <c r="S44" s="1894"/>
      <c r="T44" s="1894"/>
      <c r="U44" s="1894"/>
      <c r="V44" s="1924"/>
      <c r="W44" s="4645"/>
    </row>
    <row r="45" spans="1:23" ht="27.75" customHeight="1">
      <c r="A45" s="4686"/>
      <c r="B45" s="4667"/>
      <c r="C45" s="1893"/>
      <c r="D45" s="1893"/>
      <c r="E45" s="1893"/>
      <c r="F45" s="1894"/>
      <c r="G45" s="1894"/>
      <c r="H45" s="1894"/>
      <c r="I45" s="1894"/>
      <c r="J45" s="1894"/>
      <c r="K45" s="1894"/>
      <c r="L45" s="1894"/>
      <c r="M45" s="1894"/>
      <c r="N45" s="1894"/>
      <c r="O45" s="1894"/>
      <c r="P45" s="1894"/>
      <c r="Q45" s="1894"/>
      <c r="R45" s="1894"/>
      <c r="S45" s="1894"/>
      <c r="T45" s="1894"/>
      <c r="U45" s="1894"/>
      <c r="V45" s="1924"/>
      <c r="W45" s="4645"/>
    </row>
    <row r="46" spans="1:23" ht="27.75" customHeight="1">
      <c r="A46" s="4687"/>
      <c r="B46" s="4689"/>
      <c r="C46" s="1908"/>
      <c r="D46" s="1908"/>
      <c r="E46" s="1908"/>
      <c r="F46" s="1909"/>
      <c r="G46" s="1909"/>
      <c r="H46" s="1909"/>
      <c r="I46" s="1909"/>
      <c r="J46" s="1909"/>
      <c r="K46" s="1909"/>
      <c r="L46" s="1909"/>
      <c r="M46" s="1909"/>
      <c r="N46" s="1909"/>
      <c r="O46" s="1909"/>
      <c r="P46" s="1909"/>
      <c r="Q46" s="1909"/>
      <c r="R46" s="1909"/>
      <c r="S46" s="1909"/>
      <c r="T46" s="1909"/>
      <c r="U46" s="1909"/>
      <c r="V46" s="1925"/>
      <c r="W46" s="4646"/>
    </row>
    <row r="47" spans="1:23" ht="17.25" hidden="1" customHeight="1">
      <c r="A47" s="4684">
        <v>8</v>
      </c>
      <c r="B47" s="4671"/>
      <c r="C47" s="1907"/>
      <c r="D47" s="1907"/>
      <c r="E47" s="1907"/>
      <c r="F47" s="1904"/>
      <c r="G47" s="1904"/>
      <c r="H47" s="1904"/>
      <c r="I47" s="1904"/>
      <c r="J47" s="1904"/>
      <c r="K47" s="1904"/>
      <c r="L47" s="1904"/>
      <c r="M47" s="1904"/>
      <c r="N47" s="1904"/>
      <c r="O47" s="1904"/>
      <c r="P47" s="1904"/>
      <c r="Q47" s="1904"/>
      <c r="R47" s="1904"/>
      <c r="S47" s="1904"/>
      <c r="T47" s="1904"/>
      <c r="U47" s="1904"/>
      <c r="V47" s="1904"/>
      <c r="W47" s="1903"/>
    </row>
    <row r="48" spans="1:23" ht="18" hidden="1" customHeight="1">
      <c r="A48" s="4684"/>
      <c r="B48" s="4667"/>
      <c r="C48" s="1893"/>
      <c r="D48" s="1893"/>
      <c r="E48" s="1893"/>
      <c r="F48" s="1894"/>
      <c r="G48" s="1894"/>
      <c r="H48" s="1894"/>
      <c r="I48" s="1894"/>
      <c r="J48" s="1894"/>
      <c r="K48" s="1894"/>
      <c r="L48" s="1894"/>
      <c r="M48" s="1894"/>
      <c r="N48" s="1894"/>
      <c r="O48" s="1894"/>
      <c r="P48" s="1894"/>
      <c r="Q48" s="1894"/>
      <c r="R48" s="1894"/>
      <c r="S48" s="1894"/>
      <c r="T48" s="1894"/>
      <c r="U48" s="1894"/>
      <c r="V48" s="1894"/>
      <c r="W48" s="1895"/>
    </row>
    <row r="49" spans="1:23" ht="18" hidden="1" customHeight="1">
      <c r="A49" s="4684"/>
      <c r="B49" s="4667"/>
      <c r="C49" s="1893"/>
      <c r="D49" s="1893"/>
      <c r="E49" s="1893"/>
      <c r="F49" s="1894"/>
      <c r="G49" s="1894"/>
      <c r="H49" s="1894"/>
      <c r="I49" s="1894"/>
      <c r="J49" s="1894"/>
      <c r="K49" s="1894"/>
      <c r="L49" s="1894"/>
      <c r="M49" s="1894"/>
      <c r="N49" s="1894"/>
      <c r="O49" s="1894"/>
      <c r="P49" s="1894"/>
      <c r="Q49" s="1894"/>
      <c r="R49" s="1894"/>
      <c r="S49" s="1894"/>
      <c r="T49" s="1894"/>
      <c r="U49" s="1894"/>
      <c r="V49" s="1894"/>
      <c r="W49" s="1895"/>
    </row>
    <row r="50" spans="1:23" ht="18" hidden="1" customHeight="1">
      <c r="A50" s="4684"/>
      <c r="B50" s="4667"/>
      <c r="C50" s="1893"/>
      <c r="D50" s="1893"/>
      <c r="E50" s="1893"/>
      <c r="F50" s="1894"/>
      <c r="G50" s="1894"/>
      <c r="H50" s="1894"/>
      <c r="I50" s="1894"/>
      <c r="J50" s="1894"/>
      <c r="K50" s="1894"/>
      <c r="L50" s="1894"/>
      <c r="M50" s="1894"/>
      <c r="N50" s="1894"/>
      <c r="O50" s="1894"/>
      <c r="P50" s="1894"/>
      <c r="Q50" s="1894"/>
      <c r="R50" s="1894"/>
      <c r="S50" s="1894"/>
      <c r="T50" s="1894"/>
      <c r="U50" s="1894"/>
      <c r="V50" s="1894"/>
      <c r="W50" s="1895"/>
    </row>
    <row r="51" spans="1:23" ht="18" hidden="1" customHeight="1">
      <c r="A51" s="4671"/>
      <c r="B51" s="4667"/>
      <c r="C51" s="1893"/>
      <c r="D51" s="1893"/>
      <c r="E51" s="1893"/>
      <c r="F51" s="1894"/>
      <c r="G51" s="1894"/>
      <c r="H51" s="1894"/>
      <c r="I51" s="1894"/>
      <c r="J51" s="1894"/>
      <c r="K51" s="1894"/>
      <c r="L51" s="1894"/>
      <c r="M51" s="1894"/>
      <c r="N51" s="1894"/>
      <c r="O51" s="1894"/>
      <c r="P51" s="1894"/>
      <c r="Q51" s="1894"/>
      <c r="R51" s="1894"/>
      <c r="S51" s="1894"/>
      <c r="T51" s="1894"/>
      <c r="U51" s="1894"/>
      <c r="V51" s="1894"/>
      <c r="W51" s="1895"/>
    </row>
    <row r="52" spans="1:23" ht="18" hidden="1" customHeight="1">
      <c r="A52" s="4683">
        <v>9</v>
      </c>
      <c r="B52" s="4667"/>
      <c r="C52" s="1893"/>
      <c r="D52" s="1893"/>
      <c r="E52" s="1893"/>
      <c r="F52" s="1894"/>
      <c r="G52" s="1894"/>
      <c r="H52" s="1894"/>
      <c r="I52" s="1894"/>
      <c r="J52" s="1894"/>
      <c r="K52" s="1894"/>
      <c r="L52" s="1894"/>
      <c r="M52" s="1894"/>
      <c r="N52" s="1894"/>
      <c r="O52" s="1894"/>
      <c r="P52" s="1894"/>
      <c r="Q52" s="1894"/>
      <c r="R52" s="1894"/>
      <c r="S52" s="1894"/>
      <c r="T52" s="1894"/>
      <c r="U52" s="1894"/>
      <c r="V52" s="1894"/>
      <c r="W52" s="1895"/>
    </row>
    <row r="53" spans="1:23" ht="18" hidden="1" customHeight="1">
      <c r="A53" s="4684"/>
      <c r="B53" s="4667"/>
      <c r="C53" s="1893"/>
      <c r="D53" s="1893"/>
      <c r="E53" s="1893"/>
      <c r="F53" s="1894"/>
      <c r="G53" s="1894"/>
      <c r="H53" s="1894"/>
      <c r="I53" s="1894"/>
      <c r="J53" s="1894"/>
      <c r="K53" s="1894"/>
      <c r="L53" s="1894"/>
      <c r="M53" s="1894"/>
      <c r="N53" s="1894"/>
      <c r="O53" s="1894"/>
      <c r="P53" s="1894"/>
      <c r="Q53" s="1894"/>
      <c r="R53" s="1894"/>
      <c r="S53" s="1894"/>
      <c r="T53" s="1894"/>
      <c r="U53" s="1894"/>
      <c r="V53" s="1894"/>
      <c r="W53" s="1895"/>
    </row>
    <row r="54" spans="1:23" ht="18" hidden="1" customHeight="1">
      <c r="A54" s="4684"/>
      <c r="B54" s="4667"/>
      <c r="C54" s="1893"/>
      <c r="D54" s="1893"/>
      <c r="E54" s="1893"/>
      <c r="F54" s="1894"/>
      <c r="G54" s="1894"/>
      <c r="H54" s="1894"/>
      <c r="I54" s="1894"/>
      <c r="J54" s="1894"/>
      <c r="K54" s="1894"/>
      <c r="L54" s="1894"/>
      <c r="M54" s="1894"/>
      <c r="N54" s="1894"/>
      <c r="O54" s="1894"/>
      <c r="P54" s="1894"/>
      <c r="Q54" s="1894"/>
      <c r="R54" s="1894"/>
      <c r="S54" s="1894"/>
      <c r="T54" s="1894"/>
      <c r="U54" s="1894"/>
      <c r="V54" s="1894"/>
      <c r="W54" s="1895"/>
    </row>
    <row r="55" spans="1:23" ht="18" hidden="1" customHeight="1">
      <c r="A55" s="4684"/>
      <c r="B55" s="4667"/>
      <c r="C55" s="1893"/>
      <c r="D55" s="1893"/>
      <c r="E55" s="1893"/>
      <c r="F55" s="1894"/>
      <c r="G55" s="1894"/>
      <c r="H55" s="1894"/>
      <c r="I55" s="1894"/>
      <c r="J55" s="1894"/>
      <c r="K55" s="1894"/>
      <c r="L55" s="1894"/>
      <c r="M55" s="1894"/>
      <c r="N55" s="1894"/>
      <c r="O55" s="1894"/>
      <c r="P55" s="1894"/>
      <c r="Q55" s="1894"/>
      <c r="R55" s="1894"/>
      <c r="S55" s="1894"/>
      <c r="T55" s="1894"/>
      <c r="U55" s="1894"/>
      <c r="V55" s="1894"/>
      <c r="W55" s="1895"/>
    </row>
    <row r="56" spans="1:23" ht="18" hidden="1" customHeight="1">
      <c r="A56" s="4671"/>
      <c r="B56" s="4667"/>
      <c r="C56" s="1893"/>
      <c r="D56" s="1893"/>
      <c r="E56" s="1893"/>
      <c r="F56" s="1894"/>
      <c r="G56" s="1894"/>
      <c r="H56" s="1894"/>
      <c r="I56" s="1894"/>
      <c r="J56" s="1894"/>
      <c r="K56" s="1894"/>
      <c r="L56" s="1894"/>
      <c r="M56" s="1894"/>
      <c r="N56" s="1894"/>
      <c r="O56" s="1894"/>
      <c r="P56" s="1894"/>
      <c r="Q56" s="1894"/>
      <c r="R56" s="1894"/>
      <c r="S56" s="1894"/>
      <c r="T56" s="1894"/>
      <c r="U56" s="1894"/>
      <c r="V56" s="1894"/>
      <c r="W56" s="1895"/>
    </row>
    <row r="57" spans="1:23" ht="16.5" hidden="1" customHeight="1">
      <c r="A57" s="4683">
        <v>10</v>
      </c>
      <c r="B57" s="4667"/>
      <c r="C57" s="1893"/>
      <c r="D57" s="1893"/>
      <c r="E57" s="1893"/>
      <c r="F57" s="1894"/>
      <c r="G57" s="1894"/>
      <c r="H57" s="1894"/>
      <c r="I57" s="1894"/>
      <c r="J57" s="1894"/>
      <c r="K57" s="1894"/>
      <c r="L57" s="1894"/>
      <c r="M57" s="1894"/>
      <c r="N57" s="1894"/>
      <c r="O57" s="1894"/>
      <c r="P57" s="1894"/>
      <c r="Q57" s="1894"/>
      <c r="R57" s="1894"/>
      <c r="S57" s="1894"/>
      <c r="T57" s="1894"/>
      <c r="U57" s="1894"/>
      <c r="V57" s="1894"/>
      <c r="W57" s="1895"/>
    </row>
    <row r="58" spans="1:23" ht="16.5" hidden="1" customHeight="1">
      <c r="A58" s="4684"/>
      <c r="B58" s="4667"/>
      <c r="C58" s="1893"/>
      <c r="D58" s="1893"/>
      <c r="E58" s="1893"/>
      <c r="F58" s="1894"/>
      <c r="G58" s="1894"/>
      <c r="H58" s="1894"/>
      <c r="I58" s="1894"/>
      <c r="J58" s="1894"/>
      <c r="K58" s="1894"/>
      <c r="L58" s="1894"/>
      <c r="M58" s="1894"/>
      <c r="N58" s="1894"/>
      <c r="O58" s="1894"/>
      <c r="P58" s="1894"/>
      <c r="Q58" s="1894"/>
      <c r="R58" s="1894"/>
      <c r="S58" s="1894"/>
      <c r="T58" s="1894"/>
      <c r="U58" s="1894"/>
      <c r="V58" s="1894"/>
      <c r="W58" s="1895"/>
    </row>
    <row r="59" spans="1:23" ht="16.5" hidden="1" customHeight="1">
      <c r="A59" s="4684"/>
      <c r="B59" s="4667"/>
      <c r="C59" s="1893"/>
      <c r="D59" s="1893"/>
      <c r="E59" s="1893"/>
      <c r="F59" s="1894"/>
      <c r="G59" s="1894"/>
      <c r="H59" s="1894"/>
      <c r="I59" s="1894"/>
      <c r="J59" s="1894"/>
      <c r="K59" s="1894"/>
      <c r="L59" s="1894"/>
      <c r="M59" s="1894"/>
      <c r="N59" s="1894"/>
      <c r="O59" s="1894"/>
      <c r="P59" s="1894"/>
      <c r="Q59" s="1894"/>
      <c r="R59" s="1894"/>
      <c r="S59" s="1894"/>
      <c r="T59" s="1894"/>
      <c r="U59" s="1894"/>
      <c r="V59" s="1894"/>
      <c r="W59" s="1895"/>
    </row>
    <row r="60" spans="1:23" ht="16.5" hidden="1" customHeight="1">
      <c r="A60" s="4684"/>
      <c r="B60" s="4667"/>
      <c r="C60" s="1893"/>
      <c r="D60" s="1893"/>
      <c r="E60" s="1893"/>
      <c r="F60" s="1894"/>
      <c r="G60" s="1894"/>
      <c r="H60" s="1894"/>
      <c r="I60" s="1894"/>
      <c r="J60" s="1894"/>
      <c r="K60" s="1894"/>
      <c r="L60" s="1894"/>
      <c r="M60" s="1894"/>
      <c r="N60" s="1894"/>
      <c r="O60" s="1894"/>
      <c r="P60" s="1894"/>
      <c r="Q60" s="1894"/>
      <c r="R60" s="1894"/>
      <c r="S60" s="1894"/>
      <c r="T60" s="1894"/>
      <c r="U60" s="1894"/>
      <c r="V60" s="1894"/>
      <c r="W60" s="1895"/>
    </row>
    <row r="61" spans="1:23" ht="16.5" hidden="1" customHeight="1">
      <c r="A61" s="4671"/>
      <c r="B61" s="4667"/>
      <c r="C61" s="1893"/>
      <c r="D61" s="1893"/>
      <c r="E61" s="1893"/>
      <c r="F61" s="1894"/>
      <c r="G61" s="1894"/>
      <c r="H61" s="1894"/>
      <c r="I61" s="1894"/>
      <c r="J61" s="1894"/>
      <c r="K61" s="1894"/>
      <c r="L61" s="1894"/>
      <c r="M61" s="1894"/>
      <c r="N61" s="1894"/>
      <c r="O61" s="1894"/>
      <c r="P61" s="1894"/>
      <c r="Q61" s="1894"/>
      <c r="R61" s="1894"/>
      <c r="S61" s="1894"/>
      <c r="T61" s="1894"/>
      <c r="U61" s="1894"/>
      <c r="V61" s="1894"/>
      <c r="W61" s="1895"/>
    </row>
    <row r="62" spans="1:23" ht="16.5" hidden="1" customHeight="1">
      <c r="A62" s="4683">
        <v>11</v>
      </c>
      <c r="B62" s="4667"/>
      <c r="C62" s="1893"/>
      <c r="D62" s="1893"/>
      <c r="E62" s="1893"/>
      <c r="F62" s="1894"/>
      <c r="G62" s="1894"/>
      <c r="H62" s="1894"/>
      <c r="I62" s="1894"/>
      <c r="J62" s="1894"/>
      <c r="K62" s="1894"/>
      <c r="L62" s="1894"/>
      <c r="M62" s="1894"/>
      <c r="N62" s="1894"/>
      <c r="O62" s="1894"/>
      <c r="P62" s="1894"/>
      <c r="Q62" s="1894"/>
      <c r="R62" s="1894"/>
      <c r="S62" s="1894"/>
      <c r="T62" s="1894"/>
      <c r="U62" s="1894"/>
      <c r="V62" s="1894"/>
      <c r="W62" s="1895"/>
    </row>
    <row r="63" spans="1:23" ht="16.5" hidden="1" customHeight="1">
      <c r="A63" s="4684"/>
      <c r="B63" s="4667"/>
      <c r="C63" s="1893"/>
      <c r="D63" s="1893"/>
      <c r="E63" s="1893"/>
      <c r="F63" s="1894"/>
      <c r="G63" s="1894"/>
      <c r="H63" s="1894"/>
      <c r="I63" s="1894"/>
      <c r="J63" s="1894"/>
      <c r="K63" s="1894"/>
      <c r="L63" s="1894"/>
      <c r="M63" s="1894"/>
      <c r="N63" s="1894"/>
      <c r="O63" s="1894"/>
      <c r="P63" s="1894"/>
      <c r="Q63" s="1894"/>
      <c r="R63" s="1894"/>
      <c r="S63" s="1894"/>
      <c r="T63" s="1894"/>
      <c r="U63" s="1894"/>
      <c r="V63" s="1894"/>
      <c r="W63" s="1895"/>
    </row>
    <row r="64" spans="1:23" ht="16.5" hidden="1" customHeight="1">
      <c r="A64" s="4684"/>
      <c r="B64" s="4667"/>
      <c r="C64" s="1893"/>
      <c r="D64" s="1893"/>
      <c r="E64" s="1893"/>
      <c r="F64" s="1894"/>
      <c r="G64" s="1894"/>
      <c r="H64" s="1894"/>
      <c r="I64" s="1894"/>
      <c r="J64" s="1894"/>
      <c r="K64" s="1894"/>
      <c r="L64" s="1894"/>
      <c r="M64" s="1894"/>
      <c r="N64" s="1894"/>
      <c r="O64" s="1894"/>
      <c r="P64" s="1894"/>
      <c r="Q64" s="1894"/>
      <c r="R64" s="1894"/>
      <c r="S64" s="1894"/>
      <c r="T64" s="1894"/>
      <c r="U64" s="1894"/>
      <c r="V64" s="1894"/>
      <c r="W64" s="1895"/>
    </row>
    <row r="65" spans="1:23" ht="16.5" hidden="1" customHeight="1">
      <c r="A65" s="4684"/>
      <c r="B65" s="4667"/>
      <c r="C65" s="1893"/>
      <c r="D65" s="1893"/>
      <c r="E65" s="1893"/>
      <c r="F65" s="1894"/>
      <c r="G65" s="1894"/>
      <c r="H65" s="1894"/>
      <c r="I65" s="1894"/>
      <c r="J65" s="1894"/>
      <c r="K65" s="1894"/>
      <c r="L65" s="1894"/>
      <c r="M65" s="1894"/>
      <c r="N65" s="1894"/>
      <c r="O65" s="1894"/>
      <c r="P65" s="1894"/>
      <c r="Q65" s="1894"/>
      <c r="R65" s="1894"/>
      <c r="S65" s="1894"/>
      <c r="T65" s="1894"/>
      <c r="U65" s="1894"/>
      <c r="V65" s="1894"/>
      <c r="W65" s="1895"/>
    </row>
    <row r="66" spans="1:23" ht="16.5" hidden="1" customHeight="1">
      <c r="A66" s="4671"/>
      <c r="B66" s="4667"/>
      <c r="C66" s="1893"/>
      <c r="D66" s="1893"/>
      <c r="E66" s="1893"/>
      <c r="F66" s="1894"/>
      <c r="G66" s="1894"/>
      <c r="H66" s="1894"/>
      <c r="I66" s="1894"/>
      <c r="J66" s="1894"/>
      <c r="K66" s="1894"/>
      <c r="L66" s="1894"/>
      <c r="M66" s="1894"/>
      <c r="N66" s="1894"/>
      <c r="O66" s="1894"/>
      <c r="P66" s="1894"/>
      <c r="Q66" s="1894"/>
      <c r="R66" s="1894"/>
      <c r="S66" s="1894"/>
      <c r="T66" s="1894"/>
      <c r="U66" s="1894"/>
      <c r="V66" s="1894"/>
      <c r="W66" s="1895"/>
    </row>
    <row r="67" spans="1:23" ht="17.25" hidden="1" customHeight="1">
      <c r="A67" s="4683">
        <v>12</v>
      </c>
      <c r="B67" s="4683"/>
      <c r="C67" s="1893"/>
      <c r="D67" s="1893"/>
      <c r="E67" s="1893"/>
      <c r="F67" s="1894"/>
      <c r="G67" s="1894"/>
      <c r="H67" s="1894"/>
      <c r="I67" s="1894"/>
      <c r="J67" s="1894"/>
      <c r="K67" s="1894"/>
      <c r="L67" s="1894"/>
      <c r="M67" s="1894"/>
      <c r="N67" s="1894"/>
      <c r="O67" s="1894"/>
      <c r="P67" s="1894"/>
      <c r="Q67" s="1894"/>
      <c r="R67" s="1894"/>
      <c r="S67" s="1894"/>
      <c r="T67" s="1894"/>
      <c r="U67" s="1894"/>
      <c r="V67" s="1894"/>
      <c r="W67" s="1895"/>
    </row>
    <row r="68" spans="1:23" ht="17.25" hidden="1" customHeight="1">
      <c r="A68" s="4684"/>
      <c r="B68" s="4684"/>
      <c r="C68" s="1893"/>
      <c r="D68" s="1893"/>
      <c r="E68" s="1893"/>
      <c r="F68" s="1894"/>
      <c r="G68" s="1894"/>
      <c r="H68" s="1894"/>
      <c r="I68" s="1894"/>
      <c r="J68" s="1894"/>
      <c r="K68" s="1894"/>
      <c r="L68" s="1894"/>
      <c r="M68" s="1894"/>
      <c r="N68" s="1894"/>
      <c r="O68" s="1894"/>
      <c r="P68" s="1894"/>
      <c r="Q68" s="1894"/>
      <c r="R68" s="1894"/>
      <c r="S68" s="1894"/>
      <c r="T68" s="1894"/>
      <c r="U68" s="1894"/>
      <c r="V68" s="1894"/>
      <c r="W68" s="1895"/>
    </row>
    <row r="69" spans="1:23" ht="17.25" hidden="1" customHeight="1">
      <c r="A69" s="4684"/>
      <c r="B69" s="4684"/>
      <c r="C69" s="1893"/>
      <c r="D69" s="1893"/>
      <c r="E69" s="1893"/>
      <c r="F69" s="1894"/>
      <c r="G69" s="1894"/>
      <c r="H69" s="1894"/>
      <c r="I69" s="1894"/>
      <c r="J69" s="1894"/>
      <c r="K69" s="1894"/>
      <c r="L69" s="1894"/>
      <c r="M69" s="1894"/>
      <c r="N69" s="1894"/>
      <c r="O69" s="1894"/>
      <c r="P69" s="1894"/>
      <c r="Q69" s="1894"/>
      <c r="R69" s="1894"/>
      <c r="S69" s="1894"/>
      <c r="T69" s="1894"/>
      <c r="U69" s="1894"/>
      <c r="V69" s="1894"/>
      <c r="W69" s="1895"/>
    </row>
    <row r="70" spans="1:23" ht="17.25" hidden="1" customHeight="1">
      <c r="A70" s="4684"/>
      <c r="B70" s="4684"/>
      <c r="C70" s="1893"/>
      <c r="D70" s="1893"/>
      <c r="E70" s="1893"/>
      <c r="F70" s="1894"/>
      <c r="G70" s="1894"/>
      <c r="H70" s="1894"/>
      <c r="I70" s="1894"/>
      <c r="J70" s="1894"/>
      <c r="K70" s="1894"/>
      <c r="L70" s="1894"/>
      <c r="M70" s="1894"/>
      <c r="N70" s="1894"/>
      <c r="O70" s="1894"/>
      <c r="P70" s="1894"/>
      <c r="Q70" s="1894"/>
      <c r="R70" s="1894"/>
      <c r="S70" s="1894"/>
      <c r="T70" s="1894"/>
      <c r="U70" s="1894"/>
      <c r="V70" s="1894"/>
      <c r="W70" s="1895"/>
    </row>
    <row r="71" spans="1:23" ht="17.25" hidden="1" customHeight="1">
      <c r="A71" s="4671"/>
      <c r="B71" s="4671"/>
      <c r="C71" s="1893"/>
      <c r="D71" s="1893"/>
      <c r="E71" s="1893"/>
      <c r="F71" s="1894"/>
      <c r="G71" s="1894"/>
      <c r="H71" s="1894"/>
      <c r="I71" s="1894"/>
      <c r="J71" s="1894"/>
      <c r="K71" s="1894"/>
      <c r="L71" s="1894"/>
      <c r="M71" s="1894"/>
      <c r="N71" s="1894"/>
      <c r="O71" s="1894"/>
      <c r="P71" s="1894"/>
      <c r="Q71" s="1894"/>
      <c r="R71" s="1894"/>
      <c r="S71" s="1894"/>
      <c r="T71" s="1894"/>
      <c r="U71" s="1894"/>
      <c r="V71" s="1894"/>
      <c r="W71" s="1895"/>
    </row>
    <row r="72" spans="1:23" ht="15" hidden="1" customHeight="1">
      <c r="A72" s="4683">
        <v>13</v>
      </c>
      <c r="B72" s="4667"/>
      <c r="C72" s="1893"/>
      <c r="D72" s="1893"/>
      <c r="E72" s="1893"/>
      <c r="F72" s="1894"/>
      <c r="G72" s="1894"/>
      <c r="H72" s="1894"/>
      <c r="I72" s="1894"/>
      <c r="J72" s="1894"/>
      <c r="K72" s="1894"/>
      <c r="L72" s="1894"/>
      <c r="M72" s="1894"/>
      <c r="N72" s="1894"/>
      <c r="O72" s="1894"/>
      <c r="P72" s="1894"/>
      <c r="Q72" s="1894"/>
      <c r="R72" s="1894"/>
      <c r="S72" s="1894"/>
      <c r="T72" s="1894"/>
      <c r="U72" s="1894"/>
      <c r="V72" s="1894"/>
      <c r="W72" s="1895"/>
    </row>
    <row r="73" spans="1:23" ht="15" hidden="1" customHeight="1">
      <c r="A73" s="4684"/>
      <c r="B73" s="4667"/>
      <c r="C73" s="1893"/>
      <c r="D73" s="1893"/>
      <c r="E73" s="1893"/>
      <c r="F73" s="1894"/>
      <c r="G73" s="1894"/>
      <c r="H73" s="1894"/>
      <c r="I73" s="1894"/>
      <c r="J73" s="1894"/>
      <c r="K73" s="1894"/>
      <c r="L73" s="1894"/>
      <c r="M73" s="1894"/>
      <c r="N73" s="1894"/>
      <c r="O73" s="1894"/>
      <c r="P73" s="1894"/>
      <c r="Q73" s="1894"/>
      <c r="R73" s="1894"/>
      <c r="S73" s="1894"/>
      <c r="T73" s="1894"/>
      <c r="U73" s="1894"/>
      <c r="V73" s="1894"/>
      <c r="W73" s="1895"/>
    </row>
    <row r="74" spans="1:23" ht="15" hidden="1" customHeight="1">
      <c r="A74" s="4684"/>
      <c r="B74" s="4667"/>
      <c r="C74" s="1893"/>
      <c r="D74" s="1893"/>
      <c r="E74" s="1893"/>
      <c r="F74" s="1894"/>
      <c r="G74" s="1894"/>
      <c r="H74" s="1894"/>
      <c r="I74" s="1894"/>
      <c r="J74" s="1894"/>
      <c r="K74" s="1894"/>
      <c r="L74" s="1894"/>
      <c r="M74" s="1894"/>
      <c r="N74" s="1894"/>
      <c r="O74" s="1894"/>
      <c r="P74" s="1894"/>
      <c r="Q74" s="1894"/>
      <c r="R74" s="1894"/>
      <c r="S74" s="1894"/>
      <c r="T74" s="1894"/>
      <c r="U74" s="1894"/>
      <c r="V74" s="1894"/>
      <c r="W74" s="1895"/>
    </row>
    <row r="75" spans="1:23" ht="15" hidden="1" customHeight="1">
      <c r="A75" s="4684"/>
      <c r="B75" s="4667"/>
      <c r="C75" s="1893"/>
      <c r="D75" s="1893"/>
      <c r="E75" s="1893"/>
      <c r="F75" s="1894"/>
      <c r="G75" s="1894"/>
      <c r="H75" s="1894"/>
      <c r="I75" s="1894"/>
      <c r="J75" s="1894"/>
      <c r="K75" s="1894"/>
      <c r="L75" s="1894"/>
      <c r="M75" s="1894"/>
      <c r="N75" s="1894"/>
      <c r="O75" s="1894"/>
      <c r="P75" s="1894"/>
      <c r="Q75" s="1894"/>
      <c r="R75" s="1894"/>
      <c r="S75" s="1894"/>
      <c r="T75" s="1894"/>
      <c r="U75" s="1894"/>
      <c r="V75" s="1894"/>
      <c r="W75" s="1895"/>
    </row>
    <row r="76" spans="1:23" ht="15" hidden="1" customHeight="1">
      <c r="A76" s="4671"/>
      <c r="B76" s="4667"/>
      <c r="C76" s="1893"/>
      <c r="D76" s="1893"/>
      <c r="E76" s="1893"/>
      <c r="F76" s="1894"/>
      <c r="G76" s="1894"/>
      <c r="H76" s="1894"/>
      <c r="I76" s="1894"/>
      <c r="J76" s="1894"/>
      <c r="K76" s="1894"/>
      <c r="L76" s="1894"/>
      <c r="M76" s="1894"/>
      <c r="N76" s="1894"/>
      <c r="O76" s="1894"/>
      <c r="P76" s="1894"/>
      <c r="Q76" s="1894"/>
      <c r="R76" s="1894"/>
      <c r="S76" s="1894"/>
      <c r="T76" s="1894"/>
      <c r="U76" s="1894"/>
      <c r="V76" s="1894"/>
      <c r="W76" s="1895"/>
    </row>
    <row r="77" spans="1:23" ht="15" hidden="1" customHeight="1">
      <c r="A77" s="4683">
        <v>14</v>
      </c>
      <c r="B77" s="4667"/>
      <c r="C77" s="1893"/>
      <c r="D77" s="1893"/>
      <c r="E77" s="1893"/>
      <c r="F77" s="1894"/>
      <c r="G77" s="1894"/>
      <c r="H77" s="1894"/>
      <c r="I77" s="1894"/>
      <c r="J77" s="1894"/>
      <c r="K77" s="1894"/>
      <c r="L77" s="1894"/>
      <c r="M77" s="1894"/>
      <c r="N77" s="1894"/>
      <c r="O77" s="1894"/>
      <c r="P77" s="1894"/>
      <c r="Q77" s="1894"/>
      <c r="R77" s="1894"/>
      <c r="S77" s="1894"/>
      <c r="T77" s="1894"/>
      <c r="U77" s="1894"/>
      <c r="V77" s="1894"/>
      <c r="W77" s="1895"/>
    </row>
    <row r="78" spans="1:23" ht="15" hidden="1" customHeight="1">
      <c r="A78" s="4684"/>
      <c r="B78" s="4667"/>
      <c r="C78" s="1893"/>
      <c r="D78" s="1893"/>
      <c r="E78" s="1893"/>
      <c r="F78" s="1894"/>
      <c r="G78" s="1894"/>
      <c r="H78" s="1894"/>
      <c r="I78" s="1894"/>
      <c r="J78" s="1894"/>
      <c r="K78" s="1894"/>
      <c r="L78" s="1894"/>
      <c r="M78" s="1894"/>
      <c r="N78" s="1894"/>
      <c r="O78" s="1894"/>
      <c r="P78" s="1894"/>
      <c r="Q78" s="1894"/>
      <c r="R78" s="1894"/>
      <c r="S78" s="1894"/>
      <c r="T78" s="1894"/>
      <c r="U78" s="1894"/>
      <c r="V78" s="1894"/>
      <c r="W78" s="1895"/>
    </row>
    <row r="79" spans="1:23" ht="15" hidden="1" customHeight="1">
      <c r="A79" s="4684"/>
      <c r="B79" s="4667"/>
      <c r="C79" s="1893"/>
      <c r="D79" s="1893"/>
      <c r="E79" s="1893"/>
      <c r="F79" s="1894"/>
      <c r="G79" s="1894"/>
      <c r="H79" s="1894"/>
      <c r="I79" s="1894"/>
      <c r="J79" s="1894"/>
      <c r="K79" s="1894"/>
      <c r="L79" s="1894"/>
      <c r="M79" s="1894"/>
      <c r="N79" s="1894"/>
      <c r="O79" s="1894"/>
      <c r="P79" s="1894"/>
      <c r="Q79" s="1894"/>
      <c r="R79" s="1894"/>
      <c r="S79" s="1894"/>
      <c r="T79" s="1894"/>
      <c r="U79" s="1894"/>
      <c r="V79" s="1894"/>
      <c r="W79" s="1895"/>
    </row>
    <row r="80" spans="1:23" ht="15" hidden="1" customHeight="1">
      <c r="A80" s="4684"/>
      <c r="B80" s="4667"/>
      <c r="C80" s="1893"/>
      <c r="D80" s="1893"/>
      <c r="E80" s="1893"/>
      <c r="F80" s="1894"/>
      <c r="G80" s="1894"/>
      <c r="H80" s="1894"/>
      <c r="I80" s="1894"/>
      <c r="J80" s="1894"/>
      <c r="K80" s="1894"/>
      <c r="L80" s="1894"/>
      <c r="M80" s="1894"/>
      <c r="N80" s="1894"/>
      <c r="O80" s="1894"/>
      <c r="P80" s="1894"/>
      <c r="Q80" s="1894"/>
      <c r="R80" s="1894"/>
      <c r="S80" s="1894"/>
      <c r="T80" s="1894"/>
      <c r="U80" s="1894"/>
      <c r="V80" s="1894"/>
      <c r="W80" s="1895"/>
    </row>
    <row r="81" spans="1:23" ht="15" hidden="1" customHeight="1">
      <c r="A81" s="4671"/>
      <c r="B81" s="4667"/>
      <c r="C81" s="1893"/>
      <c r="D81" s="1893"/>
      <c r="E81" s="1893"/>
      <c r="F81" s="1894"/>
      <c r="G81" s="1894"/>
      <c r="H81" s="1894"/>
      <c r="I81" s="1894"/>
      <c r="J81" s="1894"/>
      <c r="K81" s="1894"/>
      <c r="L81" s="1894"/>
      <c r="M81" s="1894"/>
      <c r="N81" s="1894"/>
      <c r="O81" s="1894"/>
      <c r="P81" s="1894"/>
      <c r="Q81" s="1894"/>
      <c r="R81" s="1894"/>
      <c r="S81" s="1894"/>
      <c r="T81" s="1894"/>
      <c r="U81" s="1894"/>
      <c r="V81" s="1894"/>
      <c r="W81" s="1895"/>
    </row>
    <row r="82" spans="1:23" ht="15" hidden="1" customHeight="1">
      <c r="A82" s="4683">
        <v>15</v>
      </c>
      <c r="B82" s="4667"/>
      <c r="C82" s="1893"/>
      <c r="D82" s="1893"/>
      <c r="E82" s="1893"/>
      <c r="F82" s="1894"/>
      <c r="G82" s="1894"/>
      <c r="H82" s="1894"/>
      <c r="I82" s="1894"/>
      <c r="J82" s="1894"/>
      <c r="K82" s="1894"/>
      <c r="L82" s="1894"/>
      <c r="M82" s="1894"/>
      <c r="N82" s="1894"/>
      <c r="O82" s="1894"/>
      <c r="P82" s="1894"/>
      <c r="Q82" s="1894"/>
      <c r="R82" s="1894"/>
      <c r="S82" s="1894"/>
      <c r="T82" s="1894"/>
      <c r="U82" s="1894"/>
      <c r="V82" s="1894"/>
      <c r="W82" s="1895"/>
    </row>
    <row r="83" spans="1:23" ht="15" hidden="1" customHeight="1">
      <c r="A83" s="4684"/>
      <c r="B83" s="4667"/>
      <c r="C83" s="1893"/>
      <c r="D83" s="1893"/>
      <c r="E83" s="1893"/>
      <c r="F83" s="1894"/>
      <c r="G83" s="1894"/>
      <c r="H83" s="1894"/>
      <c r="I83" s="1894"/>
      <c r="J83" s="1894"/>
      <c r="K83" s="1894"/>
      <c r="L83" s="1894"/>
      <c r="M83" s="1894"/>
      <c r="N83" s="1894"/>
      <c r="O83" s="1894"/>
      <c r="P83" s="1894"/>
      <c r="Q83" s="1894"/>
      <c r="R83" s="1894"/>
      <c r="S83" s="1894"/>
      <c r="T83" s="1894"/>
      <c r="U83" s="1894"/>
      <c r="V83" s="1894"/>
      <c r="W83" s="1895"/>
    </row>
    <row r="84" spans="1:23" ht="15" hidden="1" customHeight="1">
      <c r="A84" s="4684"/>
      <c r="B84" s="4667"/>
      <c r="C84" s="1893"/>
      <c r="D84" s="1893"/>
      <c r="E84" s="1893"/>
      <c r="F84" s="1894"/>
      <c r="G84" s="1894"/>
      <c r="H84" s="1894"/>
      <c r="I84" s="1894"/>
      <c r="J84" s="1894"/>
      <c r="K84" s="1894"/>
      <c r="L84" s="1894"/>
      <c r="M84" s="1894"/>
      <c r="N84" s="1894"/>
      <c r="O84" s="1894"/>
      <c r="P84" s="1894"/>
      <c r="Q84" s="1894"/>
      <c r="R84" s="1894"/>
      <c r="S84" s="1894"/>
      <c r="T84" s="1894"/>
      <c r="U84" s="1894"/>
      <c r="V84" s="1894"/>
      <c r="W84" s="1895"/>
    </row>
    <row r="85" spans="1:23" ht="15" hidden="1" customHeight="1">
      <c r="A85" s="4684"/>
      <c r="B85" s="4667"/>
      <c r="C85" s="1893"/>
      <c r="D85" s="1893"/>
      <c r="E85" s="1893"/>
      <c r="F85" s="1894"/>
      <c r="G85" s="1894"/>
      <c r="H85" s="1894"/>
      <c r="I85" s="1894"/>
      <c r="J85" s="1894"/>
      <c r="K85" s="1894"/>
      <c r="L85" s="1894"/>
      <c r="M85" s="1894"/>
      <c r="N85" s="1894"/>
      <c r="O85" s="1894"/>
      <c r="P85" s="1894"/>
      <c r="Q85" s="1894"/>
      <c r="R85" s="1894"/>
      <c r="S85" s="1894"/>
      <c r="T85" s="1894"/>
      <c r="U85" s="1894"/>
      <c r="V85" s="1894"/>
      <c r="W85" s="1895"/>
    </row>
    <row r="86" spans="1:23" ht="15" hidden="1" customHeight="1">
      <c r="A86" s="4671"/>
      <c r="B86" s="4667"/>
      <c r="C86" s="1893"/>
      <c r="D86" s="1893"/>
      <c r="E86" s="1893"/>
      <c r="F86" s="1894"/>
      <c r="G86" s="1894"/>
      <c r="H86" s="1894"/>
      <c r="I86" s="1894"/>
      <c r="J86" s="1894"/>
      <c r="K86" s="1894"/>
      <c r="L86" s="1894"/>
      <c r="M86" s="1894"/>
      <c r="N86" s="1894"/>
      <c r="O86" s="1894"/>
      <c r="P86" s="1894"/>
      <c r="Q86" s="1894"/>
      <c r="R86" s="1894"/>
      <c r="S86" s="1894"/>
      <c r="T86" s="1894"/>
      <c r="U86" s="1894"/>
      <c r="V86" s="1894"/>
      <c r="W86" s="1895"/>
    </row>
    <row r="87" spans="1:23" ht="15" hidden="1" customHeight="1">
      <c r="A87" s="4683">
        <v>16</v>
      </c>
      <c r="B87" s="4667"/>
      <c r="C87" s="1893"/>
      <c r="D87" s="1893"/>
      <c r="E87" s="1893"/>
      <c r="F87" s="1894"/>
      <c r="G87" s="1894"/>
      <c r="H87" s="1894"/>
      <c r="I87" s="1894"/>
      <c r="J87" s="1894"/>
      <c r="K87" s="1894"/>
      <c r="L87" s="1894"/>
      <c r="M87" s="1894"/>
      <c r="N87" s="1894"/>
      <c r="O87" s="1894"/>
      <c r="P87" s="1894"/>
      <c r="Q87" s="1894"/>
      <c r="R87" s="1894"/>
      <c r="S87" s="1894"/>
      <c r="T87" s="1894"/>
      <c r="U87" s="1894"/>
      <c r="V87" s="1894"/>
      <c r="W87" s="1895"/>
    </row>
    <row r="88" spans="1:23" ht="15" hidden="1" customHeight="1">
      <c r="A88" s="4684"/>
      <c r="B88" s="4667"/>
      <c r="C88" s="1893"/>
      <c r="D88" s="1893"/>
      <c r="E88" s="1893"/>
      <c r="F88" s="1894"/>
      <c r="G88" s="1894"/>
      <c r="H88" s="1894"/>
      <c r="I88" s="1894"/>
      <c r="J88" s="1894"/>
      <c r="K88" s="1894"/>
      <c r="L88" s="1894"/>
      <c r="M88" s="1894"/>
      <c r="N88" s="1894"/>
      <c r="O88" s="1894"/>
      <c r="P88" s="1894"/>
      <c r="Q88" s="1894"/>
      <c r="R88" s="1894"/>
      <c r="S88" s="1894"/>
      <c r="T88" s="1894"/>
      <c r="U88" s="1894"/>
      <c r="V88" s="1894"/>
      <c r="W88" s="1895"/>
    </row>
    <row r="89" spans="1:23" ht="15" hidden="1" customHeight="1">
      <c r="A89" s="4684"/>
      <c r="B89" s="4667"/>
      <c r="C89" s="1893"/>
      <c r="D89" s="1893"/>
      <c r="E89" s="1893"/>
      <c r="F89" s="1894"/>
      <c r="G89" s="1894"/>
      <c r="H89" s="1894"/>
      <c r="I89" s="1894"/>
      <c r="J89" s="1894"/>
      <c r="K89" s="1894"/>
      <c r="L89" s="1894"/>
      <c r="M89" s="1894"/>
      <c r="N89" s="1894"/>
      <c r="O89" s="1894"/>
      <c r="P89" s="1894"/>
      <c r="Q89" s="1894"/>
      <c r="R89" s="1894"/>
      <c r="S89" s="1894"/>
      <c r="T89" s="1894"/>
      <c r="U89" s="1894"/>
      <c r="V89" s="1894"/>
      <c r="W89" s="1895"/>
    </row>
    <row r="90" spans="1:23" ht="15" hidden="1" customHeight="1">
      <c r="A90" s="4684"/>
      <c r="B90" s="4667"/>
      <c r="C90" s="1893"/>
      <c r="D90" s="1893"/>
      <c r="E90" s="1893"/>
      <c r="F90" s="1894"/>
      <c r="G90" s="1894"/>
      <c r="H90" s="1894"/>
      <c r="I90" s="1894"/>
      <c r="J90" s="1894"/>
      <c r="K90" s="1894"/>
      <c r="L90" s="1894"/>
      <c r="M90" s="1894"/>
      <c r="N90" s="1894"/>
      <c r="O90" s="1894"/>
      <c r="P90" s="1894"/>
      <c r="Q90" s="1894"/>
      <c r="R90" s="1894"/>
      <c r="S90" s="1894"/>
      <c r="T90" s="1894"/>
      <c r="U90" s="1894"/>
      <c r="V90" s="1894"/>
      <c r="W90" s="1895"/>
    </row>
    <row r="91" spans="1:23" ht="15" hidden="1" customHeight="1">
      <c r="A91" s="4671"/>
      <c r="B91" s="4667"/>
      <c r="C91" s="1893"/>
      <c r="D91" s="1893"/>
      <c r="E91" s="1893"/>
      <c r="F91" s="1894"/>
      <c r="G91" s="1894"/>
      <c r="H91" s="1894"/>
      <c r="I91" s="1894"/>
      <c r="J91" s="1894"/>
      <c r="K91" s="1894"/>
      <c r="L91" s="1894"/>
      <c r="M91" s="1894"/>
      <c r="N91" s="1894"/>
      <c r="O91" s="1894"/>
      <c r="P91" s="1894"/>
      <c r="Q91" s="1894"/>
      <c r="R91" s="1894"/>
      <c r="S91" s="1894"/>
      <c r="T91" s="1894"/>
      <c r="U91" s="1894"/>
      <c r="V91" s="1894"/>
      <c r="W91" s="1895"/>
    </row>
    <row r="92" spans="1:23" ht="15" hidden="1" customHeight="1">
      <c r="A92" s="4683">
        <v>17</v>
      </c>
      <c r="B92" s="4667"/>
      <c r="C92" s="1893"/>
      <c r="D92" s="1893"/>
      <c r="E92" s="1893"/>
      <c r="F92" s="1894"/>
      <c r="G92" s="1894"/>
      <c r="H92" s="1894"/>
      <c r="I92" s="1894"/>
      <c r="J92" s="1894"/>
      <c r="K92" s="1894"/>
      <c r="L92" s="1894"/>
      <c r="M92" s="1894"/>
      <c r="N92" s="1894"/>
      <c r="O92" s="1894"/>
      <c r="P92" s="1894"/>
      <c r="Q92" s="1894"/>
      <c r="R92" s="1894"/>
      <c r="S92" s="1894"/>
      <c r="T92" s="1894"/>
      <c r="U92" s="1894"/>
      <c r="V92" s="1894"/>
      <c r="W92" s="1895"/>
    </row>
    <row r="93" spans="1:23" ht="15" hidden="1" customHeight="1">
      <c r="A93" s="4684"/>
      <c r="B93" s="4667"/>
      <c r="C93" s="1893"/>
      <c r="D93" s="1893"/>
      <c r="E93" s="1893"/>
      <c r="F93" s="1894"/>
      <c r="G93" s="1894"/>
      <c r="H93" s="1894"/>
      <c r="I93" s="1894"/>
      <c r="J93" s="1894"/>
      <c r="K93" s="1894"/>
      <c r="L93" s="1894"/>
      <c r="M93" s="1894"/>
      <c r="N93" s="1894"/>
      <c r="O93" s="1894"/>
      <c r="P93" s="1894"/>
      <c r="Q93" s="1894"/>
      <c r="R93" s="1894"/>
      <c r="S93" s="1894"/>
      <c r="T93" s="1894"/>
      <c r="U93" s="1894"/>
      <c r="V93" s="1894"/>
      <c r="W93" s="1895"/>
    </row>
    <row r="94" spans="1:23" ht="15" hidden="1" customHeight="1">
      <c r="A94" s="4684"/>
      <c r="B94" s="4667"/>
      <c r="C94" s="1893"/>
      <c r="D94" s="1893"/>
      <c r="E94" s="1893"/>
      <c r="F94" s="1894"/>
      <c r="G94" s="1894"/>
      <c r="H94" s="1894"/>
      <c r="I94" s="1894"/>
      <c r="J94" s="1894"/>
      <c r="K94" s="1894"/>
      <c r="L94" s="1894"/>
      <c r="M94" s="1894"/>
      <c r="N94" s="1894"/>
      <c r="O94" s="1894"/>
      <c r="P94" s="1894"/>
      <c r="Q94" s="1894"/>
      <c r="R94" s="1894"/>
      <c r="S94" s="1894"/>
      <c r="T94" s="1894"/>
      <c r="U94" s="1894"/>
      <c r="V94" s="1894"/>
      <c r="W94" s="1895"/>
    </row>
    <row r="95" spans="1:23" ht="15" hidden="1" customHeight="1">
      <c r="A95" s="4684"/>
      <c r="B95" s="4667"/>
      <c r="C95" s="1893"/>
      <c r="D95" s="1893"/>
      <c r="E95" s="1893"/>
      <c r="F95" s="1894"/>
      <c r="G95" s="1894"/>
      <c r="H95" s="1894"/>
      <c r="I95" s="1894"/>
      <c r="J95" s="1894"/>
      <c r="K95" s="1894"/>
      <c r="L95" s="1894"/>
      <c r="M95" s="1894"/>
      <c r="N95" s="1894"/>
      <c r="O95" s="1894"/>
      <c r="P95" s="1894"/>
      <c r="Q95" s="1894"/>
      <c r="R95" s="1894"/>
      <c r="S95" s="1894"/>
      <c r="T95" s="1894"/>
      <c r="U95" s="1894"/>
      <c r="V95" s="1894"/>
      <c r="W95" s="1895"/>
    </row>
    <row r="96" spans="1:23" ht="15" hidden="1" customHeight="1">
      <c r="A96" s="4671"/>
      <c r="B96" s="4667"/>
      <c r="C96" s="1893"/>
      <c r="D96" s="1893"/>
      <c r="E96" s="1893"/>
      <c r="F96" s="1894"/>
      <c r="G96" s="1894"/>
      <c r="H96" s="1894"/>
      <c r="I96" s="1894"/>
      <c r="J96" s="1894"/>
      <c r="K96" s="1894"/>
      <c r="L96" s="1894"/>
      <c r="M96" s="1894"/>
      <c r="N96" s="1894"/>
      <c r="O96" s="1894"/>
      <c r="P96" s="1894"/>
      <c r="Q96" s="1894"/>
      <c r="R96" s="1894"/>
      <c r="S96" s="1894"/>
      <c r="T96" s="1894"/>
      <c r="U96" s="1894"/>
      <c r="V96" s="1894"/>
      <c r="W96" s="1895"/>
    </row>
    <row r="97" spans="1:23" ht="15" hidden="1" customHeight="1">
      <c r="A97" s="4683">
        <v>18</v>
      </c>
      <c r="B97" s="4667"/>
      <c r="C97" s="1893"/>
      <c r="D97" s="1893"/>
      <c r="E97" s="1893"/>
      <c r="F97" s="1894"/>
      <c r="G97" s="1894"/>
      <c r="H97" s="1894"/>
      <c r="I97" s="1894"/>
      <c r="J97" s="1894"/>
      <c r="K97" s="1894"/>
      <c r="L97" s="1894"/>
      <c r="M97" s="1894"/>
      <c r="N97" s="1894"/>
      <c r="O97" s="1894"/>
      <c r="P97" s="1894"/>
      <c r="Q97" s="1894"/>
      <c r="R97" s="1894"/>
      <c r="S97" s="1894"/>
      <c r="T97" s="1894"/>
      <c r="U97" s="1894"/>
      <c r="V97" s="1894"/>
      <c r="W97" s="1895"/>
    </row>
    <row r="98" spans="1:23" ht="15" hidden="1" customHeight="1">
      <c r="A98" s="4684"/>
      <c r="B98" s="4667"/>
      <c r="C98" s="1893"/>
      <c r="D98" s="1893"/>
      <c r="E98" s="1893"/>
      <c r="F98" s="1894"/>
      <c r="G98" s="1894"/>
      <c r="H98" s="1894"/>
      <c r="I98" s="1894"/>
      <c r="J98" s="1894"/>
      <c r="K98" s="1894"/>
      <c r="L98" s="1894"/>
      <c r="M98" s="1894"/>
      <c r="N98" s="1894"/>
      <c r="O98" s="1894"/>
      <c r="P98" s="1894"/>
      <c r="Q98" s="1894"/>
      <c r="R98" s="1894"/>
      <c r="S98" s="1894"/>
      <c r="T98" s="1894"/>
      <c r="U98" s="1894"/>
      <c r="V98" s="1894"/>
      <c r="W98" s="1895"/>
    </row>
    <row r="99" spans="1:23" ht="15" hidden="1" customHeight="1">
      <c r="A99" s="4684"/>
      <c r="B99" s="4667"/>
      <c r="C99" s="1893"/>
      <c r="D99" s="1893"/>
      <c r="E99" s="1893"/>
      <c r="F99" s="1894"/>
      <c r="G99" s="1894"/>
      <c r="H99" s="1894"/>
      <c r="I99" s="1894"/>
      <c r="J99" s="1894"/>
      <c r="K99" s="1894"/>
      <c r="L99" s="1894"/>
      <c r="M99" s="1894"/>
      <c r="N99" s="1894"/>
      <c r="O99" s="1894"/>
      <c r="P99" s="1894"/>
      <c r="Q99" s="1894"/>
      <c r="R99" s="1894"/>
      <c r="S99" s="1894"/>
      <c r="T99" s="1894"/>
      <c r="U99" s="1894"/>
      <c r="V99" s="1894"/>
      <c r="W99" s="1895"/>
    </row>
    <row r="100" spans="1:23" ht="15" hidden="1" customHeight="1">
      <c r="A100" s="4684"/>
      <c r="B100" s="4667"/>
      <c r="C100" s="1893"/>
      <c r="D100" s="1893"/>
      <c r="E100" s="1893"/>
      <c r="F100" s="1894"/>
      <c r="G100" s="1894"/>
      <c r="H100" s="1894"/>
      <c r="I100" s="1894"/>
      <c r="J100" s="1894"/>
      <c r="K100" s="1894"/>
      <c r="L100" s="1894"/>
      <c r="M100" s="1894"/>
      <c r="N100" s="1894"/>
      <c r="O100" s="1894"/>
      <c r="P100" s="1894"/>
      <c r="Q100" s="1894"/>
      <c r="R100" s="1894"/>
      <c r="S100" s="1894"/>
      <c r="T100" s="1894"/>
      <c r="U100" s="1894"/>
      <c r="V100" s="1894"/>
      <c r="W100" s="1895"/>
    </row>
    <row r="101" spans="1:23" ht="15" hidden="1" customHeight="1">
      <c r="A101" s="4671"/>
      <c r="B101" s="4667"/>
      <c r="C101" s="1893"/>
      <c r="D101" s="1893"/>
      <c r="E101" s="1893"/>
      <c r="F101" s="1894"/>
      <c r="G101" s="1894"/>
      <c r="H101" s="1894"/>
      <c r="I101" s="1894"/>
      <c r="J101" s="1894"/>
      <c r="K101" s="1894"/>
      <c r="L101" s="1894"/>
      <c r="M101" s="1894"/>
      <c r="N101" s="1894"/>
      <c r="O101" s="1894"/>
      <c r="P101" s="1894"/>
      <c r="Q101" s="1894"/>
      <c r="R101" s="1894"/>
      <c r="S101" s="1894"/>
      <c r="T101" s="1894"/>
      <c r="U101" s="1894"/>
      <c r="V101" s="1894"/>
      <c r="W101" s="1895"/>
    </row>
    <row r="102" spans="1:23" ht="15" hidden="1" customHeight="1">
      <c r="A102" s="4683">
        <v>19</v>
      </c>
      <c r="B102" s="4667"/>
      <c r="C102" s="1893"/>
      <c r="D102" s="1893"/>
      <c r="E102" s="1893"/>
      <c r="F102" s="1894"/>
      <c r="G102" s="1894"/>
      <c r="H102" s="1894"/>
      <c r="I102" s="1894"/>
      <c r="J102" s="1894"/>
      <c r="K102" s="1894"/>
      <c r="L102" s="1894"/>
      <c r="M102" s="1894"/>
      <c r="N102" s="1894"/>
      <c r="O102" s="1894"/>
      <c r="P102" s="1894"/>
      <c r="Q102" s="1894"/>
      <c r="R102" s="1894"/>
      <c r="S102" s="1894"/>
      <c r="T102" s="1894"/>
      <c r="U102" s="1894"/>
      <c r="V102" s="1894"/>
      <c r="W102" s="1895"/>
    </row>
    <row r="103" spans="1:23" ht="15" hidden="1" customHeight="1">
      <c r="A103" s="4684"/>
      <c r="B103" s="4667"/>
      <c r="C103" s="1893"/>
      <c r="D103" s="1893"/>
      <c r="E103" s="1893"/>
      <c r="F103" s="1894"/>
      <c r="G103" s="1894"/>
      <c r="H103" s="1894"/>
      <c r="I103" s="1894"/>
      <c r="J103" s="1894"/>
      <c r="K103" s="1894"/>
      <c r="L103" s="1894"/>
      <c r="M103" s="1894"/>
      <c r="N103" s="1894"/>
      <c r="O103" s="1894"/>
      <c r="P103" s="1894"/>
      <c r="Q103" s="1894"/>
      <c r="R103" s="1894"/>
      <c r="S103" s="1894"/>
      <c r="T103" s="1894"/>
      <c r="U103" s="1894"/>
      <c r="V103" s="1894"/>
      <c r="W103" s="1895"/>
    </row>
    <row r="104" spans="1:23" ht="15" hidden="1" customHeight="1">
      <c r="A104" s="4684"/>
      <c r="B104" s="4667"/>
      <c r="C104" s="1893"/>
      <c r="D104" s="1893"/>
      <c r="E104" s="1893"/>
      <c r="F104" s="1894"/>
      <c r="G104" s="1894"/>
      <c r="H104" s="1894"/>
      <c r="I104" s="1894"/>
      <c r="J104" s="1894"/>
      <c r="K104" s="1894"/>
      <c r="L104" s="1894"/>
      <c r="M104" s="1894"/>
      <c r="N104" s="1894"/>
      <c r="O104" s="1894"/>
      <c r="P104" s="1894"/>
      <c r="Q104" s="1894"/>
      <c r="R104" s="1894"/>
      <c r="S104" s="1894"/>
      <c r="T104" s="1894"/>
      <c r="U104" s="1894"/>
      <c r="V104" s="1894"/>
      <c r="W104" s="1895"/>
    </row>
    <row r="105" spans="1:23" ht="15" hidden="1" customHeight="1">
      <c r="A105" s="4684"/>
      <c r="B105" s="4667"/>
      <c r="C105" s="1893"/>
      <c r="D105" s="1893"/>
      <c r="E105" s="1893"/>
      <c r="F105" s="1894"/>
      <c r="G105" s="1894"/>
      <c r="H105" s="1894"/>
      <c r="I105" s="1894"/>
      <c r="J105" s="1894"/>
      <c r="K105" s="1894"/>
      <c r="L105" s="1894"/>
      <c r="M105" s="1894"/>
      <c r="N105" s="1894"/>
      <c r="O105" s="1894"/>
      <c r="P105" s="1894"/>
      <c r="Q105" s="1894"/>
      <c r="R105" s="1894"/>
      <c r="S105" s="1894"/>
      <c r="T105" s="1894"/>
      <c r="U105" s="1894"/>
      <c r="V105" s="1894"/>
      <c r="W105" s="1895"/>
    </row>
    <row r="106" spans="1:23" ht="15" hidden="1" customHeight="1">
      <c r="A106" s="4671"/>
      <c r="B106" s="4667"/>
      <c r="C106" s="1893"/>
      <c r="D106" s="1893"/>
      <c r="E106" s="1893"/>
      <c r="F106" s="1894"/>
      <c r="G106" s="1894"/>
      <c r="H106" s="1894"/>
      <c r="I106" s="1894"/>
      <c r="J106" s="1894"/>
      <c r="K106" s="1894"/>
      <c r="L106" s="1894"/>
      <c r="M106" s="1894"/>
      <c r="N106" s="1894"/>
      <c r="O106" s="1894"/>
      <c r="P106" s="1894"/>
      <c r="Q106" s="1894"/>
      <c r="R106" s="1894"/>
      <c r="S106" s="1894"/>
      <c r="T106" s="1894"/>
      <c r="U106" s="1894"/>
      <c r="V106" s="1894"/>
      <c r="W106" s="1895"/>
    </row>
    <row r="107" spans="1:23" ht="15" hidden="1" customHeight="1">
      <c r="A107" s="4683">
        <v>20</v>
      </c>
      <c r="B107" s="4667"/>
      <c r="C107" s="1893"/>
      <c r="D107" s="1893"/>
      <c r="E107" s="1893"/>
      <c r="F107" s="1894"/>
      <c r="G107" s="1894"/>
      <c r="H107" s="1894"/>
      <c r="I107" s="1894"/>
      <c r="J107" s="1894"/>
      <c r="K107" s="1894"/>
      <c r="L107" s="1894"/>
      <c r="M107" s="1894"/>
      <c r="N107" s="1894"/>
      <c r="O107" s="1894"/>
      <c r="P107" s="1894"/>
      <c r="Q107" s="1894"/>
      <c r="R107" s="1894"/>
      <c r="S107" s="1894"/>
      <c r="T107" s="1894"/>
      <c r="U107" s="1894"/>
      <c r="V107" s="1894"/>
      <c r="W107" s="1895"/>
    </row>
    <row r="108" spans="1:23" ht="15" hidden="1" customHeight="1">
      <c r="A108" s="4684"/>
      <c r="B108" s="4667"/>
      <c r="C108" s="1893"/>
      <c r="D108" s="1893"/>
      <c r="E108" s="1893"/>
      <c r="F108" s="1894"/>
      <c r="G108" s="1894"/>
      <c r="H108" s="1894"/>
      <c r="I108" s="1894"/>
      <c r="J108" s="1894"/>
      <c r="K108" s="1894"/>
      <c r="L108" s="1894"/>
      <c r="M108" s="1894"/>
      <c r="N108" s="1894"/>
      <c r="O108" s="1894"/>
      <c r="P108" s="1894"/>
      <c r="Q108" s="1894"/>
      <c r="R108" s="1894"/>
      <c r="S108" s="1894"/>
      <c r="T108" s="1894"/>
      <c r="U108" s="1894"/>
      <c r="V108" s="1894"/>
      <c r="W108" s="1895"/>
    </row>
    <row r="109" spans="1:23" ht="15" hidden="1" customHeight="1">
      <c r="A109" s="4684"/>
      <c r="B109" s="4667"/>
      <c r="C109" s="1893"/>
      <c r="D109" s="1893"/>
      <c r="E109" s="1893"/>
      <c r="F109" s="1894"/>
      <c r="G109" s="1894"/>
      <c r="H109" s="1894"/>
      <c r="I109" s="1894"/>
      <c r="J109" s="1894"/>
      <c r="K109" s="1894"/>
      <c r="L109" s="1894"/>
      <c r="M109" s="1894"/>
      <c r="N109" s="1894"/>
      <c r="O109" s="1894"/>
      <c r="P109" s="1894"/>
      <c r="Q109" s="1894"/>
      <c r="R109" s="1894"/>
      <c r="S109" s="1894"/>
      <c r="T109" s="1894"/>
      <c r="U109" s="1894"/>
      <c r="V109" s="1894"/>
      <c r="W109" s="1895"/>
    </row>
    <row r="110" spans="1:23" ht="15" hidden="1" customHeight="1">
      <c r="A110" s="4684"/>
      <c r="B110" s="4667"/>
      <c r="C110" s="1893"/>
      <c r="D110" s="1893"/>
      <c r="E110" s="1893"/>
      <c r="F110" s="1894"/>
      <c r="G110" s="1894"/>
      <c r="H110" s="1894"/>
      <c r="I110" s="1894"/>
      <c r="J110" s="1894"/>
      <c r="K110" s="1894"/>
      <c r="L110" s="1894"/>
      <c r="M110" s="1894"/>
      <c r="N110" s="1894"/>
      <c r="O110" s="1894"/>
      <c r="P110" s="1894"/>
      <c r="Q110" s="1894"/>
      <c r="R110" s="1894"/>
      <c r="S110" s="1894"/>
      <c r="T110" s="1894"/>
      <c r="U110" s="1894"/>
      <c r="V110" s="1894"/>
      <c r="W110" s="1895"/>
    </row>
    <row r="111" spans="1:23" ht="15" hidden="1" customHeight="1">
      <c r="A111" s="4671"/>
      <c r="B111" s="4667"/>
      <c r="C111" s="1893"/>
      <c r="D111" s="1893"/>
      <c r="E111" s="1893"/>
      <c r="F111" s="1894"/>
      <c r="G111" s="1894"/>
      <c r="H111" s="1894"/>
      <c r="I111" s="1894"/>
      <c r="J111" s="1894"/>
      <c r="K111" s="1894"/>
      <c r="L111" s="1894"/>
      <c r="M111" s="1894"/>
      <c r="N111" s="1894"/>
      <c r="O111" s="1894"/>
      <c r="P111" s="1894"/>
      <c r="Q111" s="1894"/>
      <c r="R111" s="1894"/>
      <c r="S111" s="1894"/>
      <c r="T111" s="1894"/>
      <c r="U111" s="1894"/>
      <c r="V111" s="1894"/>
      <c r="W111" s="1895"/>
    </row>
    <row r="112" spans="1:23" ht="15" hidden="1" customHeight="1">
      <c r="A112" s="4683">
        <v>21</v>
      </c>
      <c r="B112" s="4667"/>
      <c r="C112" s="1893"/>
      <c r="D112" s="1893"/>
      <c r="E112" s="1893"/>
      <c r="F112" s="1894"/>
      <c r="G112" s="1894"/>
      <c r="H112" s="1894"/>
      <c r="I112" s="1894"/>
      <c r="J112" s="1894"/>
      <c r="K112" s="1894"/>
      <c r="L112" s="1894"/>
      <c r="M112" s="1894"/>
      <c r="N112" s="1894"/>
      <c r="O112" s="1894"/>
      <c r="P112" s="1894"/>
      <c r="Q112" s="1894"/>
      <c r="R112" s="1894"/>
      <c r="S112" s="1894"/>
      <c r="T112" s="1894"/>
      <c r="U112" s="1894"/>
      <c r="V112" s="1894"/>
      <c r="W112" s="1895"/>
    </row>
    <row r="113" spans="1:23" ht="15" hidden="1" customHeight="1">
      <c r="A113" s="4684"/>
      <c r="B113" s="4667"/>
      <c r="C113" s="1893"/>
      <c r="D113" s="1893"/>
      <c r="E113" s="1893"/>
      <c r="F113" s="1894"/>
      <c r="G113" s="1894"/>
      <c r="H113" s="1894"/>
      <c r="I113" s="1894"/>
      <c r="J113" s="1894"/>
      <c r="K113" s="1894"/>
      <c r="L113" s="1894"/>
      <c r="M113" s="1894"/>
      <c r="N113" s="1894"/>
      <c r="O113" s="1894"/>
      <c r="P113" s="1894"/>
      <c r="Q113" s="1894"/>
      <c r="R113" s="1894"/>
      <c r="S113" s="1894"/>
      <c r="T113" s="1894"/>
      <c r="U113" s="1894"/>
      <c r="V113" s="1894"/>
      <c r="W113" s="1895"/>
    </row>
    <row r="114" spans="1:23" ht="15" hidden="1" customHeight="1">
      <c r="A114" s="4684"/>
      <c r="B114" s="4667"/>
      <c r="C114" s="1893"/>
      <c r="D114" s="1893"/>
      <c r="E114" s="1893"/>
      <c r="F114" s="1894"/>
      <c r="G114" s="1894"/>
      <c r="H114" s="1894"/>
      <c r="I114" s="1894"/>
      <c r="J114" s="1894"/>
      <c r="K114" s="1894"/>
      <c r="L114" s="1894"/>
      <c r="M114" s="1894"/>
      <c r="N114" s="1894"/>
      <c r="O114" s="1894"/>
      <c r="P114" s="1894"/>
      <c r="Q114" s="1894"/>
      <c r="R114" s="1894"/>
      <c r="S114" s="1894"/>
      <c r="T114" s="1894"/>
      <c r="U114" s="1894"/>
      <c r="V114" s="1894"/>
      <c r="W114" s="1895"/>
    </row>
    <row r="115" spans="1:23" ht="15" hidden="1" customHeight="1">
      <c r="A115" s="4684"/>
      <c r="B115" s="4667"/>
      <c r="C115" s="1893"/>
      <c r="D115" s="1893"/>
      <c r="E115" s="1893"/>
      <c r="F115" s="1894"/>
      <c r="G115" s="1894"/>
      <c r="H115" s="1894"/>
      <c r="I115" s="1894"/>
      <c r="J115" s="1894"/>
      <c r="K115" s="1894"/>
      <c r="L115" s="1894"/>
      <c r="M115" s="1894"/>
      <c r="N115" s="1894"/>
      <c r="O115" s="1894"/>
      <c r="P115" s="1894"/>
      <c r="Q115" s="1894"/>
      <c r="R115" s="1894"/>
      <c r="S115" s="1894"/>
      <c r="T115" s="1894"/>
      <c r="U115" s="1894"/>
      <c r="V115" s="1894"/>
      <c r="W115" s="1895"/>
    </row>
    <row r="116" spans="1:23" ht="15" hidden="1" customHeight="1">
      <c r="A116" s="4671"/>
      <c r="B116" s="4667"/>
      <c r="C116" s="1893"/>
      <c r="D116" s="1893"/>
      <c r="E116" s="1893"/>
      <c r="F116" s="1894"/>
      <c r="G116" s="1894"/>
      <c r="H116" s="1894"/>
      <c r="I116" s="1894"/>
      <c r="J116" s="1894"/>
      <c r="K116" s="1894"/>
      <c r="L116" s="1894"/>
      <c r="M116" s="1894"/>
      <c r="N116" s="1894"/>
      <c r="O116" s="1894"/>
      <c r="P116" s="1894"/>
      <c r="Q116" s="1894"/>
      <c r="R116" s="1894"/>
      <c r="S116" s="1894"/>
      <c r="T116" s="1894"/>
      <c r="U116" s="1894"/>
      <c r="V116" s="1894"/>
      <c r="W116" s="1895"/>
    </row>
    <row r="117" spans="1:23" ht="15" hidden="1" customHeight="1">
      <c r="A117" s="4683">
        <v>22</v>
      </c>
      <c r="B117" s="4667"/>
      <c r="C117" s="1893"/>
      <c r="D117" s="1893"/>
      <c r="E117" s="1893"/>
      <c r="F117" s="1894"/>
      <c r="G117" s="1894"/>
      <c r="H117" s="1894"/>
      <c r="I117" s="1894"/>
      <c r="J117" s="1894"/>
      <c r="K117" s="1894"/>
      <c r="L117" s="1894"/>
      <c r="M117" s="1894"/>
      <c r="N117" s="1894"/>
      <c r="O117" s="1894"/>
      <c r="P117" s="1894"/>
      <c r="Q117" s="1894"/>
      <c r="R117" s="1894"/>
      <c r="S117" s="1894"/>
      <c r="T117" s="1894"/>
      <c r="U117" s="1894"/>
      <c r="V117" s="1894"/>
      <c r="W117" s="1895"/>
    </row>
    <row r="118" spans="1:23" ht="15" hidden="1" customHeight="1">
      <c r="A118" s="4684"/>
      <c r="B118" s="4667"/>
      <c r="C118" s="1893"/>
      <c r="D118" s="1893"/>
      <c r="E118" s="1893"/>
      <c r="F118" s="1894"/>
      <c r="G118" s="1894"/>
      <c r="H118" s="1894"/>
      <c r="I118" s="1894"/>
      <c r="J118" s="1894"/>
      <c r="K118" s="1894"/>
      <c r="L118" s="1894"/>
      <c r="M118" s="1894"/>
      <c r="N118" s="1894"/>
      <c r="O118" s="1894"/>
      <c r="P118" s="1894"/>
      <c r="Q118" s="1894"/>
      <c r="R118" s="1894"/>
      <c r="S118" s="1894"/>
      <c r="T118" s="1894"/>
      <c r="U118" s="1894"/>
      <c r="V118" s="1894"/>
      <c r="W118" s="1895"/>
    </row>
    <row r="119" spans="1:23" ht="15" hidden="1" customHeight="1">
      <c r="A119" s="4684"/>
      <c r="B119" s="4667"/>
      <c r="C119" s="1893"/>
      <c r="D119" s="1893"/>
      <c r="E119" s="1893"/>
      <c r="F119" s="1894"/>
      <c r="G119" s="1894"/>
      <c r="H119" s="1894"/>
      <c r="I119" s="1894"/>
      <c r="J119" s="1894"/>
      <c r="K119" s="1894"/>
      <c r="L119" s="1894"/>
      <c r="M119" s="1894"/>
      <c r="N119" s="1894"/>
      <c r="O119" s="1894"/>
      <c r="P119" s="1894"/>
      <c r="Q119" s="1894"/>
      <c r="R119" s="1894"/>
      <c r="S119" s="1894"/>
      <c r="T119" s="1894"/>
      <c r="U119" s="1894"/>
      <c r="V119" s="1894"/>
      <c r="W119" s="1895"/>
    </row>
    <row r="120" spans="1:23" ht="15" hidden="1" customHeight="1">
      <c r="A120" s="4684"/>
      <c r="B120" s="4667"/>
      <c r="C120" s="1893"/>
      <c r="D120" s="1893"/>
      <c r="E120" s="1893"/>
      <c r="F120" s="1894"/>
      <c r="G120" s="1894"/>
      <c r="H120" s="1894"/>
      <c r="I120" s="1894"/>
      <c r="J120" s="1894"/>
      <c r="K120" s="1894"/>
      <c r="L120" s="1894"/>
      <c r="M120" s="1894"/>
      <c r="N120" s="1894"/>
      <c r="O120" s="1894"/>
      <c r="P120" s="1894"/>
      <c r="Q120" s="1894"/>
      <c r="R120" s="1894"/>
      <c r="S120" s="1894"/>
      <c r="T120" s="1894"/>
      <c r="U120" s="1894"/>
      <c r="V120" s="1894"/>
      <c r="W120" s="1895"/>
    </row>
    <row r="121" spans="1:23" ht="16.5" hidden="1">
      <c r="A121" s="4671"/>
      <c r="B121" s="4667"/>
      <c r="C121" s="1893"/>
      <c r="D121" s="1893"/>
      <c r="E121" s="1893"/>
      <c r="F121" s="1894"/>
      <c r="G121" s="1894"/>
      <c r="H121" s="1894"/>
      <c r="I121" s="1894"/>
      <c r="J121" s="1894"/>
      <c r="K121" s="1894"/>
      <c r="L121" s="1894"/>
      <c r="M121" s="1894"/>
      <c r="N121" s="1894"/>
      <c r="O121" s="1894"/>
      <c r="P121" s="1894"/>
      <c r="Q121" s="1894"/>
      <c r="R121" s="1894"/>
      <c r="S121" s="1894"/>
      <c r="T121" s="1894"/>
      <c r="U121" s="1894"/>
      <c r="V121" s="1894"/>
      <c r="W121" s="1895"/>
    </row>
    <row r="122" spans="1:23" ht="16.5">
      <c r="S122" s="4668" t="s">
        <v>1117</v>
      </c>
      <c r="T122" s="4668"/>
      <c r="U122" s="4668"/>
      <c r="V122" s="4668"/>
      <c r="W122" s="4668"/>
    </row>
    <row r="123" spans="1:23" ht="17.25" customHeight="1">
      <c r="A123" s="1896" t="s">
        <v>1111</v>
      </c>
      <c r="C123" s="1896"/>
      <c r="D123" s="1896"/>
      <c r="E123" s="1896"/>
      <c r="H123" s="4638" t="s">
        <v>1112</v>
      </c>
      <c r="I123" s="4638"/>
      <c r="J123" s="4638"/>
      <c r="K123" s="4638"/>
      <c r="L123" s="1897"/>
      <c r="M123" s="1897"/>
      <c r="N123" s="1897"/>
      <c r="O123" s="4638" t="s">
        <v>1113</v>
      </c>
      <c r="P123" s="4638"/>
      <c r="Q123" s="4638"/>
      <c r="R123" s="4638"/>
      <c r="S123" s="4638"/>
      <c r="T123" s="1897"/>
      <c r="U123" s="4638" t="s">
        <v>162</v>
      </c>
      <c r="V123" s="4638"/>
      <c r="W123" s="4638"/>
    </row>
    <row r="124" spans="1:23" ht="17.25" customHeight="1">
      <c r="B124" s="1898" t="s">
        <v>113</v>
      </c>
      <c r="C124" s="1898" t="s">
        <v>1115</v>
      </c>
      <c r="D124" s="1898"/>
      <c r="E124" s="1896"/>
    </row>
    <row r="125" spans="1:23" ht="17.25" customHeight="1">
      <c r="B125" s="1898" t="s">
        <v>113</v>
      </c>
      <c r="C125" s="1898" t="s">
        <v>52</v>
      </c>
      <c r="D125" s="1898"/>
      <c r="E125" s="1896"/>
      <c r="G125" s="1905"/>
      <c r="H125" s="1905"/>
      <c r="I125" s="1905"/>
      <c r="J125" s="1905"/>
      <c r="K125" s="1905"/>
      <c r="L125" s="1905"/>
      <c r="M125" s="1905"/>
      <c r="N125" s="1905"/>
      <c r="O125" s="1905"/>
      <c r="P125" s="1905"/>
      <c r="Q125" s="1905"/>
      <c r="R125" s="1905"/>
      <c r="S125" s="1905"/>
      <c r="T125" s="1905"/>
      <c r="U125" s="1905"/>
      <c r="V125" s="1905"/>
      <c r="W125" s="1905"/>
    </row>
    <row r="126" spans="1:23" ht="17.25" customHeight="1">
      <c r="B126" s="1898" t="s">
        <v>113</v>
      </c>
      <c r="C126" s="1898" t="s">
        <v>92</v>
      </c>
      <c r="D126" s="1898"/>
      <c r="E126" s="1896"/>
      <c r="G126" s="1905"/>
      <c r="H126" s="1905"/>
      <c r="I126" s="1905"/>
      <c r="J126" s="1905"/>
      <c r="K126" s="1905"/>
      <c r="L126" s="1905"/>
      <c r="M126" s="1905"/>
      <c r="N126" s="1905"/>
      <c r="O126" s="1905"/>
      <c r="P126" s="1905"/>
      <c r="Q126" s="1905"/>
      <c r="R126" s="1905"/>
      <c r="S126" s="1905"/>
      <c r="T126" s="1905"/>
      <c r="U126" s="1905"/>
      <c r="V126" s="1905"/>
      <c r="W126" s="1905"/>
    </row>
    <row r="127" spans="1:23" ht="17.25" customHeight="1">
      <c r="B127" s="1898" t="s">
        <v>113</v>
      </c>
      <c r="C127" s="1898" t="s">
        <v>53</v>
      </c>
      <c r="D127" s="1898"/>
      <c r="E127" s="1896"/>
      <c r="G127" s="1905"/>
      <c r="H127" s="1905"/>
      <c r="I127" s="1905"/>
      <c r="J127" s="1905"/>
      <c r="K127" s="1905"/>
      <c r="L127" s="1905"/>
      <c r="M127" s="1905"/>
      <c r="N127" s="1905"/>
      <c r="O127" s="1905"/>
      <c r="P127" s="1905"/>
      <c r="Q127" s="1905"/>
      <c r="R127" s="1905"/>
      <c r="S127" s="1905"/>
      <c r="T127" s="1905"/>
      <c r="U127" s="1905"/>
      <c r="V127" s="1905"/>
      <c r="W127" s="1905"/>
    </row>
    <row r="128" spans="1:23" ht="17.25" customHeight="1">
      <c r="B128" s="1898" t="s">
        <v>113</v>
      </c>
      <c r="C128" s="1898" t="s">
        <v>93</v>
      </c>
      <c r="D128" s="1898"/>
      <c r="E128" s="1896"/>
      <c r="G128" s="1905"/>
      <c r="H128" s="1905"/>
      <c r="I128" s="1905"/>
      <c r="J128" s="1905"/>
      <c r="K128" s="1905"/>
      <c r="L128" s="1905"/>
      <c r="M128" s="1905"/>
      <c r="N128" s="1905"/>
      <c r="O128" s="1905"/>
      <c r="P128" s="1905"/>
      <c r="Q128" s="1905"/>
      <c r="R128" s="1905"/>
      <c r="S128" s="1905"/>
      <c r="T128" s="1905"/>
      <c r="U128" s="1905"/>
      <c r="V128" s="1905"/>
      <c r="W128" s="1905"/>
    </row>
    <row r="129" spans="1:23" ht="17.25" customHeight="1">
      <c r="B129" s="4670" t="s">
        <v>21</v>
      </c>
      <c r="C129" s="4670"/>
      <c r="D129" s="1899"/>
      <c r="E129" s="1896"/>
      <c r="G129" s="1905"/>
      <c r="H129" s="1905"/>
      <c r="I129" s="1905"/>
      <c r="J129" s="1905"/>
      <c r="K129" s="1905"/>
      <c r="L129" s="1905"/>
      <c r="M129" s="1905"/>
      <c r="N129" s="1905"/>
      <c r="O129" s="1905"/>
      <c r="P129" s="1905"/>
      <c r="Q129" s="1905"/>
      <c r="R129" s="1905"/>
      <c r="S129" s="1905"/>
      <c r="T129" s="1905"/>
      <c r="U129" s="1905"/>
      <c r="V129" s="1905"/>
      <c r="W129" s="1905"/>
    </row>
    <row r="130" spans="1:23" s="1901" customFormat="1" ht="16.5">
      <c r="A130" s="4666"/>
      <c r="B130" s="4666"/>
      <c r="C130" s="4666"/>
      <c r="D130" s="4666"/>
      <c r="E130" s="4666"/>
      <c r="F130" s="4666"/>
      <c r="G130" s="1900"/>
      <c r="H130" s="1900"/>
      <c r="I130" s="1900"/>
      <c r="J130" s="4666"/>
      <c r="K130" s="4666"/>
      <c r="L130" s="4666"/>
      <c r="M130" s="4666"/>
      <c r="N130" s="4666"/>
      <c r="O130" s="4666"/>
      <c r="P130" s="1900"/>
      <c r="Q130" s="1900"/>
      <c r="R130" s="1900"/>
      <c r="S130" s="1900"/>
      <c r="T130" s="1900"/>
      <c r="U130" s="4666"/>
      <c r="V130" s="4666"/>
      <c r="W130" s="4666"/>
    </row>
    <row r="131" spans="1:23" ht="17.25" customHeight="1"/>
  </sheetData>
  <mergeCells count="82">
    <mergeCell ref="W32:W36"/>
    <mergeCell ref="W37:W41"/>
    <mergeCell ref="W42:W46"/>
    <mergeCell ref="O1:W1"/>
    <mergeCell ref="O2:W2"/>
    <mergeCell ref="R8:R9"/>
    <mergeCell ref="S8:S9"/>
    <mergeCell ref="T8:T9"/>
    <mergeCell ref="U8:U9"/>
    <mergeCell ref="V8:V9"/>
    <mergeCell ref="W7:W11"/>
    <mergeCell ref="A5:W5"/>
    <mergeCell ref="V6:W6"/>
    <mergeCell ref="A1:J1"/>
    <mergeCell ref="A2:J2"/>
    <mergeCell ref="A3:J3"/>
    <mergeCell ref="A130:F130"/>
    <mergeCell ref="J130:O130"/>
    <mergeCell ref="A97:A101"/>
    <mergeCell ref="B97:B101"/>
    <mergeCell ref="A102:A106"/>
    <mergeCell ref="B102:B106"/>
    <mergeCell ref="A107:A111"/>
    <mergeCell ref="B107:B111"/>
    <mergeCell ref="A82:A86"/>
    <mergeCell ref="B82:B86"/>
    <mergeCell ref="A87:A91"/>
    <mergeCell ref="B87:B91"/>
    <mergeCell ref="U130:W130"/>
    <mergeCell ref="A112:A116"/>
    <mergeCell ref="B112:B116"/>
    <mergeCell ref="A117:A121"/>
    <mergeCell ref="B117:B121"/>
    <mergeCell ref="S122:W122"/>
    <mergeCell ref="U123:W123"/>
    <mergeCell ref="O123:S123"/>
    <mergeCell ref="H123:K123"/>
    <mergeCell ref="A92:A96"/>
    <mergeCell ref="B92:B96"/>
    <mergeCell ref="B129:C129"/>
    <mergeCell ref="A72:A76"/>
    <mergeCell ref="B72:B76"/>
    <mergeCell ref="A77:A81"/>
    <mergeCell ref="B77:B81"/>
    <mergeCell ref="A62:A66"/>
    <mergeCell ref="B62:B66"/>
    <mergeCell ref="A67:A71"/>
    <mergeCell ref="B67:B71"/>
    <mergeCell ref="A52:A56"/>
    <mergeCell ref="B52:B56"/>
    <mergeCell ref="A57:A61"/>
    <mergeCell ref="B57:B61"/>
    <mergeCell ref="A42:A46"/>
    <mergeCell ref="B42:B46"/>
    <mergeCell ref="A47:A51"/>
    <mergeCell ref="B47:B51"/>
    <mergeCell ref="A32:A36"/>
    <mergeCell ref="B32:B36"/>
    <mergeCell ref="A37:A41"/>
    <mergeCell ref="B37:B41"/>
    <mergeCell ref="A22:A26"/>
    <mergeCell ref="B22:B26"/>
    <mergeCell ref="W22:W26"/>
    <mergeCell ref="A27:A31"/>
    <mergeCell ref="B27:B31"/>
    <mergeCell ref="W27:W31"/>
    <mergeCell ref="A12:A16"/>
    <mergeCell ref="B12:B16"/>
    <mergeCell ref="W12:W16"/>
    <mergeCell ref="A17:A21"/>
    <mergeCell ref="B17:B21"/>
    <mergeCell ref="W17:W21"/>
    <mergeCell ref="A11:B11"/>
    <mergeCell ref="A7:A10"/>
    <mergeCell ref="B7:B10"/>
    <mergeCell ref="C7:E10"/>
    <mergeCell ref="F7:V7"/>
    <mergeCell ref="F8:F9"/>
    <mergeCell ref="G8:H8"/>
    <mergeCell ref="I8:J8"/>
    <mergeCell ref="K8:M8"/>
    <mergeCell ref="N8:Q8"/>
  </mergeCells>
  <pageMargins left="0.39370078740157483" right="0.39370078740157483" top="0.74803149606299213" bottom="0.74803149606299213" header="0.31496062992125984" footer="0.31496062992125984"/>
  <pageSetup paperSize="9" orientation="landscape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Y25"/>
  <sheetViews>
    <sheetView workbookViewId="0">
      <selection activeCell="H17" sqref="H17"/>
    </sheetView>
  </sheetViews>
  <sheetFormatPr defaultColWidth="9" defaultRowHeight="15"/>
  <cols>
    <col min="1" max="1" width="6.25" style="2105" customWidth="1"/>
    <col min="2" max="2" width="19.375" style="2105" customWidth="1"/>
    <col min="3" max="3" width="23.625" style="2105" customWidth="1"/>
    <col min="4" max="4" width="20.125" style="2105" customWidth="1"/>
    <col min="5" max="5" width="16.625" style="2105" customWidth="1"/>
    <col min="6" max="6" width="32.375" style="2105" customWidth="1"/>
    <col min="7" max="7" width="7.25" style="2105" customWidth="1"/>
    <col min="8" max="8" width="11.25" style="2105" customWidth="1"/>
    <col min="9" max="9" width="11.75" style="2105" customWidth="1"/>
    <col min="10" max="11" width="6.875" style="2105" customWidth="1"/>
    <col min="12" max="13" width="6.375" style="2105" customWidth="1"/>
    <col min="14" max="14" width="5.375" style="2105" customWidth="1"/>
    <col min="15" max="15" width="5" style="2105" customWidth="1"/>
    <col min="16" max="16" width="5.25" style="2105" customWidth="1"/>
    <col min="17" max="17" width="4.25" style="2105" customWidth="1"/>
    <col min="18" max="18" width="5.25" style="2105" customWidth="1"/>
    <col min="19" max="19" width="5.75" style="2105" customWidth="1"/>
    <col min="20" max="20" width="7.125" style="2105" customWidth="1"/>
    <col min="21" max="21" width="5.25" style="2105" customWidth="1"/>
    <col min="22" max="22" width="7.125" style="2105" customWidth="1"/>
    <col min="23" max="23" width="13.125" style="2105" bestFit="1" customWidth="1"/>
    <col min="24" max="24" width="15.625" style="2105" bestFit="1" customWidth="1"/>
    <col min="25" max="25" width="11.25" style="2105" bestFit="1" customWidth="1"/>
    <col min="26" max="16384" width="9" style="2105"/>
  </cols>
  <sheetData>
    <row r="2" spans="1:25" ht="16.5">
      <c r="A2" s="3675" t="s">
        <v>165</v>
      </c>
      <c r="B2" s="3675"/>
      <c r="C2" s="3675"/>
      <c r="D2" s="3675"/>
      <c r="E2" s="3675"/>
      <c r="F2" s="3675"/>
      <c r="G2" s="2103"/>
      <c r="H2" s="2103"/>
      <c r="I2" s="2103"/>
      <c r="J2" s="2104"/>
      <c r="L2" s="2106"/>
      <c r="M2" s="2106"/>
      <c r="N2" s="2106"/>
      <c r="O2" s="2106"/>
      <c r="P2" s="2106"/>
      <c r="Q2" s="2106"/>
      <c r="R2" s="2106"/>
      <c r="S2" s="2106"/>
      <c r="T2" s="2106"/>
      <c r="U2" s="2106"/>
      <c r="V2" s="2106"/>
    </row>
    <row r="3" spans="1:25" ht="16.5">
      <c r="A3" s="4698" t="s">
        <v>55</v>
      </c>
      <c r="B3" s="4698"/>
      <c r="C3" s="4698"/>
      <c r="D3" s="4698"/>
      <c r="E3" s="4698"/>
      <c r="F3" s="4698"/>
      <c r="G3" s="2107"/>
      <c r="H3" s="2107"/>
      <c r="I3" s="2107"/>
      <c r="J3" s="2108"/>
      <c r="K3" s="2109"/>
      <c r="M3" s="2108"/>
      <c r="N3" s="2108"/>
      <c r="O3" s="2108"/>
      <c r="P3" s="2108"/>
      <c r="Q3" s="2108"/>
      <c r="R3" s="2108"/>
      <c r="S3" s="2108"/>
      <c r="T3" s="2108"/>
      <c r="U3" s="2108"/>
      <c r="V3" s="2110"/>
    </row>
    <row r="4" spans="1:25" ht="16.5">
      <c r="A4" s="3676" t="s">
        <v>995</v>
      </c>
      <c r="B4" s="3675"/>
      <c r="C4" s="3675"/>
      <c r="D4" s="3675"/>
      <c r="E4" s="3675"/>
      <c r="F4" s="3675"/>
      <c r="G4" s="2107"/>
      <c r="H4" s="2107"/>
      <c r="I4" s="2107"/>
      <c r="J4" s="2108"/>
      <c r="K4" s="2109"/>
      <c r="M4" s="2108"/>
      <c r="N4" s="2108"/>
      <c r="O4" s="2108"/>
      <c r="P4" s="2108"/>
      <c r="Q4" s="2108"/>
      <c r="R4" s="2108"/>
      <c r="S4" s="2108"/>
      <c r="T4" s="2108"/>
      <c r="U4" s="2108"/>
      <c r="V4" s="2110"/>
    </row>
    <row r="5" spans="1:25" ht="16.5">
      <c r="A5" s="2111"/>
      <c r="B5" s="2111"/>
      <c r="C5" s="2111"/>
      <c r="D5" s="2111"/>
      <c r="E5" s="2111"/>
      <c r="F5" s="2111"/>
      <c r="G5" s="2107"/>
      <c r="H5" s="2107"/>
      <c r="I5" s="2107"/>
      <c r="J5" s="2108"/>
      <c r="K5" s="2109"/>
      <c r="M5" s="2108"/>
      <c r="N5" s="2108"/>
      <c r="O5" s="2108"/>
      <c r="P5" s="2108"/>
      <c r="Q5" s="2108"/>
      <c r="R5" s="2108"/>
      <c r="S5" s="2108"/>
      <c r="T5" s="2108"/>
      <c r="U5" s="2108"/>
      <c r="V5" s="2110"/>
    </row>
    <row r="6" spans="1:25" ht="15.75">
      <c r="A6" s="2112"/>
      <c r="B6" s="2112"/>
      <c r="C6" s="2112"/>
      <c r="D6" s="2112"/>
      <c r="E6" s="2113"/>
      <c r="F6" s="2113"/>
      <c r="G6" s="2114"/>
      <c r="H6" s="2114"/>
      <c r="I6" s="2114"/>
      <c r="J6" s="2115"/>
      <c r="K6" s="2116"/>
      <c r="L6" s="2117"/>
      <c r="M6" s="2118"/>
      <c r="N6" s="2118"/>
      <c r="O6" s="2118"/>
      <c r="P6" s="2118"/>
      <c r="Q6" s="2118"/>
      <c r="R6" s="2118"/>
      <c r="S6" s="2118"/>
      <c r="T6" s="2118"/>
      <c r="U6" s="2118"/>
      <c r="V6" s="2110"/>
      <c r="W6" s="2119">
        <f>1372+388</f>
        <v>1760</v>
      </c>
      <c r="X6" s="2105">
        <f>W6*30000</f>
        <v>52800000</v>
      </c>
      <c r="Y6" s="2105" t="e">
        <f>X6+#REF!+#REF!</f>
        <v>#REF!</v>
      </c>
    </row>
    <row r="7" spans="1:25" ht="15.75">
      <c r="A7" s="2966" t="s">
        <v>574</v>
      </c>
      <c r="B7" s="2966"/>
      <c r="C7" s="2966"/>
      <c r="D7" s="2120"/>
      <c r="E7" s="2113"/>
      <c r="F7" s="2113"/>
      <c r="G7" s="2114"/>
      <c r="H7" s="2114"/>
      <c r="I7" s="2114"/>
      <c r="J7" s="2115"/>
      <c r="K7" s="2116"/>
      <c r="L7" s="2117"/>
      <c r="M7" s="2118"/>
      <c r="N7" s="2118"/>
      <c r="O7" s="2118"/>
      <c r="P7" s="2118"/>
      <c r="Q7" s="2118"/>
      <c r="R7" s="2118"/>
      <c r="S7" s="2118"/>
      <c r="T7" s="2118"/>
      <c r="U7" s="2118"/>
      <c r="V7" s="2110"/>
      <c r="W7" s="2119"/>
    </row>
    <row r="8" spans="1:25" ht="15.75">
      <c r="A8" s="4464" t="s">
        <v>541</v>
      </c>
      <c r="B8" s="4464"/>
      <c r="C8" s="4464"/>
      <c r="D8" s="2113"/>
      <c r="E8" s="2113"/>
      <c r="F8" s="2113"/>
      <c r="G8" s="2114"/>
      <c r="H8" s="2114"/>
      <c r="I8" s="2114"/>
      <c r="J8" s="2115"/>
      <c r="K8" s="2116"/>
      <c r="L8" s="2117"/>
      <c r="M8" s="2118"/>
      <c r="N8" s="2118"/>
      <c r="O8" s="2118"/>
      <c r="P8" s="2118"/>
      <c r="Q8" s="2118"/>
      <c r="R8" s="2118"/>
      <c r="S8" s="2118"/>
      <c r="T8" s="2118"/>
      <c r="U8" s="2118"/>
      <c r="V8" s="2110"/>
      <c r="W8" s="2119"/>
    </row>
    <row r="9" spans="1:25" ht="15.75">
      <c r="A9" s="1850"/>
      <c r="B9" s="1850"/>
      <c r="C9" s="1850"/>
      <c r="D9" s="2113"/>
      <c r="E9" s="2113"/>
      <c r="F9" s="2113"/>
      <c r="G9" s="2114"/>
      <c r="H9" s="2114"/>
      <c r="I9" s="2114"/>
      <c r="J9" s="2115"/>
      <c r="K9" s="2116"/>
      <c r="L9" s="2117"/>
      <c r="M9" s="2118"/>
      <c r="N9" s="2118"/>
      <c r="O9" s="2118"/>
      <c r="P9" s="2118"/>
      <c r="Q9" s="2118"/>
      <c r="R9" s="2118"/>
      <c r="S9" s="2118"/>
      <c r="T9" s="2118"/>
      <c r="U9" s="2118"/>
      <c r="V9" s="2110"/>
      <c r="W9" s="2119"/>
    </row>
    <row r="10" spans="1:25" ht="18.75">
      <c r="A10" s="3673" t="s">
        <v>1789</v>
      </c>
      <c r="B10" s="3674"/>
      <c r="C10" s="3674"/>
      <c r="D10" s="3674"/>
      <c r="E10" s="3674"/>
      <c r="F10" s="3674"/>
      <c r="G10" s="2121"/>
      <c r="H10" s="2121"/>
      <c r="I10" s="2121"/>
      <c r="J10" s="2121"/>
      <c r="K10" s="2122"/>
      <c r="L10" s="2122"/>
      <c r="M10" s="2122"/>
      <c r="N10" s="2122"/>
      <c r="O10" s="2122"/>
      <c r="P10" s="2122"/>
      <c r="Q10" s="2122"/>
      <c r="R10" s="2122"/>
      <c r="S10" s="2122"/>
      <c r="T10" s="2122"/>
      <c r="U10" s="2122"/>
      <c r="V10" s="2122"/>
    </row>
    <row r="11" spans="1:25" ht="15.75">
      <c r="A11" s="2123"/>
      <c r="B11" s="2124"/>
      <c r="C11" s="2123"/>
      <c r="D11" s="2123"/>
      <c r="E11" s="2124"/>
      <c r="F11" s="2124"/>
      <c r="G11" s="2125"/>
      <c r="H11" s="2126"/>
      <c r="I11" s="2127"/>
    </row>
    <row r="12" spans="1:25" ht="15" customHeight="1">
      <c r="A12" s="4053" t="s">
        <v>1</v>
      </c>
      <c r="B12" s="4053" t="s">
        <v>318</v>
      </c>
      <c r="C12" s="4053" t="s">
        <v>5</v>
      </c>
      <c r="D12" s="4053" t="s">
        <v>24</v>
      </c>
      <c r="E12" s="4053" t="s">
        <v>9</v>
      </c>
      <c r="F12" s="4053" t="s">
        <v>634</v>
      </c>
      <c r="G12" s="2128"/>
      <c r="H12" s="2129"/>
      <c r="I12" s="2130"/>
    </row>
    <row r="13" spans="1:25">
      <c r="A13" s="4053"/>
      <c r="B13" s="4053"/>
      <c r="C13" s="4053"/>
      <c r="D13" s="4053"/>
      <c r="E13" s="4053"/>
      <c r="F13" s="4053"/>
      <c r="G13" s="2131"/>
      <c r="H13" s="2129"/>
      <c r="I13" s="2130"/>
    </row>
    <row r="14" spans="1:25" ht="15.75">
      <c r="A14" s="2132">
        <v>1</v>
      </c>
      <c r="B14" s="2132" t="s">
        <v>638</v>
      </c>
      <c r="C14" s="2133" t="s">
        <v>1167</v>
      </c>
      <c r="D14" s="2967">
        <v>500000</v>
      </c>
      <c r="E14" s="2132"/>
      <c r="F14" s="2132"/>
      <c r="G14" s="2131"/>
      <c r="H14" s="2134"/>
      <c r="I14" s="2135"/>
    </row>
    <row r="15" spans="1:25" ht="15.75">
      <c r="A15" s="4053" t="s">
        <v>184</v>
      </c>
      <c r="B15" s="4053"/>
      <c r="C15" s="2136"/>
      <c r="D15" s="2968">
        <f>SUM(D14:D14)</f>
        <v>500000</v>
      </c>
      <c r="E15" s="2137"/>
      <c r="F15" s="2132"/>
      <c r="G15" s="2131"/>
      <c r="H15" s="2138"/>
      <c r="I15" s="2135"/>
    </row>
    <row r="16" spans="1:25">
      <c r="A16" s="4693" t="s">
        <v>1364</v>
      </c>
      <c r="B16" s="4694"/>
      <c r="C16" s="4694"/>
      <c r="D16" s="4694"/>
      <c r="E16" s="4694"/>
      <c r="F16" s="4694"/>
    </row>
    <row r="17" spans="1:11">
      <c r="D17" s="4695" t="s">
        <v>1790</v>
      </c>
      <c r="E17" s="4696"/>
      <c r="F17" s="4696"/>
      <c r="G17" s="2139"/>
      <c r="H17" s="2139"/>
      <c r="I17" s="2139"/>
      <c r="J17" s="2139"/>
      <c r="K17" s="2139"/>
    </row>
    <row r="18" spans="1:11" ht="15.75">
      <c r="A18" s="2140"/>
      <c r="B18" s="2141" t="s">
        <v>1168</v>
      </c>
      <c r="D18" s="2141" t="s">
        <v>1169</v>
      </c>
      <c r="E18" s="2142"/>
      <c r="F18" s="2141" t="s">
        <v>1170</v>
      </c>
    </row>
    <row r="24" spans="1:11">
      <c r="D24" s="4697" t="s">
        <v>1171</v>
      </c>
      <c r="E24" s="4697"/>
      <c r="F24" s="2143"/>
    </row>
    <row r="25" spans="1:11">
      <c r="C25" s="2105" t="s">
        <v>725</v>
      </c>
    </row>
  </sheetData>
  <mergeCells count="15">
    <mergeCell ref="A2:F2"/>
    <mergeCell ref="A3:F3"/>
    <mergeCell ref="A4:F4"/>
    <mergeCell ref="A8:C8"/>
    <mergeCell ref="A10:F10"/>
    <mergeCell ref="F12:F13"/>
    <mergeCell ref="A15:B15"/>
    <mergeCell ref="A16:F16"/>
    <mergeCell ref="D17:F17"/>
    <mergeCell ref="D24:E24"/>
    <mergeCell ref="A12:A13"/>
    <mergeCell ref="B12:B13"/>
    <mergeCell ref="C12:C13"/>
    <mergeCell ref="D12:D13"/>
    <mergeCell ref="E12:E13"/>
  </mergeCells>
  <pageMargins left="0.81" right="0.7" top="0.45" bottom="0.75" header="0.3" footer="0.3"/>
  <pageSetup paperSize="9" orientation="landscape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topLeftCell="C1" workbookViewId="0">
      <selection activeCell="J53" sqref="J53"/>
    </sheetView>
  </sheetViews>
  <sheetFormatPr defaultColWidth="9.375" defaultRowHeight="15"/>
  <cols>
    <col min="1" max="1" width="9.375" style="547"/>
    <col min="2" max="4" width="17.875" style="547" customWidth="1"/>
    <col min="5" max="5" width="14.875" style="547" customWidth="1"/>
    <col min="6" max="6" width="14.625" style="547" customWidth="1"/>
    <col min="7" max="7" width="13.625" style="547" customWidth="1"/>
    <col min="8" max="8" width="16.375" style="547" customWidth="1"/>
    <col min="9" max="9" width="15.875" style="547" customWidth="1"/>
    <col min="10" max="16384" width="9.375" style="547"/>
  </cols>
  <sheetData>
    <row r="1" spans="1:9">
      <c r="A1" s="547" t="s">
        <v>392</v>
      </c>
      <c r="F1" s="4322" t="s">
        <v>165</v>
      </c>
      <c r="G1" s="4322"/>
      <c r="H1" s="4322"/>
      <c r="I1" s="4322"/>
    </row>
    <row r="2" spans="1:9">
      <c r="A2" s="4322" t="s">
        <v>236</v>
      </c>
      <c r="B2" s="4322"/>
      <c r="C2" s="548"/>
      <c r="D2" s="548"/>
      <c r="F2" s="4322"/>
      <c r="G2" s="4322"/>
      <c r="H2" s="4322"/>
      <c r="I2" s="4322"/>
    </row>
    <row r="3" spans="1:9">
      <c r="A3" s="4322" t="s">
        <v>508</v>
      </c>
      <c r="B3" s="4322"/>
      <c r="C3" s="4322"/>
      <c r="D3" s="4322"/>
      <c r="E3" s="4322"/>
      <c r="F3" s="4322"/>
      <c r="G3" s="4322"/>
      <c r="H3" s="4322"/>
      <c r="I3" s="4322"/>
    </row>
    <row r="5" spans="1:9">
      <c r="A5" s="549" t="s">
        <v>1</v>
      </c>
      <c r="B5" s="549" t="s">
        <v>509</v>
      </c>
      <c r="C5" s="549" t="s">
        <v>510</v>
      </c>
      <c r="D5" s="549" t="s">
        <v>239</v>
      </c>
      <c r="E5" s="549" t="s">
        <v>511</v>
      </c>
      <c r="F5" s="549" t="s">
        <v>512</v>
      </c>
      <c r="G5" s="549" t="s">
        <v>513</v>
      </c>
      <c r="H5" s="549" t="s">
        <v>514</v>
      </c>
      <c r="I5" s="550" t="s">
        <v>345</v>
      </c>
    </row>
    <row r="6" spans="1:9" ht="20.25">
      <c r="A6" s="551">
        <v>1</v>
      </c>
      <c r="B6" s="552" t="s">
        <v>100</v>
      </c>
      <c r="C6" s="553" t="s">
        <v>195</v>
      </c>
      <c r="D6" s="554" t="s">
        <v>419</v>
      </c>
      <c r="E6" s="551">
        <v>1996</v>
      </c>
      <c r="F6" s="551" t="s">
        <v>515</v>
      </c>
      <c r="G6" s="551" t="s">
        <v>516</v>
      </c>
      <c r="H6" s="551" t="s">
        <v>517</v>
      </c>
      <c r="I6" s="551" t="s">
        <v>518</v>
      </c>
    </row>
    <row r="7" spans="1:9" ht="20.25">
      <c r="A7" s="555">
        <v>2</v>
      </c>
      <c r="B7" s="556" t="s">
        <v>101</v>
      </c>
      <c r="C7" s="557" t="s">
        <v>420</v>
      </c>
      <c r="D7" s="554" t="s">
        <v>421</v>
      </c>
      <c r="E7" s="555">
        <v>1999</v>
      </c>
      <c r="F7" s="555" t="s">
        <v>519</v>
      </c>
      <c r="G7" s="555" t="s">
        <v>516</v>
      </c>
      <c r="H7" s="555" t="s">
        <v>517</v>
      </c>
      <c r="I7" s="555" t="s">
        <v>518</v>
      </c>
    </row>
    <row r="8" spans="1:9" ht="20.25">
      <c r="A8" s="555">
        <v>3</v>
      </c>
      <c r="B8" s="556" t="s">
        <v>255</v>
      </c>
      <c r="C8" s="557" t="s">
        <v>427</v>
      </c>
      <c r="D8" s="554" t="s">
        <v>428</v>
      </c>
      <c r="E8" s="555">
        <v>1989</v>
      </c>
      <c r="F8" s="555" t="s">
        <v>515</v>
      </c>
      <c r="G8" s="555" t="s">
        <v>516</v>
      </c>
      <c r="H8" s="555" t="s">
        <v>517</v>
      </c>
      <c r="I8" s="555" t="s">
        <v>518</v>
      </c>
    </row>
    <row r="9" spans="1:9" ht="20.25">
      <c r="A9" s="555">
        <v>4</v>
      </c>
      <c r="B9" s="556" t="s">
        <v>405</v>
      </c>
      <c r="C9" s="557" t="s">
        <v>425</v>
      </c>
      <c r="D9" s="554" t="s">
        <v>426</v>
      </c>
      <c r="E9" s="555">
        <v>1993</v>
      </c>
      <c r="F9" s="555" t="s">
        <v>515</v>
      </c>
      <c r="G9" s="555" t="s">
        <v>516</v>
      </c>
      <c r="H9" s="555" t="s">
        <v>517</v>
      </c>
      <c r="I9" s="555" t="s">
        <v>518</v>
      </c>
    </row>
    <row r="10" spans="1:9" ht="20.25">
      <c r="A10" s="555">
        <v>5</v>
      </c>
      <c r="B10" s="556" t="s">
        <v>278</v>
      </c>
      <c r="C10" s="557" t="s">
        <v>196</v>
      </c>
      <c r="D10" s="554" t="s">
        <v>424</v>
      </c>
      <c r="E10" s="555">
        <v>1986</v>
      </c>
      <c r="F10" s="555" t="s">
        <v>515</v>
      </c>
      <c r="G10" s="555" t="s">
        <v>516</v>
      </c>
      <c r="H10" s="555" t="s">
        <v>517</v>
      </c>
      <c r="I10" s="555" t="s">
        <v>518</v>
      </c>
    </row>
    <row r="11" spans="1:9" ht="20.25">
      <c r="A11" s="555">
        <v>6</v>
      </c>
      <c r="B11" s="556" t="s">
        <v>266</v>
      </c>
      <c r="C11" s="557" t="s">
        <v>429</v>
      </c>
      <c r="D11" s="554" t="s">
        <v>430</v>
      </c>
      <c r="E11" s="555">
        <v>1964</v>
      </c>
      <c r="F11" s="555" t="s">
        <v>519</v>
      </c>
      <c r="G11" s="555" t="s">
        <v>516</v>
      </c>
      <c r="H11" s="555" t="s">
        <v>517</v>
      </c>
      <c r="I11" s="555" t="s">
        <v>518</v>
      </c>
    </row>
    <row r="12" spans="1:9" ht="20.25">
      <c r="A12" s="555">
        <v>7</v>
      </c>
      <c r="B12" s="556" t="s">
        <v>254</v>
      </c>
      <c r="C12" s="557" t="s">
        <v>431</v>
      </c>
      <c r="D12" s="554" t="s">
        <v>432</v>
      </c>
      <c r="E12" s="555">
        <v>1988</v>
      </c>
      <c r="F12" s="555" t="s">
        <v>515</v>
      </c>
      <c r="G12" s="555" t="s">
        <v>520</v>
      </c>
      <c r="H12" s="555" t="s">
        <v>521</v>
      </c>
      <c r="I12" s="555" t="s">
        <v>518</v>
      </c>
    </row>
    <row r="13" spans="1:9" ht="20.25">
      <c r="A13" s="555">
        <v>8</v>
      </c>
      <c r="B13" s="624" t="s">
        <v>580</v>
      </c>
      <c r="C13" s="557"/>
      <c r="D13" s="554"/>
      <c r="E13" s="555">
        <v>1991</v>
      </c>
      <c r="F13" s="555" t="s">
        <v>522</v>
      </c>
      <c r="G13" s="555" t="s">
        <v>516</v>
      </c>
      <c r="H13" s="555" t="s">
        <v>517</v>
      </c>
      <c r="I13" s="555" t="s">
        <v>518</v>
      </c>
    </row>
    <row r="14" spans="1:9" ht="20.25">
      <c r="A14" s="555">
        <v>9</v>
      </c>
      <c r="B14" s="558" t="s">
        <v>271</v>
      </c>
      <c r="C14" s="559" t="s">
        <v>434</v>
      </c>
      <c r="D14" s="554" t="s">
        <v>435</v>
      </c>
      <c r="E14" s="555">
        <v>1994</v>
      </c>
      <c r="F14" s="555" t="s">
        <v>515</v>
      </c>
      <c r="G14" s="555" t="s">
        <v>516</v>
      </c>
      <c r="H14" s="555" t="s">
        <v>517</v>
      </c>
      <c r="I14" s="555" t="s">
        <v>518</v>
      </c>
    </row>
    <row r="15" spans="1:9" ht="20.25">
      <c r="A15" s="555">
        <v>10</v>
      </c>
      <c r="B15" s="560" t="s">
        <v>403</v>
      </c>
      <c r="C15" s="561" t="s">
        <v>436</v>
      </c>
      <c r="D15" s="554" t="s">
        <v>437</v>
      </c>
      <c r="E15" s="555">
        <v>1989</v>
      </c>
      <c r="F15" s="555" t="s">
        <v>523</v>
      </c>
      <c r="G15" s="555" t="s">
        <v>520</v>
      </c>
      <c r="H15" s="555" t="s">
        <v>521</v>
      </c>
      <c r="I15" s="555" t="s">
        <v>518</v>
      </c>
    </row>
    <row r="16" spans="1:9" ht="20.25">
      <c r="A16" s="555">
        <v>11</v>
      </c>
      <c r="B16" s="625" t="s">
        <v>581</v>
      </c>
      <c r="C16" s="559"/>
      <c r="D16" s="554"/>
      <c r="E16" s="555">
        <v>1984</v>
      </c>
      <c r="F16" s="555" t="s">
        <v>524</v>
      </c>
      <c r="G16" s="555" t="s">
        <v>520</v>
      </c>
      <c r="H16" s="555" t="s">
        <v>521</v>
      </c>
      <c r="I16" s="555" t="s">
        <v>518</v>
      </c>
    </row>
    <row r="17" spans="1:9" ht="20.25">
      <c r="A17" s="555">
        <v>12</v>
      </c>
      <c r="B17" s="562" t="s">
        <v>416</v>
      </c>
      <c r="C17" s="563" t="s">
        <v>438</v>
      </c>
      <c r="D17" s="564" t="s">
        <v>439</v>
      </c>
      <c r="E17" s="555">
        <v>1996</v>
      </c>
      <c r="F17" s="555" t="s">
        <v>519</v>
      </c>
      <c r="G17" s="555" t="s">
        <v>516</v>
      </c>
      <c r="H17" s="555" t="s">
        <v>517</v>
      </c>
      <c r="I17" s="555" t="s">
        <v>525</v>
      </c>
    </row>
    <row r="18" spans="1:9" ht="20.25">
      <c r="A18" s="555">
        <v>13</v>
      </c>
      <c r="B18" s="565" t="s">
        <v>526</v>
      </c>
      <c r="C18" s="566" t="s">
        <v>440</v>
      </c>
      <c r="D18" s="564" t="s">
        <v>441</v>
      </c>
      <c r="E18" s="555">
        <v>1988</v>
      </c>
      <c r="F18" s="555" t="s">
        <v>519</v>
      </c>
      <c r="G18" s="555" t="s">
        <v>516</v>
      </c>
      <c r="H18" s="555" t="s">
        <v>517</v>
      </c>
      <c r="I18" s="555" t="s">
        <v>525</v>
      </c>
    </row>
    <row r="19" spans="1:9" ht="20.25">
      <c r="A19" s="555">
        <v>14</v>
      </c>
      <c r="B19" s="565" t="s">
        <v>409</v>
      </c>
      <c r="C19" s="566" t="s">
        <v>442</v>
      </c>
      <c r="D19" s="564" t="s">
        <v>443</v>
      </c>
      <c r="E19" s="555">
        <v>1968</v>
      </c>
      <c r="F19" s="555" t="s">
        <v>519</v>
      </c>
      <c r="G19" s="555" t="s">
        <v>516</v>
      </c>
      <c r="H19" s="555" t="s">
        <v>517</v>
      </c>
      <c r="I19" s="555" t="s">
        <v>525</v>
      </c>
    </row>
    <row r="20" spans="1:9" ht="20.25">
      <c r="A20" s="555">
        <v>15</v>
      </c>
      <c r="B20" s="565" t="s">
        <v>274</v>
      </c>
      <c r="C20" s="566" t="s">
        <v>444</v>
      </c>
      <c r="D20" s="564" t="s">
        <v>445</v>
      </c>
      <c r="E20" s="555">
        <v>1984</v>
      </c>
      <c r="F20" s="555" t="s">
        <v>519</v>
      </c>
      <c r="G20" s="555" t="s">
        <v>516</v>
      </c>
      <c r="H20" s="555" t="s">
        <v>517</v>
      </c>
      <c r="I20" s="555" t="s">
        <v>525</v>
      </c>
    </row>
    <row r="21" spans="1:9" ht="20.25">
      <c r="A21" s="555">
        <v>16</v>
      </c>
      <c r="B21" s="565" t="s">
        <v>410</v>
      </c>
      <c r="C21" s="566" t="s">
        <v>446</v>
      </c>
      <c r="D21" s="564" t="s">
        <v>447</v>
      </c>
      <c r="E21" s="555">
        <v>1972</v>
      </c>
      <c r="F21" s="555" t="s">
        <v>519</v>
      </c>
      <c r="G21" s="555" t="s">
        <v>516</v>
      </c>
      <c r="H21" s="555" t="s">
        <v>517</v>
      </c>
      <c r="I21" s="555" t="s">
        <v>525</v>
      </c>
    </row>
    <row r="22" spans="1:9" ht="20.25">
      <c r="A22" s="555">
        <v>17</v>
      </c>
      <c r="B22" s="565" t="s">
        <v>415</v>
      </c>
      <c r="C22" s="566" t="s">
        <v>448</v>
      </c>
      <c r="D22" s="564" t="s">
        <v>449</v>
      </c>
      <c r="E22" s="555">
        <v>1998</v>
      </c>
      <c r="F22" s="555" t="s">
        <v>519</v>
      </c>
      <c r="G22" s="555" t="s">
        <v>516</v>
      </c>
      <c r="H22" s="555" t="s">
        <v>517</v>
      </c>
      <c r="I22" s="555" t="s">
        <v>525</v>
      </c>
    </row>
    <row r="23" spans="1:9" ht="20.25">
      <c r="A23" s="555">
        <v>18</v>
      </c>
      <c r="B23" s="565" t="s">
        <v>412</v>
      </c>
      <c r="C23" s="566" t="s">
        <v>450</v>
      </c>
      <c r="D23" s="564" t="s">
        <v>451</v>
      </c>
      <c r="E23" s="555">
        <v>1998</v>
      </c>
      <c r="F23" s="555" t="s">
        <v>519</v>
      </c>
      <c r="G23" s="555" t="s">
        <v>516</v>
      </c>
      <c r="H23" s="555" t="s">
        <v>517</v>
      </c>
      <c r="I23" s="555" t="s">
        <v>525</v>
      </c>
    </row>
    <row r="24" spans="1:9" ht="20.25">
      <c r="A24" s="555">
        <v>19</v>
      </c>
      <c r="B24" s="565" t="s">
        <v>408</v>
      </c>
      <c r="C24" s="566" t="s">
        <v>452</v>
      </c>
      <c r="D24" s="564" t="s">
        <v>453</v>
      </c>
      <c r="E24" s="555">
        <v>1983</v>
      </c>
      <c r="F24" s="555" t="s">
        <v>519</v>
      </c>
      <c r="G24" s="555" t="s">
        <v>516</v>
      </c>
      <c r="H24" s="555" t="s">
        <v>517</v>
      </c>
      <c r="I24" s="555" t="s">
        <v>525</v>
      </c>
    </row>
    <row r="25" spans="1:9" ht="20.25">
      <c r="A25" s="555">
        <v>20</v>
      </c>
      <c r="B25" s="565" t="s">
        <v>404</v>
      </c>
      <c r="C25" s="566" t="s">
        <v>454</v>
      </c>
      <c r="D25" s="567" t="s">
        <v>455</v>
      </c>
      <c r="E25" s="555">
        <v>1961</v>
      </c>
      <c r="F25" s="555" t="s">
        <v>523</v>
      </c>
      <c r="G25" s="555" t="s">
        <v>520</v>
      </c>
      <c r="H25" s="555" t="s">
        <v>521</v>
      </c>
      <c r="I25" s="555" t="s">
        <v>518</v>
      </c>
    </row>
    <row r="26" spans="1:9" ht="20.25">
      <c r="A26" s="555">
        <v>21</v>
      </c>
      <c r="B26" s="565" t="s">
        <v>600</v>
      </c>
      <c r="C26" s="566"/>
      <c r="D26" s="567"/>
      <c r="E26" s="555">
        <v>1997</v>
      </c>
      <c r="F26" s="555" t="s">
        <v>601</v>
      </c>
      <c r="G26" s="555" t="s">
        <v>516</v>
      </c>
      <c r="H26" s="555" t="s">
        <v>517</v>
      </c>
      <c r="I26" s="555" t="s">
        <v>525</v>
      </c>
    </row>
    <row r="27" spans="1:9" ht="20.25">
      <c r="A27" s="555">
        <v>22</v>
      </c>
      <c r="B27" s="558" t="s">
        <v>269</v>
      </c>
      <c r="C27" s="559" t="s">
        <v>458</v>
      </c>
      <c r="D27" s="568" t="s">
        <v>459</v>
      </c>
      <c r="E27" s="555">
        <v>1983</v>
      </c>
      <c r="F27" s="555" t="s">
        <v>515</v>
      </c>
      <c r="G27" s="555" t="s">
        <v>516</v>
      </c>
      <c r="H27" s="555" t="s">
        <v>517</v>
      </c>
      <c r="I27" s="555" t="s">
        <v>518</v>
      </c>
    </row>
    <row r="28" spans="1:9" ht="20.25">
      <c r="A28" s="555">
        <v>23</v>
      </c>
      <c r="B28" s="558" t="s">
        <v>283</v>
      </c>
      <c r="C28" s="559" t="s">
        <v>460</v>
      </c>
      <c r="D28" s="568" t="s">
        <v>461</v>
      </c>
      <c r="E28" s="555">
        <v>1994</v>
      </c>
      <c r="F28" s="555" t="s">
        <v>515</v>
      </c>
      <c r="G28" s="555" t="s">
        <v>516</v>
      </c>
      <c r="H28" s="555" t="s">
        <v>517</v>
      </c>
      <c r="I28" s="555" t="s">
        <v>518</v>
      </c>
    </row>
    <row r="29" spans="1:9" ht="20.25">
      <c r="A29" s="555">
        <v>24</v>
      </c>
      <c r="B29" s="558" t="s">
        <v>270</v>
      </c>
      <c r="C29" s="559" t="s">
        <v>462</v>
      </c>
      <c r="D29" s="568" t="s">
        <v>463</v>
      </c>
      <c r="E29" s="555">
        <v>1989</v>
      </c>
      <c r="F29" s="555" t="s">
        <v>515</v>
      </c>
      <c r="G29" s="555" t="s">
        <v>516</v>
      </c>
      <c r="H29" s="555" t="s">
        <v>517</v>
      </c>
      <c r="I29" s="555" t="s">
        <v>518</v>
      </c>
    </row>
    <row r="30" spans="1:9" ht="20.25">
      <c r="A30" s="555">
        <v>25</v>
      </c>
      <c r="B30" s="558" t="s">
        <v>407</v>
      </c>
      <c r="C30" s="559" t="s">
        <v>464</v>
      </c>
      <c r="D30" s="568" t="s">
        <v>465</v>
      </c>
      <c r="E30" s="555">
        <v>1993</v>
      </c>
      <c r="F30" s="555" t="s">
        <v>515</v>
      </c>
      <c r="G30" s="555" t="s">
        <v>516</v>
      </c>
      <c r="H30" s="555" t="s">
        <v>517</v>
      </c>
      <c r="I30" s="555" t="s">
        <v>518</v>
      </c>
    </row>
    <row r="31" spans="1:9" ht="20.25">
      <c r="A31" s="555">
        <v>26</v>
      </c>
      <c r="B31" s="625" t="s">
        <v>582</v>
      </c>
      <c r="C31" s="559"/>
      <c r="D31" s="568"/>
      <c r="E31" s="555">
        <v>1999</v>
      </c>
      <c r="F31" s="555" t="s">
        <v>515</v>
      </c>
      <c r="G31" s="555" t="s">
        <v>516</v>
      </c>
      <c r="H31" s="555" t="s">
        <v>517</v>
      </c>
      <c r="I31" s="555" t="s">
        <v>518</v>
      </c>
    </row>
    <row r="32" spans="1:9" ht="20.25">
      <c r="A32" s="555">
        <v>27</v>
      </c>
      <c r="B32" s="626" t="s">
        <v>583</v>
      </c>
      <c r="C32" s="569"/>
      <c r="D32" s="568"/>
      <c r="E32" s="555"/>
      <c r="F32" s="555" t="s">
        <v>528</v>
      </c>
      <c r="G32" s="555" t="s">
        <v>520</v>
      </c>
      <c r="H32" s="555" t="s">
        <v>521</v>
      </c>
      <c r="I32" s="555" t="s">
        <v>518</v>
      </c>
    </row>
    <row r="33" spans="1:9" ht="20.25">
      <c r="A33" s="555">
        <v>28</v>
      </c>
      <c r="B33" s="570" t="s">
        <v>319</v>
      </c>
      <c r="C33" s="571" t="s">
        <v>468</v>
      </c>
      <c r="D33" s="568" t="s">
        <v>469</v>
      </c>
      <c r="E33" s="555">
        <v>1986</v>
      </c>
      <c r="F33" s="555" t="s">
        <v>528</v>
      </c>
      <c r="G33" s="555" t="s">
        <v>520</v>
      </c>
      <c r="H33" s="555" t="s">
        <v>521</v>
      </c>
      <c r="I33" s="555" t="s">
        <v>518</v>
      </c>
    </row>
    <row r="34" spans="1:9" ht="20.25">
      <c r="A34" s="555">
        <v>29</v>
      </c>
      <c r="B34" s="570" t="s">
        <v>320</v>
      </c>
      <c r="C34" s="571" t="s">
        <v>470</v>
      </c>
      <c r="D34" s="568" t="s">
        <v>471</v>
      </c>
      <c r="E34" s="555">
        <v>1983</v>
      </c>
      <c r="F34" s="555" t="s">
        <v>528</v>
      </c>
      <c r="G34" s="555" t="s">
        <v>520</v>
      </c>
      <c r="H34" s="555" t="s">
        <v>521</v>
      </c>
      <c r="I34" s="555" t="s">
        <v>518</v>
      </c>
    </row>
    <row r="35" spans="1:9" ht="20.25">
      <c r="A35" s="555">
        <v>30</v>
      </c>
      <c r="B35" s="570" t="s">
        <v>382</v>
      </c>
      <c r="C35" s="571" t="s">
        <v>420</v>
      </c>
      <c r="D35" s="568" t="s">
        <v>472</v>
      </c>
      <c r="E35" s="555">
        <v>1999</v>
      </c>
      <c r="F35" s="555" t="s">
        <v>515</v>
      </c>
      <c r="G35" s="555" t="s">
        <v>516</v>
      </c>
      <c r="H35" s="555" t="s">
        <v>517</v>
      </c>
      <c r="I35" s="555" t="s">
        <v>518</v>
      </c>
    </row>
    <row r="36" spans="1:9" ht="20.25">
      <c r="A36" s="555">
        <v>31</v>
      </c>
      <c r="B36" s="558" t="s">
        <v>402</v>
      </c>
      <c r="C36" s="559" t="s">
        <v>422</v>
      </c>
      <c r="D36" s="568" t="s">
        <v>423</v>
      </c>
      <c r="E36" s="555">
        <v>1991</v>
      </c>
      <c r="F36" s="555" t="s">
        <v>523</v>
      </c>
      <c r="G36" s="555" t="s">
        <v>520</v>
      </c>
      <c r="H36" s="555" t="s">
        <v>521</v>
      </c>
      <c r="I36" s="555" t="s">
        <v>518</v>
      </c>
    </row>
    <row r="37" spans="1:9" ht="20.25">
      <c r="A37" s="555">
        <v>32</v>
      </c>
      <c r="B37" s="570" t="s">
        <v>406</v>
      </c>
      <c r="C37" s="571" t="s">
        <v>473</v>
      </c>
      <c r="D37" s="568" t="s">
        <v>474</v>
      </c>
      <c r="E37" s="555">
        <v>1961</v>
      </c>
      <c r="F37" s="555" t="s">
        <v>523</v>
      </c>
      <c r="G37" s="555" t="s">
        <v>520</v>
      </c>
      <c r="H37" s="555" t="s">
        <v>521</v>
      </c>
      <c r="I37" s="555" t="s">
        <v>518</v>
      </c>
    </row>
    <row r="38" spans="1:9" ht="20.25">
      <c r="A38" s="555">
        <v>33</v>
      </c>
      <c r="B38" s="570" t="s">
        <v>529</v>
      </c>
      <c r="C38" s="571" t="s">
        <v>475</v>
      </c>
      <c r="D38" s="572" t="s">
        <v>476</v>
      </c>
      <c r="E38" s="555">
        <v>1996</v>
      </c>
      <c r="F38" s="555" t="s">
        <v>519</v>
      </c>
      <c r="G38" s="555" t="s">
        <v>516</v>
      </c>
      <c r="H38" s="555" t="s">
        <v>517</v>
      </c>
      <c r="I38" s="555" t="s">
        <v>525</v>
      </c>
    </row>
    <row r="39" spans="1:9" ht="20.25">
      <c r="A39" s="555">
        <v>34</v>
      </c>
      <c r="B39" s="570" t="s">
        <v>530</v>
      </c>
      <c r="C39" s="571" t="s">
        <v>477</v>
      </c>
      <c r="D39" s="572" t="s">
        <v>478</v>
      </c>
      <c r="E39" s="555">
        <v>1982</v>
      </c>
      <c r="F39" s="555" t="s">
        <v>519</v>
      </c>
      <c r="G39" s="555" t="s">
        <v>516</v>
      </c>
      <c r="H39" s="555" t="s">
        <v>517</v>
      </c>
      <c r="I39" s="555" t="s">
        <v>525</v>
      </c>
    </row>
    <row r="40" spans="1:9" ht="20.25">
      <c r="A40" s="555">
        <v>35</v>
      </c>
      <c r="B40" s="570" t="s">
        <v>531</v>
      </c>
      <c r="C40" s="571" t="s">
        <v>479</v>
      </c>
      <c r="D40" s="572" t="s">
        <v>480</v>
      </c>
      <c r="E40" s="555">
        <v>1976</v>
      </c>
      <c r="F40" s="555" t="s">
        <v>519</v>
      </c>
      <c r="G40" s="555" t="s">
        <v>516</v>
      </c>
      <c r="H40" s="555" t="s">
        <v>517</v>
      </c>
      <c r="I40" s="555" t="s">
        <v>525</v>
      </c>
    </row>
    <row r="41" spans="1:9" ht="20.25">
      <c r="A41" s="555">
        <v>36</v>
      </c>
      <c r="B41" s="570" t="s">
        <v>378</v>
      </c>
      <c r="C41" s="571" t="s">
        <v>482</v>
      </c>
      <c r="D41" s="572" t="s">
        <v>483</v>
      </c>
      <c r="E41" s="555">
        <v>1987</v>
      </c>
      <c r="F41" s="555" t="s">
        <v>523</v>
      </c>
      <c r="G41" s="555" t="s">
        <v>520</v>
      </c>
      <c r="H41" s="555" t="s">
        <v>521</v>
      </c>
      <c r="I41" s="555" t="s">
        <v>532</v>
      </c>
    </row>
    <row r="42" spans="1:9" ht="20.25">
      <c r="A42" s="555">
        <v>37</v>
      </c>
      <c r="B42" s="570" t="s">
        <v>379</v>
      </c>
      <c r="C42" s="571" t="s">
        <v>484</v>
      </c>
      <c r="D42" s="572" t="s">
        <v>485</v>
      </c>
      <c r="E42" s="555">
        <v>1987</v>
      </c>
      <c r="F42" s="555" t="s">
        <v>523</v>
      </c>
      <c r="G42" s="555" t="s">
        <v>520</v>
      </c>
      <c r="H42" s="555" t="s">
        <v>521</v>
      </c>
      <c r="I42" s="555" t="s">
        <v>532</v>
      </c>
    </row>
    <row r="43" spans="1:9" ht="20.25">
      <c r="A43" s="555">
        <v>38</v>
      </c>
      <c r="B43" s="570" t="s">
        <v>380</v>
      </c>
      <c r="C43" s="571" t="s">
        <v>486</v>
      </c>
      <c r="D43" s="572" t="s">
        <v>487</v>
      </c>
      <c r="E43" s="555">
        <v>1994</v>
      </c>
      <c r="F43" s="555" t="s">
        <v>523</v>
      </c>
      <c r="G43" s="555" t="s">
        <v>520</v>
      </c>
      <c r="H43" s="555" t="s">
        <v>521</v>
      </c>
      <c r="I43" s="555" t="s">
        <v>532</v>
      </c>
    </row>
    <row r="44" spans="1:9" ht="20.25">
      <c r="A44" s="555">
        <v>39</v>
      </c>
      <c r="B44" s="570" t="s">
        <v>381</v>
      </c>
      <c r="C44" s="571" t="s">
        <v>488</v>
      </c>
      <c r="D44" s="572" t="s">
        <v>489</v>
      </c>
      <c r="E44" s="555">
        <v>1998</v>
      </c>
      <c r="F44" s="555" t="s">
        <v>523</v>
      </c>
      <c r="G44" s="555" t="s">
        <v>520</v>
      </c>
      <c r="H44" s="555" t="s">
        <v>521</v>
      </c>
      <c r="I44" s="555" t="s">
        <v>532</v>
      </c>
    </row>
    <row r="45" spans="1:9" ht="20.25">
      <c r="A45" s="555">
        <v>40</v>
      </c>
      <c r="B45" s="570" t="s">
        <v>533</v>
      </c>
      <c r="C45" s="571" t="s">
        <v>490</v>
      </c>
      <c r="D45" s="572" t="s">
        <v>491</v>
      </c>
      <c r="E45" s="555">
        <v>1969</v>
      </c>
      <c r="F45" s="555" t="s">
        <v>534</v>
      </c>
      <c r="G45" s="555" t="s">
        <v>520</v>
      </c>
      <c r="H45" s="555" t="s">
        <v>521</v>
      </c>
      <c r="I45" s="555" t="s">
        <v>532</v>
      </c>
    </row>
    <row r="46" spans="1:9" ht="20.25">
      <c r="A46" s="555">
        <v>41</v>
      </c>
      <c r="B46" s="570" t="s">
        <v>417</v>
      </c>
      <c r="C46" s="571" t="s">
        <v>492</v>
      </c>
      <c r="D46" s="572" t="s">
        <v>493</v>
      </c>
      <c r="E46" s="555">
        <v>2001</v>
      </c>
      <c r="F46" s="555" t="s">
        <v>534</v>
      </c>
      <c r="G46" s="555" t="s">
        <v>520</v>
      </c>
      <c r="H46" s="555" t="s">
        <v>521</v>
      </c>
      <c r="I46" s="555" t="s">
        <v>532</v>
      </c>
    </row>
    <row r="47" spans="1:9" ht="20.25">
      <c r="A47" s="555">
        <v>42</v>
      </c>
      <c r="B47" s="570" t="s">
        <v>535</v>
      </c>
      <c r="C47" s="571" t="s">
        <v>494</v>
      </c>
      <c r="D47" s="572" t="s">
        <v>495</v>
      </c>
      <c r="E47" s="555">
        <v>1987</v>
      </c>
      <c r="F47" s="555" t="s">
        <v>522</v>
      </c>
      <c r="G47" s="555" t="s">
        <v>516</v>
      </c>
      <c r="H47" s="555" t="s">
        <v>517</v>
      </c>
      <c r="I47" s="555" t="s">
        <v>532</v>
      </c>
    </row>
    <row r="48" spans="1:9" ht="20.25">
      <c r="A48" s="555">
        <v>43</v>
      </c>
      <c r="B48" s="623" t="s">
        <v>579</v>
      </c>
      <c r="C48" s="571"/>
      <c r="D48" s="572"/>
      <c r="E48" s="555">
        <v>1996</v>
      </c>
      <c r="F48" s="555" t="s">
        <v>522</v>
      </c>
      <c r="G48" s="555" t="s">
        <v>516</v>
      </c>
      <c r="H48" s="555" t="s">
        <v>517</v>
      </c>
      <c r="I48" s="555" t="s">
        <v>532</v>
      </c>
    </row>
    <row r="49" spans="1:9" ht="20.25">
      <c r="A49" s="555">
        <v>44</v>
      </c>
      <c r="B49" s="570" t="s">
        <v>373</v>
      </c>
      <c r="C49" s="571" t="s">
        <v>497</v>
      </c>
      <c r="D49" s="572" t="s">
        <v>498</v>
      </c>
      <c r="E49" s="555">
        <v>1988</v>
      </c>
      <c r="F49" s="555" t="s">
        <v>522</v>
      </c>
      <c r="G49" s="555" t="s">
        <v>516</v>
      </c>
      <c r="H49" s="555" t="s">
        <v>517</v>
      </c>
      <c r="I49" s="555" t="s">
        <v>532</v>
      </c>
    </row>
    <row r="50" spans="1:9" ht="20.25">
      <c r="A50" s="555">
        <v>45</v>
      </c>
      <c r="B50" s="623" t="s">
        <v>578</v>
      </c>
      <c r="C50" s="571"/>
      <c r="D50" s="572"/>
      <c r="E50" s="555">
        <v>1994</v>
      </c>
      <c r="F50" s="555" t="s">
        <v>522</v>
      </c>
      <c r="G50" s="555" t="s">
        <v>516</v>
      </c>
      <c r="H50" s="555" t="s">
        <v>517</v>
      </c>
      <c r="I50" s="555" t="s">
        <v>532</v>
      </c>
    </row>
    <row r="51" spans="1:9" ht="20.25">
      <c r="A51" s="555">
        <v>46</v>
      </c>
      <c r="B51" s="560" t="s">
        <v>401</v>
      </c>
      <c r="C51" s="561" t="s">
        <v>500</v>
      </c>
      <c r="D51" s="572" t="s">
        <v>501</v>
      </c>
      <c r="E51" s="555">
        <v>1979</v>
      </c>
      <c r="F51" s="555" t="s">
        <v>528</v>
      </c>
      <c r="G51" s="555" t="s">
        <v>520</v>
      </c>
      <c r="H51" s="555" t="s">
        <v>521</v>
      </c>
      <c r="I51" s="555" t="s">
        <v>532</v>
      </c>
    </row>
    <row r="52" spans="1:9" ht="20.25">
      <c r="A52" s="555">
        <v>47</v>
      </c>
      <c r="B52" s="560" t="s">
        <v>400</v>
      </c>
      <c r="C52" s="561" t="s">
        <v>502</v>
      </c>
      <c r="D52" s="572" t="s">
        <v>503</v>
      </c>
      <c r="E52" s="555">
        <v>1974</v>
      </c>
      <c r="F52" s="555" t="s">
        <v>528</v>
      </c>
      <c r="G52" s="555" t="s">
        <v>520</v>
      </c>
      <c r="H52" s="555" t="s">
        <v>521</v>
      </c>
      <c r="I52" s="555" t="s">
        <v>532</v>
      </c>
    </row>
    <row r="53" spans="1:9" ht="20.25">
      <c r="A53" s="573">
        <v>48</v>
      </c>
      <c r="B53" s="574" t="s">
        <v>481</v>
      </c>
      <c r="C53" s="575" t="s">
        <v>504</v>
      </c>
      <c r="D53" s="572" t="s">
        <v>505</v>
      </c>
      <c r="E53" s="573">
        <v>2000</v>
      </c>
      <c r="F53" s="573" t="s">
        <v>528</v>
      </c>
      <c r="G53" s="573" t="s">
        <v>520</v>
      </c>
      <c r="H53" s="573" t="s">
        <v>521</v>
      </c>
      <c r="I53" s="573" t="s">
        <v>532</v>
      </c>
    </row>
  </sheetData>
  <mergeCells count="4">
    <mergeCell ref="F1:I1"/>
    <mergeCell ref="A2:B2"/>
    <mergeCell ref="F2:I2"/>
    <mergeCell ref="A3:I3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>
      <selection activeCell="K9" sqref="K9"/>
    </sheetView>
  </sheetViews>
  <sheetFormatPr defaultColWidth="9" defaultRowHeight="15"/>
  <cols>
    <col min="1" max="1" width="5.375" style="289" customWidth="1"/>
    <col min="2" max="2" width="25.375" style="289" customWidth="1"/>
    <col min="3" max="3" width="24.875" style="29" customWidth="1"/>
    <col min="4" max="4" width="23.375" style="29" customWidth="1"/>
    <col min="5" max="5" width="16.375" style="29" customWidth="1"/>
    <col min="6" max="7" width="17.125" style="29" customWidth="1"/>
    <col min="8" max="16384" width="9" style="599"/>
  </cols>
  <sheetData>
    <row r="1" spans="1:11" ht="15.75">
      <c r="A1" s="3751" t="s">
        <v>165</v>
      </c>
      <c r="B1" s="3751"/>
      <c r="C1" s="3751"/>
      <c r="D1" s="3751"/>
      <c r="E1" s="3751"/>
      <c r="F1" s="3751"/>
      <c r="G1" s="3751"/>
      <c r="H1" s="40"/>
      <c r="I1" s="40"/>
      <c r="J1" s="40"/>
      <c r="K1" s="40"/>
    </row>
    <row r="2" spans="1:11" ht="15.75">
      <c r="A2" s="4302" t="s">
        <v>299</v>
      </c>
      <c r="B2" s="4302"/>
      <c r="C2" s="4302"/>
      <c r="D2" s="4302"/>
      <c r="E2" s="4302"/>
      <c r="F2" s="4302"/>
      <c r="G2" s="4302"/>
      <c r="H2" s="42"/>
      <c r="I2" s="42"/>
      <c r="J2" s="42"/>
      <c r="K2" s="42"/>
    </row>
    <row r="3" spans="1:11" ht="3" customHeight="1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</row>
    <row r="4" spans="1:11" ht="15.75">
      <c r="A4" s="4302" t="s">
        <v>540</v>
      </c>
      <c r="B4" s="4302"/>
      <c r="C4" s="4302"/>
      <c r="D4" s="40"/>
      <c r="E4" s="40"/>
      <c r="F4" s="40"/>
      <c r="G4" s="42"/>
      <c r="H4" s="42"/>
      <c r="I4" s="42"/>
      <c r="J4" s="42"/>
      <c r="K4" s="42"/>
    </row>
    <row r="5" spans="1:11" ht="15.75">
      <c r="A5" s="4130" t="s">
        <v>541</v>
      </c>
      <c r="B5" s="4130"/>
      <c r="C5" s="4130"/>
      <c r="D5" s="42"/>
      <c r="E5" s="42"/>
      <c r="F5" s="42"/>
      <c r="G5" s="42"/>
      <c r="H5" s="42"/>
      <c r="I5" s="42"/>
      <c r="J5" s="42"/>
      <c r="K5" s="42"/>
    </row>
    <row r="6" spans="1:11" ht="6" customHeight="1">
      <c r="G6" s="600"/>
    </row>
    <row r="7" spans="1:11" ht="18.75">
      <c r="A7" s="3672" t="s">
        <v>679</v>
      </c>
      <c r="B7" s="3672"/>
      <c r="C7" s="3672"/>
      <c r="D7" s="3672"/>
      <c r="E7" s="3672"/>
      <c r="F7" s="3672"/>
      <c r="G7" s="3672"/>
    </row>
    <row r="8" spans="1:11" ht="9" customHeight="1"/>
    <row r="9" spans="1:11" ht="24.75" customHeight="1">
      <c r="A9" s="4142" t="s">
        <v>1</v>
      </c>
      <c r="B9" s="4341" t="s">
        <v>509</v>
      </c>
      <c r="C9" s="4142" t="s">
        <v>543</v>
      </c>
      <c r="D9" s="4341" t="s">
        <v>668</v>
      </c>
      <c r="E9" s="4341" t="s">
        <v>612</v>
      </c>
      <c r="F9" s="4341" t="s">
        <v>546</v>
      </c>
      <c r="G9" s="4142" t="s">
        <v>345</v>
      </c>
    </row>
    <row r="10" spans="1:11" ht="24.75" customHeight="1">
      <c r="A10" s="4142"/>
      <c r="B10" s="4342"/>
      <c r="C10" s="4142"/>
      <c r="D10" s="4342"/>
      <c r="E10" s="4342"/>
      <c r="F10" s="4342"/>
      <c r="G10" s="4142"/>
    </row>
    <row r="11" spans="1:11" ht="16.5" customHeight="1">
      <c r="A11" s="685">
        <v>1</v>
      </c>
      <c r="B11" s="686" t="s">
        <v>336</v>
      </c>
      <c r="C11" s="686" t="s">
        <v>680</v>
      </c>
      <c r="D11" s="604">
        <v>150000</v>
      </c>
      <c r="E11" s="604">
        <f>+D11</f>
        <v>150000</v>
      </c>
      <c r="F11" s="685"/>
      <c r="G11" s="685"/>
    </row>
    <row r="12" spans="1:11" ht="16.5" customHeight="1">
      <c r="A12" s="682">
        <v>2</v>
      </c>
      <c r="B12" s="607" t="s">
        <v>337</v>
      </c>
      <c r="C12" s="607" t="s">
        <v>681</v>
      </c>
      <c r="D12" s="609">
        <v>150000</v>
      </c>
      <c r="E12" s="609">
        <f t="shared" ref="E12:E17" si="0">+D12</f>
        <v>150000</v>
      </c>
      <c r="F12" s="610"/>
      <c r="G12" s="611"/>
    </row>
    <row r="13" spans="1:11" ht="16.5" customHeight="1">
      <c r="A13" s="682">
        <v>3</v>
      </c>
      <c r="B13" s="607" t="s">
        <v>277</v>
      </c>
      <c r="C13" s="607" t="s">
        <v>162</v>
      </c>
      <c r="D13" s="609">
        <v>150000</v>
      </c>
      <c r="E13" s="609">
        <f t="shared" si="0"/>
        <v>150000</v>
      </c>
      <c r="F13" s="610"/>
      <c r="G13" s="611"/>
    </row>
    <row r="14" spans="1:11" ht="16.5" customHeight="1">
      <c r="A14" s="682">
        <v>4</v>
      </c>
      <c r="B14" s="607" t="s">
        <v>96</v>
      </c>
      <c r="C14" s="607" t="s">
        <v>162</v>
      </c>
      <c r="D14" s="609">
        <v>150000</v>
      </c>
      <c r="E14" s="609">
        <f t="shared" si="0"/>
        <v>150000</v>
      </c>
      <c r="F14" s="610"/>
      <c r="G14" s="611"/>
    </row>
    <row r="15" spans="1:11" ht="16.5" customHeight="1">
      <c r="A15" s="682">
        <v>5</v>
      </c>
      <c r="B15" s="607" t="s">
        <v>638</v>
      </c>
      <c r="C15" s="607" t="s">
        <v>682</v>
      </c>
      <c r="D15" s="609">
        <v>150000</v>
      </c>
      <c r="E15" s="609">
        <f t="shared" si="0"/>
        <v>150000</v>
      </c>
      <c r="F15" s="610"/>
      <c r="G15" s="611"/>
    </row>
    <row r="16" spans="1:11" ht="16.5" customHeight="1">
      <c r="A16" s="687">
        <v>6</v>
      </c>
      <c r="B16" s="607" t="s">
        <v>341</v>
      </c>
      <c r="C16" s="607" t="s">
        <v>162</v>
      </c>
      <c r="D16" s="609">
        <v>150000</v>
      </c>
      <c r="E16" s="609">
        <f t="shared" si="0"/>
        <v>150000</v>
      </c>
      <c r="F16" s="610"/>
      <c r="G16" s="611"/>
    </row>
    <row r="17" spans="1:7" ht="16.5" customHeight="1">
      <c r="A17" s="688">
        <v>7</v>
      </c>
      <c r="B17" s="689" t="s">
        <v>97</v>
      </c>
      <c r="C17" s="689" t="s">
        <v>99</v>
      </c>
      <c r="D17" s="690">
        <v>150000</v>
      </c>
      <c r="E17" s="690">
        <f t="shared" si="0"/>
        <v>150000</v>
      </c>
      <c r="F17" s="691"/>
      <c r="G17" s="692"/>
    </row>
    <row r="18" spans="1:7" ht="17.100000000000001" customHeight="1">
      <c r="A18" s="4699" t="s">
        <v>21</v>
      </c>
      <c r="B18" s="4699"/>
      <c r="C18" s="4699"/>
      <c r="D18" s="615">
        <f>SUM(D11:D17)</f>
        <v>1050000</v>
      </c>
      <c r="E18" s="615">
        <f>SUM(E11:E17)</f>
        <v>1050000</v>
      </c>
      <c r="F18" s="615"/>
      <c r="G18" s="614"/>
    </row>
    <row r="19" spans="1:7" ht="18.75" customHeight="1">
      <c r="C19" s="4339" t="s">
        <v>683</v>
      </c>
      <c r="D19" s="4339"/>
      <c r="E19" s="4339"/>
      <c r="F19" s="4339"/>
    </row>
    <row r="20" spans="1:7" ht="16.5">
      <c r="A20" s="157"/>
      <c r="B20" s="157"/>
      <c r="C20" s="157"/>
      <c r="D20" s="283"/>
      <c r="E20" s="4335" t="s">
        <v>678</v>
      </c>
      <c r="F20" s="4335"/>
      <c r="G20" s="4335"/>
    </row>
    <row r="21" spans="1:7" ht="15" customHeight="1">
      <c r="A21" s="4336" t="s">
        <v>46</v>
      </c>
      <c r="B21" s="4336"/>
      <c r="C21" s="10" t="s">
        <v>567</v>
      </c>
      <c r="D21" s="10" t="s">
        <v>567</v>
      </c>
      <c r="E21" s="4336" t="s">
        <v>167</v>
      </c>
      <c r="F21" s="4336"/>
      <c r="G21" s="10" t="s">
        <v>42</v>
      </c>
    </row>
    <row r="27" spans="1:7">
      <c r="E27" s="4330" t="s">
        <v>336</v>
      </c>
      <c r="F27" s="4330"/>
      <c r="G27" s="598" t="s">
        <v>337</v>
      </c>
    </row>
  </sheetData>
  <mergeCells count="18">
    <mergeCell ref="E20:G20"/>
    <mergeCell ref="A21:B21"/>
    <mergeCell ref="E21:F21"/>
    <mergeCell ref="E27:F27"/>
    <mergeCell ref="D9:D10"/>
    <mergeCell ref="E9:E10"/>
    <mergeCell ref="F9:F10"/>
    <mergeCell ref="G9:G10"/>
    <mergeCell ref="A18:C18"/>
    <mergeCell ref="C19:F19"/>
    <mergeCell ref="A9:A10"/>
    <mergeCell ref="B9:B10"/>
    <mergeCell ref="C9:C10"/>
    <mergeCell ref="A1:G1"/>
    <mergeCell ref="A2:G2"/>
    <mergeCell ref="A4:C4"/>
    <mergeCell ref="A5:C5"/>
    <mergeCell ref="A7:G7"/>
  </mergeCells>
  <pageMargins left="0.39370078740157483" right="0.19685039370078741" top="0.74803149606299213" bottom="0.74803149606299213" header="0.31496062992125984" footer="0.31496062992125984"/>
  <pageSetup paperSize="9" orientation="landscape" verticalDpi="0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T87"/>
  <sheetViews>
    <sheetView topLeftCell="A32" workbookViewId="0">
      <selection activeCell="K60" sqref="K60"/>
    </sheetView>
  </sheetViews>
  <sheetFormatPr defaultRowHeight="15.75"/>
  <cols>
    <col min="1" max="1" width="3.75" style="1124" customWidth="1"/>
    <col min="2" max="2" width="10" style="1161" hidden="1" customWidth="1"/>
    <col min="3" max="3" width="15.875" style="1124" customWidth="1"/>
    <col min="4" max="4" width="15.375" style="1129" customWidth="1"/>
    <col min="5" max="5" width="19.375" style="1129" customWidth="1"/>
    <col min="6" max="6" width="18.875" style="1132" customWidth="1"/>
    <col min="7" max="7" width="17.125" style="1132" customWidth="1"/>
  </cols>
  <sheetData>
    <row r="1" spans="1:20" s="156" customFormat="1" ht="16.5">
      <c r="A1" s="3666" t="s">
        <v>165</v>
      </c>
      <c r="B1" s="3666"/>
      <c r="C1" s="3666"/>
      <c r="D1" s="3666"/>
      <c r="E1" s="3666"/>
      <c r="F1" s="3666"/>
      <c r="G1" s="3666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</row>
    <row r="2" spans="1:20" s="156" customFormat="1" ht="16.5">
      <c r="A2" s="3666" t="s">
        <v>171</v>
      </c>
      <c r="B2" s="3666"/>
      <c r="C2" s="3666"/>
      <c r="D2" s="3666"/>
      <c r="E2" s="3666"/>
      <c r="F2" s="3666"/>
      <c r="G2" s="3666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</row>
    <row r="3" spans="1:20" s="156" customFormat="1" ht="16.5">
      <c r="C3" s="280"/>
      <c r="E3" s="280"/>
      <c r="F3" s="280"/>
      <c r="K3" s="798"/>
    </row>
    <row r="4" spans="1:20" s="156" customFormat="1" ht="16.5" customHeight="1">
      <c r="A4" s="156" t="s">
        <v>574</v>
      </c>
    </row>
    <row r="5" spans="1:20" s="156" customFormat="1" ht="17.25" customHeight="1">
      <c r="A5" s="3666" t="s">
        <v>541</v>
      </c>
      <c r="B5" s="3666"/>
      <c r="C5" s="3666"/>
      <c r="D5" s="3666"/>
      <c r="E5" s="157"/>
      <c r="F5" s="157"/>
      <c r="G5" s="157"/>
      <c r="H5" s="157"/>
      <c r="I5" s="157"/>
      <c r="J5" s="157"/>
      <c r="K5" s="157"/>
    </row>
    <row r="6" spans="1:20" s="156" customFormat="1" ht="18" customHeight="1">
      <c r="A6" s="693"/>
      <c r="B6" s="693"/>
      <c r="C6" s="693"/>
      <c r="D6" s="693"/>
      <c r="E6" s="693"/>
      <c r="F6" s="693"/>
      <c r="G6" s="693"/>
      <c r="H6" s="693"/>
      <c r="I6" s="693"/>
      <c r="J6" s="693"/>
      <c r="K6" s="693"/>
      <c r="L6" s="693"/>
      <c r="M6" s="693"/>
      <c r="N6" s="693"/>
      <c r="O6" s="693"/>
      <c r="P6" s="693"/>
      <c r="Q6" s="693"/>
      <c r="R6" s="693"/>
      <c r="S6" s="693"/>
      <c r="T6" s="693"/>
    </row>
    <row r="7" spans="1:20" ht="20.25">
      <c r="A7" s="3733" t="s">
        <v>846</v>
      </c>
      <c r="B7" s="3733"/>
      <c r="C7" s="3733"/>
      <c r="D7" s="3733"/>
      <c r="E7" s="3733"/>
      <c r="F7" s="3733"/>
      <c r="G7" s="3733"/>
    </row>
    <row r="8" spans="1:20">
      <c r="A8" s="3734" t="s">
        <v>834</v>
      </c>
      <c r="B8" s="3734"/>
      <c r="C8" s="3734"/>
      <c r="D8" s="3734"/>
      <c r="E8" s="3734"/>
      <c r="F8" s="3734"/>
      <c r="G8" s="3734"/>
    </row>
    <row r="9" spans="1:20" hidden="1">
      <c r="A9" s="1193"/>
      <c r="B9" s="3787" t="s">
        <v>847</v>
      </c>
      <c r="C9" s="3787"/>
      <c r="D9" s="1194"/>
      <c r="E9" s="1189"/>
      <c r="F9" s="1189"/>
      <c r="G9" s="1189"/>
    </row>
    <row r="10" spans="1:20" hidden="1">
      <c r="A10" s="1195"/>
      <c r="B10" s="3787" t="s">
        <v>848</v>
      </c>
      <c r="C10" s="3787"/>
      <c r="D10" s="1194"/>
      <c r="E10" s="1196"/>
      <c r="F10" s="1196"/>
      <c r="G10" s="1196"/>
    </row>
    <row r="11" spans="1:20" ht="14.25">
      <c r="A11" s="3744" t="s">
        <v>1</v>
      </c>
      <c r="B11" s="3746" t="s">
        <v>20</v>
      </c>
      <c r="C11" s="3746"/>
      <c r="D11" s="3747" t="s">
        <v>26</v>
      </c>
      <c r="E11" s="3744" t="s">
        <v>831</v>
      </c>
      <c r="F11" s="3738" t="s">
        <v>849</v>
      </c>
      <c r="G11" s="3741" t="s">
        <v>9</v>
      </c>
    </row>
    <row r="12" spans="1:20" ht="14.25">
      <c r="A12" s="3744"/>
      <c r="B12" s="3746"/>
      <c r="C12" s="3746"/>
      <c r="D12" s="3748"/>
      <c r="E12" s="3744"/>
      <c r="F12" s="3739"/>
      <c r="G12" s="3742"/>
    </row>
    <row r="13" spans="1:20">
      <c r="A13" s="3745"/>
      <c r="B13" s="1166" t="s">
        <v>33</v>
      </c>
      <c r="C13" s="1166" t="s">
        <v>4</v>
      </c>
      <c r="D13" s="3749"/>
      <c r="E13" s="3745"/>
      <c r="F13" s="3740"/>
      <c r="G13" s="3743"/>
    </row>
    <row r="14" spans="1:20" ht="16.5">
      <c r="A14" s="1167">
        <v>1</v>
      </c>
      <c r="B14" s="1168"/>
      <c r="C14" s="1221" t="s">
        <v>638</v>
      </c>
      <c r="D14" s="1221" t="s">
        <v>639</v>
      </c>
      <c r="E14" s="1171" t="s">
        <v>850</v>
      </c>
      <c r="F14" s="1198">
        <v>100000</v>
      </c>
      <c r="G14" s="1171"/>
    </row>
    <row r="15" spans="1:20" ht="16.5">
      <c r="A15" s="1172">
        <v>2</v>
      </c>
      <c r="B15" s="1173"/>
      <c r="C15" s="1096" t="s">
        <v>97</v>
      </c>
      <c r="D15" s="1096" t="s">
        <v>99</v>
      </c>
      <c r="E15" s="1177" t="s">
        <v>850</v>
      </c>
      <c r="F15" s="1199">
        <v>100000</v>
      </c>
      <c r="G15" s="1177"/>
    </row>
    <row r="16" spans="1:20">
      <c r="A16" s="1178">
        <v>3</v>
      </c>
      <c r="B16" s="1179"/>
      <c r="C16" s="1180" t="s">
        <v>96</v>
      </c>
      <c r="D16" s="1182" t="s">
        <v>162</v>
      </c>
      <c r="E16" s="1183" t="s">
        <v>850</v>
      </c>
      <c r="F16" s="1200">
        <v>100000</v>
      </c>
      <c r="G16" s="1183"/>
    </row>
    <row r="17" spans="1:7">
      <c r="A17" s="4700" t="s">
        <v>842</v>
      </c>
      <c r="B17" s="4701"/>
      <c r="C17" s="4701"/>
      <c r="D17" s="4702"/>
      <c r="E17" s="1201"/>
      <c r="F17" s="1202">
        <f>SUM(F14:F16)</f>
        <v>300000</v>
      </c>
      <c r="G17" s="1201"/>
    </row>
    <row r="18" spans="1:7">
      <c r="A18" s="1203">
        <v>1</v>
      </c>
      <c r="B18" s="1204"/>
      <c r="C18" s="1205" t="s">
        <v>274</v>
      </c>
      <c r="D18" s="1206" t="s">
        <v>258</v>
      </c>
      <c r="E18" s="1207" t="s">
        <v>851</v>
      </c>
      <c r="F18" s="1208">
        <v>100000</v>
      </c>
      <c r="G18" s="1207"/>
    </row>
    <row r="19" spans="1:7">
      <c r="A19" s="1172">
        <v>2</v>
      </c>
      <c r="B19" s="1173"/>
      <c r="C19" s="1209" t="s">
        <v>275</v>
      </c>
      <c r="D19" s="1176" t="s">
        <v>258</v>
      </c>
      <c r="E19" s="1207" t="s">
        <v>851</v>
      </c>
      <c r="F19" s="1208">
        <v>100000</v>
      </c>
      <c r="G19" s="1177"/>
    </row>
    <row r="20" spans="1:7">
      <c r="A20" s="1172">
        <v>3</v>
      </c>
      <c r="B20" s="1173"/>
      <c r="C20" s="1174" t="s">
        <v>276</v>
      </c>
      <c r="D20" s="1176" t="s">
        <v>258</v>
      </c>
      <c r="E20" s="1207" t="s">
        <v>851</v>
      </c>
      <c r="F20" s="1208">
        <v>100000</v>
      </c>
      <c r="G20" s="1177"/>
    </row>
    <row r="21" spans="1:7">
      <c r="A21" s="1203">
        <v>4</v>
      </c>
      <c r="B21" s="1173"/>
      <c r="C21" s="1209" t="s">
        <v>713</v>
      </c>
      <c r="D21" s="1176" t="s">
        <v>258</v>
      </c>
      <c r="E21" s="1207" t="s">
        <v>851</v>
      </c>
      <c r="F21" s="1208">
        <v>100000</v>
      </c>
      <c r="G21" s="1177"/>
    </row>
    <row r="22" spans="1:7">
      <c r="A22" s="4700" t="s">
        <v>851</v>
      </c>
      <c r="B22" s="4701"/>
      <c r="C22" s="4701"/>
      <c r="D22" s="4702"/>
      <c r="E22" s="1166"/>
      <c r="F22" s="1202">
        <f>SUM(F18:F21)</f>
        <v>400000</v>
      </c>
      <c r="G22" s="1166"/>
    </row>
    <row r="23" spans="1:7">
      <c r="A23" s="1167">
        <v>1</v>
      </c>
      <c r="B23" s="1168"/>
      <c r="C23" s="1197" t="s">
        <v>739</v>
      </c>
      <c r="D23" s="1170" t="s">
        <v>40</v>
      </c>
      <c r="E23" s="1171" t="s">
        <v>272</v>
      </c>
      <c r="F23" s="1198">
        <v>100000</v>
      </c>
      <c r="G23" s="1171"/>
    </row>
    <row r="24" spans="1:7">
      <c r="A24" s="1172">
        <v>2</v>
      </c>
      <c r="B24" s="1173"/>
      <c r="C24" s="1174" t="s">
        <v>767</v>
      </c>
      <c r="D24" s="1176" t="s">
        <v>40</v>
      </c>
      <c r="E24" s="1177" t="s">
        <v>272</v>
      </c>
      <c r="F24" s="1199">
        <v>100000</v>
      </c>
      <c r="G24" s="1177"/>
    </row>
    <row r="25" spans="1:7">
      <c r="A25" s="1172">
        <v>3</v>
      </c>
      <c r="B25" s="1173"/>
      <c r="C25" s="1174" t="s">
        <v>653</v>
      </c>
      <c r="D25" s="1176" t="s">
        <v>40</v>
      </c>
      <c r="E25" s="1177" t="s">
        <v>272</v>
      </c>
      <c r="F25" s="1199">
        <v>100000</v>
      </c>
      <c r="G25" s="1177"/>
    </row>
    <row r="26" spans="1:7">
      <c r="A26" s="1172">
        <v>4</v>
      </c>
      <c r="B26" s="1173"/>
      <c r="C26" s="1174" t="s">
        <v>740</v>
      </c>
      <c r="D26" s="1176" t="s">
        <v>40</v>
      </c>
      <c r="E26" s="1177" t="s">
        <v>272</v>
      </c>
      <c r="F26" s="1199">
        <v>100000</v>
      </c>
      <c r="G26" s="1177"/>
    </row>
    <row r="27" spans="1:7">
      <c r="A27" s="1172">
        <v>5</v>
      </c>
      <c r="B27" s="1173"/>
      <c r="C27" s="1174" t="s">
        <v>741</v>
      </c>
      <c r="D27" s="1176" t="s">
        <v>40</v>
      </c>
      <c r="E27" s="1177" t="s">
        <v>272</v>
      </c>
      <c r="F27" s="1199">
        <v>100000</v>
      </c>
      <c r="G27" s="1177"/>
    </row>
    <row r="28" spans="1:7">
      <c r="A28" s="1172">
        <v>6</v>
      </c>
      <c r="B28" s="1173"/>
      <c r="C28" s="1174" t="s">
        <v>742</v>
      </c>
      <c r="D28" s="1176" t="s">
        <v>40</v>
      </c>
      <c r="E28" s="1177" t="s">
        <v>272</v>
      </c>
      <c r="F28" s="1199">
        <v>100000</v>
      </c>
      <c r="G28" s="1177"/>
    </row>
    <row r="29" spans="1:7">
      <c r="A29" s="1172">
        <v>7</v>
      </c>
      <c r="B29" s="1173"/>
      <c r="C29" s="1174" t="s">
        <v>757</v>
      </c>
      <c r="D29" s="1176" t="s">
        <v>40</v>
      </c>
      <c r="E29" s="1177" t="s">
        <v>272</v>
      </c>
      <c r="F29" s="1199">
        <v>100000</v>
      </c>
      <c r="G29" s="1177"/>
    </row>
    <row r="30" spans="1:7">
      <c r="A30" s="1172">
        <v>8</v>
      </c>
      <c r="B30" s="1173"/>
      <c r="C30" s="1174" t="s">
        <v>750</v>
      </c>
      <c r="D30" s="1176" t="s">
        <v>40</v>
      </c>
      <c r="E30" s="1177" t="s">
        <v>272</v>
      </c>
      <c r="F30" s="1199">
        <v>100000</v>
      </c>
      <c r="G30" s="1177"/>
    </row>
    <row r="31" spans="1:7">
      <c r="A31" s="1172">
        <v>9</v>
      </c>
      <c r="B31" s="1173"/>
      <c r="C31" s="1174" t="s">
        <v>763</v>
      </c>
      <c r="D31" s="1176" t="s">
        <v>40</v>
      </c>
      <c r="E31" s="1177" t="s">
        <v>272</v>
      </c>
      <c r="F31" s="1199">
        <v>100000</v>
      </c>
      <c r="G31" s="1177"/>
    </row>
    <row r="32" spans="1:7">
      <c r="A32" s="1172">
        <v>10</v>
      </c>
      <c r="B32" s="1173"/>
      <c r="C32" s="1174" t="s">
        <v>743</v>
      </c>
      <c r="D32" s="1176" t="s">
        <v>40</v>
      </c>
      <c r="E32" s="1177" t="s">
        <v>272</v>
      </c>
      <c r="F32" s="1199">
        <v>100000</v>
      </c>
      <c r="G32" s="1177"/>
    </row>
    <row r="33" spans="1:7">
      <c r="A33" s="1172">
        <v>11</v>
      </c>
      <c r="B33" s="1173"/>
      <c r="C33" s="1174" t="s">
        <v>405</v>
      </c>
      <c r="D33" s="1176" t="s">
        <v>40</v>
      </c>
      <c r="E33" s="1177" t="s">
        <v>272</v>
      </c>
      <c r="F33" s="1199">
        <v>100000</v>
      </c>
      <c r="G33" s="1177"/>
    </row>
    <row r="34" spans="1:7">
      <c r="A34" s="1172">
        <v>12</v>
      </c>
      <c r="B34" s="1173"/>
      <c r="C34" s="1174" t="s">
        <v>751</v>
      </c>
      <c r="D34" s="1176" t="s">
        <v>40</v>
      </c>
      <c r="E34" s="1177" t="s">
        <v>272</v>
      </c>
      <c r="F34" s="1199">
        <v>100000</v>
      </c>
      <c r="G34" s="1177"/>
    </row>
    <row r="35" spans="1:7">
      <c r="A35" s="1172">
        <v>13</v>
      </c>
      <c r="B35" s="1173"/>
      <c r="C35" s="1174" t="s">
        <v>203</v>
      </c>
      <c r="D35" s="1176" t="s">
        <v>40</v>
      </c>
      <c r="E35" s="1177" t="s">
        <v>272</v>
      </c>
      <c r="F35" s="1199">
        <v>100000</v>
      </c>
      <c r="G35" s="1177"/>
    </row>
    <row r="36" spans="1:7">
      <c r="A36" s="1172">
        <v>14</v>
      </c>
      <c r="B36" s="1173"/>
      <c r="C36" s="1174" t="s">
        <v>744</v>
      </c>
      <c r="D36" s="1176" t="s">
        <v>40</v>
      </c>
      <c r="E36" s="1177" t="s">
        <v>272</v>
      </c>
      <c r="F36" s="1199">
        <v>100000</v>
      </c>
      <c r="G36" s="1177"/>
    </row>
    <row r="37" spans="1:7">
      <c r="A37" s="1172">
        <v>15</v>
      </c>
      <c r="B37" s="1173"/>
      <c r="C37" s="1174" t="s">
        <v>583</v>
      </c>
      <c r="D37" s="1176" t="s">
        <v>40</v>
      </c>
      <c r="E37" s="1177" t="s">
        <v>272</v>
      </c>
      <c r="F37" s="1199">
        <v>100000</v>
      </c>
      <c r="G37" s="1177"/>
    </row>
    <row r="38" spans="1:7">
      <c r="A38" s="1172">
        <v>16</v>
      </c>
      <c r="B38" s="1173"/>
      <c r="C38" s="1174" t="s">
        <v>270</v>
      </c>
      <c r="D38" s="1176" t="s">
        <v>40</v>
      </c>
      <c r="E38" s="1177" t="s">
        <v>272</v>
      </c>
      <c r="F38" s="1199">
        <v>100000</v>
      </c>
      <c r="G38" s="1177"/>
    </row>
    <row r="39" spans="1:7">
      <c r="A39" s="1172">
        <v>17</v>
      </c>
      <c r="B39" s="1173"/>
      <c r="C39" s="1174" t="s">
        <v>661</v>
      </c>
      <c r="D39" s="1176" t="s">
        <v>40</v>
      </c>
      <c r="E39" s="1177" t="s">
        <v>272</v>
      </c>
      <c r="F39" s="1199">
        <v>100000</v>
      </c>
      <c r="G39" s="1177"/>
    </row>
    <row r="40" spans="1:7">
      <c r="A40" s="1172">
        <v>18</v>
      </c>
      <c r="B40" s="1173"/>
      <c r="C40" s="1174" t="s">
        <v>748</v>
      </c>
      <c r="D40" s="1176" t="s">
        <v>40</v>
      </c>
      <c r="E40" s="1177" t="s">
        <v>272</v>
      </c>
      <c r="F40" s="1199">
        <v>100000</v>
      </c>
      <c r="G40" s="1177"/>
    </row>
    <row r="41" spans="1:7">
      <c r="A41" s="1172">
        <v>19</v>
      </c>
      <c r="B41" s="1173"/>
      <c r="C41" s="1174" t="s">
        <v>752</v>
      </c>
      <c r="D41" s="1176" t="s">
        <v>40</v>
      </c>
      <c r="E41" s="1177" t="s">
        <v>272</v>
      </c>
      <c r="F41" s="1199">
        <v>100000</v>
      </c>
      <c r="G41" s="1177"/>
    </row>
    <row r="42" spans="1:7">
      <c r="A42" s="1172">
        <v>20</v>
      </c>
      <c r="B42" s="1173"/>
      <c r="C42" s="1174" t="s">
        <v>735</v>
      </c>
      <c r="D42" s="1176" t="s">
        <v>40</v>
      </c>
      <c r="E42" s="1177" t="s">
        <v>272</v>
      </c>
      <c r="F42" s="1199">
        <v>100000</v>
      </c>
      <c r="G42" s="1177"/>
    </row>
    <row r="43" spans="1:7">
      <c r="A43" s="1172">
        <v>21</v>
      </c>
      <c r="B43" s="1173"/>
      <c r="C43" s="1174" t="s">
        <v>758</v>
      </c>
      <c r="D43" s="1176" t="s">
        <v>40</v>
      </c>
      <c r="E43" s="1177" t="s">
        <v>272</v>
      </c>
      <c r="F43" s="1199">
        <v>100000</v>
      </c>
      <c r="G43" s="1177"/>
    </row>
    <row r="44" spans="1:7">
      <c r="A44" s="1172">
        <v>22</v>
      </c>
      <c r="B44" s="1173"/>
      <c r="C44" s="1174" t="s">
        <v>746</v>
      </c>
      <c r="D44" s="1176" t="s">
        <v>40</v>
      </c>
      <c r="E44" s="1177" t="s">
        <v>272</v>
      </c>
      <c r="F44" s="1199">
        <v>100000</v>
      </c>
      <c r="G44" s="1177"/>
    </row>
    <row r="45" spans="1:7">
      <c r="A45" s="1172">
        <v>23</v>
      </c>
      <c r="B45" s="1173"/>
      <c r="C45" s="1174" t="s">
        <v>754</v>
      </c>
      <c r="D45" s="1176" t="s">
        <v>40</v>
      </c>
      <c r="E45" s="1177" t="s">
        <v>272</v>
      </c>
      <c r="F45" s="1199">
        <v>100000</v>
      </c>
      <c r="G45" s="1177"/>
    </row>
    <row r="46" spans="1:7">
      <c r="A46" s="1172">
        <v>24</v>
      </c>
      <c r="B46" s="1173"/>
      <c r="C46" s="1174" t="s">
        <v>749</v>
      </c>
      <c r="D46" s="1176" t="s">
        <v>40</v>
      </c>
      <c r="E46" s="1177" t="s">
        <v>272</v>
      </c>
      <c r="F46" s="1199">
        <v>100000</v>
      </c>
      <c r="G46" s="1177"/>
    </row>
    <row r="47" spans="1:7">
      <c r="A47" s="1172">
        <v>25</v>
      </c>
      <c r="B47" s="1173"/>
      <c r="C47" s="1174" t="s">
        <v>760</v>
      </c>
      <c r="D47" s="1176" t="s">
        <v>40</v>
      </c>
      <c r="E47" s="1177" t="s">
        <v>272</v>
      </c>
      <c r="F47" s="1199">
        <v>100000</v>
      </c>
      <c r="G47" s="1177"/>
    </row>
    <row r="48" spans="1:7">
      <c r="A48" s="1172">
        <v>26</v>
      </c>
      <c r="B48" s="1173"/>
      <c r="C48" s="1174" t="s">
        <v>759</v>
      </c>
      <c r="D48" s="1176" t="s">
        <v>40</v>
      </c>
      <c r="E48" s="1177" t="s">
        <v>272</v>
      </c>
      <c r="F48" s="1199">
        <v>100000</v>
      </c>
      <c r="G48" s="1177"/>
    </row>
    <row r="49" spans="1:7">
      <c r="A49" s="1172">
        <v>27</v>
      </c>
      <c r="B49" s="1173"/>
      <c r="C49" s="1174" t="s">
        <v>761</v>
      </c>
      <c r="D49" s="1176" t="s">
        <v>40</v>
      </c>
      <c r="E49" s="1177" t="s">
        <v>272</v>
      </c>
      <c r="F49" s="1199">
        <v>100000</v>
      </c>
      <c r="G49" s="1177"/>
    </row>
    <row r="50" spans="1:7">
      <c r="A50" s="1178">
        <v>28</v>
      </c>
      <c r="B50" s="1179"/>
      <c r="C50" s="1180" t="s">
        <v>762</v>
      </c>
      <c r="D50" s="1182" t="s">
        <v>40</v>
      </c>
      <c r="E50" s="1183" t="s">
        <v>272</v>
      </c>
      <c r="F50" s="1200">
        <v>100000</v>
      </c>
      <c r="G50" s="1183"/>
    </row>
    <row r="51" spans="1:7">
      <c r="A51" s="3744" t="s">
        <v>272</v>
      </c>
      <c r="B51" s="3744"/>
      <c r="C51" s="3744"/>
      <c r="D51" s="3744"/>
      <c r="E51" s="1166"/>
      <c r="F51" s="1202">
        <f>SUM(F23:F50)</f>
        <v>2800000</v>
      </c>
      <c r="G51" s="1212"/>
    </row>
    <row r="52" spans="1:7">
      <c r="A52" s="1167">
        <v>1</v>
      </c>
      <c r="B52" s="1168"/>
      <c r="C52" s="1213" t="s">
        <v>409</v>
      </c>
      <c r="D52" s="1170" t="s">
        <v>40</v>
      </c>
      <c r="E52" s="1171" t="s">
        <v>273</v>
      </c>
      <c r="F52" s="1198">
        <v>100000</v>
      </c>
      <c r="G52" s="1214"/>
    </row>
    <row r="53" spans="1:7">
      <c r="A53" s="1172">
        <v>2</v>
      </c>
      <c r="B53" s="1173"/>
      <c r="C53" s="1210" t="s">
        <v>274</v>
      </c>
      <c r="D53" s="1176" t="s">
        <v>40</v>
      </c>
      <c r="E53" s="1177" t="s">
        <v>273</v>
      </c>
      <c r="F53" s="1199">
        <v>100000</v>
      </c>
      <c r="G53" s="1215"/>
    </row>
    <row r="54" spans="1:7">
      <c r="A54" s="1172">
        <v>3</v>
      </c>
      <c r="B54" s="1173"/>
      <c r="C54" s="1210" t="s">
        <v>410</v>
      </c>
      <c r="D54" s="1176" t="s">
        <v>40</v>
      </c>
      <c r="E54" s="1177" t="s">
        <v>273</v>
      </c>
      <c r="F54" s="1199">
        <v>100000</v>
      </c>
      <c r="G54" s="1215"/>
    </row>
    <row r="55" spans="1:7">
      <c r="A55" s="1172">
        <v>4</v>
      </c>
      <c r="B55" s="1173"/>
      <c r="C55" s="1210" t="s">
        <v>600</v>
      </c>
      <c r="D55" s="1176" t="s">
        <v>40</v>
      </c>
      <c r="E55" s="1177" t="s">
        <v>273</v>
      </c>
      <c r="F55" s="1199">
        <v>100000</v>
      </c>
      <c r="G55" s="1215"/>
    </row>
    <row r="56" spans="1:7">
      <c r="A56" s="1178">
        <v>5</v>
      </c>
      <c r="B56" s="1179"/>
      <c r="C56" s="1211" t="s">
        <v>745</v>
      </c>
      <c r="D56" s="1182" t="s">
        <v>40</v>
      </c>
      <c r="E56" s="1183" t="s">
        <v>273</v>
      </c>
      <c r="F56" s="1200">
        <v>100000</v>
      </c>
      <c r="G56" s="1216"/>
    </row>
    <row r="57" spans="1:7">
      <c r="A57" s="3744" t="s">
        <v>273</v>
      </c>
      <c r="B57" s="3744"/>
      <c r="C57" s="3744"/>
      <c r="D57" s="3744"/>
      <c r="E57" s="1166"/>
      <c r="F57" s="1202">
        <f>SUM(F52:F56)</f>
        <v>500000</v>
      </c>
      <c r="G57" s="1212"/>
    </row>
    <row r="58" spans="1:7">
      <c r="A58" s="1167">
        <v>1</v>
      </c>
      <c r="B58" s="1168"/>
      <c r="C58" s="1233" t="s">
        <v>747</v>
      </c>
      <c r="D58" s="1170" t="s">
        <v>40</v>
      </c>
      <c r="E58" s="1171" t="s">
        <v>790</v>
      </c>
      <c r="F58" s="1198">
        <v>100000</v>
      </c>
      <c r="G58" s="1214"/>
    </row>
    <row r="59" spans="1:7">
      <c r="A59" s="1172">
        <v>2</v>
      </c>
      <c r="B59" s="1173"/>
      <c r="C59" s="1070" t="s">
        <v>771</v>
      </c>
      <c r="D59" s="1176" t="s">
        <v>40</v>
      </c>
      <c r="E59" s="1177" t="s">
        <v>790</v>
      </c>
      <c r="F59" s="1199">
        <v>100000</v>
      </c>
      <c r="G59" s="1215"/>
    </row>
    <row r="60" spans="1:7">
      <c r="A60" s="1178">
        <v>3</v>
      </c>
      <c r="B60" s="1179"/>
      <c r="C60" s="1378" t="s">
        <v>373</v>
      </c>
      <c r="D60" s="1182" t="s">
        <v>40</v>
      </c>
      <c r="E60" s="1183" t="s">
        <v>790</v>
      </c>
      <c r="F60" s="1200">
        <v>100000</v>
      </c>
      <c r="G60" s="1216"/>
    </row>
    <row r="61" spans="1:7">
      <c r="A61" s="4700" t="s">
        <v>790</v>
      </c>
      <c r="B61" s="4701"/>
      <c r="C61" s="4701"/>
      <c r="D61" s="4702"/>
      <c r="E61" s="1166"/>
      <c r="F61" s="1202">
        <f>SUM(F58:F60)</f>
        <v>300000</v>
      </c>
      <c r="G61" s="1212"/>
    </row>
    <row r="62" spans="1:7">
      <c r="A62" s="4703" t="s">
        <v>688</v>
      </c>
      <c r="B62" s="4704"/>
      <c r="C62" s="4704"/>
      <c r="D62" s="4704"/>
      <c r="E62" s="1217"/>
      <c r="F62" s="1218">
        <f>+F61+F57+F51+F22+F17</f>
        <v>4300000</v>
      </c>
      <c r="G62" s="1219"/>
    </row>
    <row r="63" spans="1:7">
      <c r="A63" s="1220"/>
      <c r="B63" s="1220"/>
      <c r="C63" s="1220"/>
      <c r="D63" s="1220"/>
      <c r="E63" s="4705" t="s">
        <v>852</v>
      </c>
      <c r="F63" s="4705"/>
      <c r="G63" s="4705"/>
    </row>
    <row r="64" spans="1:7" s="1222" customFormat="1">
      <c r="A64" s="4706" t="s">
        <v>832</v>
      </c>
      <c r="B64" s="4706"/>
      <c r="C64" s="4706"/>
      <c r="D64" s="1225" t="s">
        <v>833</v>
      </c>
      <c r="E64" s="4707" t="s">
        <v>167</v>
      </c>
      <c r="F64" s="4707"/>
      <c r="G64" s="1232" t="s">
        <v>42</v>
      </c>
    </row>
    <row r="65" spans="1:7" s="1222" customFormat="1">
      <c r="A65" s="1223"/>
      <c r="B65" s="4706"/>
      <c r="C65" s="4706"/>
      <c r="D65" s="4706"/>
      <c r="E65" s="4706"/>
      <c r="F65" s="1224"/>
      <c r="G65" s="1225"/>
    </row>
    <row r="66" spans="1:7" s="1222" customFormat="1" ht="18.75">
      <c r="A66" s="1226"/>
      <c r="B66" s="1226"/>
      <c r="C66" s="1227"/>
      <c r="D66" s="1228"/>
      <c r="E66" s="1228"/>
      <c r="F66" s="1226"/>
      <c r="G66" s="1226"/>
    </row>
    <row r="67" spans="1:7" s="1222" customFormat="1" ht="18.75">
      <c r="A67" s="1226"/>
      <c r="B67" s="1226"/>
      <c r="C67" s="1227"/>
      <c r="D67" s="1228"/>
      <c r="E67" s="1229"/>
      <c r="F67" s="1226"/>
      <c r="G67" s="1226"/>
    </row>
    <row r="68" spans="1:7" s="1222" customFormat="1" ht="18.75">
      <c r="A68" s="1226"/>
      <c r="B68" s="1226"/>
      <c r="C68" s="1227"/>
      <c r="D68" s="1228"/>
      <c r="E68" s="1229"/>
      <c r="F68" s="1226"/>
      <c r="G68" s="1226"/>
    </row>
    <row r="69" spans="1:7" s="1222" customFormat="1" ht="18.75">
      <c r="A69" s="1226"/>
      <c r="B69" s="1226"/>
      <c r="C69" s="1227"/>
      <c r="D69" s="1230"/>
      <c r="E69" s="1231"/>
      <c r="F69" s="1227"/>
      <c r="G69" s="1226"/>
    </row>
    <row r="70" spans="1:7" ht="18.75">
      <c r="A70" s="1141"/>
      <c r="B70" s="1141"/>
      <c r="C70" s="1142"/>
      <c r="D70" s="1148"/>
      <c r="E70" s="1149"/>
      <c r="F70" s="1150"/>
      <c r="G70" s="1141"/>
    </row>
    <row r="71" spans="1:7" ht="18.75">
      <c r="A71" s="1141"/>
      <c r="B71" s="1141"/>
      <c r="C71" s="1142"/>
      <c r="D71" s="1146"/>
      <c r="E71" s="1151"/>
      <c r="F71" s="1152"/>
      <c r="G71" s="1141"/>
    </row>
    <row r="72" spans="1:7" ht="18.75">
      <c r="A72" s="1141"/>
      <c r="B72" s="1141"/>
      <c r="C72" s="1141"/>
      <c r="D72" s="1146"/>
      <c r="E72" s="1147"/>
      <c r="F72" s="1141"/>
      <c r="G72" s="1141"/>
    </row>
    <row r="73" spans="1:7">
      <c r="A73" s="1132"/>
      <c r="B73" s="1132"/>
      <c r="C73" s="1132"/>
      <c r="E73" s="1153"/>
      <c r="F73" s="1154"/>
      <c r="G73" s="1154"/>
    </row>
    <row r="74" spans="1:7">
      <c r="A74" s="1132"/>
      <c r="B74" s="1132"/>
      <c r="C74" s="1132"/>
    </row>
    <row r="75" spans="1:7">
      <c r="A75" s="1132"/>
      <c r="B75" s="1132"/>
      <c r="C75" s="1156"/>
      <c r="F75" s="1156"/>
    </row>
    <row r="76" spans="1:7">
      <c r="A76" s="1132"/>
      <c r="B76" s="1132"/>
      <c r="C76" s="1132"/>
    </row>
    <row r="77" spans="1:7">
      <c r="A77" s="1132"/>
      <c r="B77" s="1132"/>
      <c r="C77" s="1132"/>
      <c r="D77" s="1157"/>
      <c r="G77" s="1158"/>
    </row>
    <row r="78" spans="1:7">
      <c r="A78" s="1132"/>
      <c r="B78" s="1132"/>
      <c r="C78" s="1132"/>
      <c r="E78" s="1159"/>
      <c r="F78" s="1160"/>
    </row>
    <row r="79" spans="1:7">
      <c r="C79" s="1162"/>
      <c r="F79" s="1156"/>
    </row>
    <row r="81" spans="1:5">
      <c r="C81" s="1164"/>
    </row>
    <row r="82" spans="1:5">
      <c r="A82" s="1132"/>
      <c r="B82" s="1132"/>
      <c r="C82" s="1132"/>
    </row>
    <row r="83" spans="1:5">
      <c r="A83" s="1132"/>
      <c r="B83" s="1132"/>
      <c r="C83" s="1132"/>
    </row>
    <row r="84" spans="1:5">
      <c r="A84" s="1132"/>
      <c r="B84" s="1132"/>
      <c r="C84" s="1132"/>
      <c r="D84" s="1132"/>
      <c r="E84" s="1132"/>
    </row>
    <row r="87" spans="1:5">
      <c r="A87" s="1132"/>
      <c r="B87" s="1132"/>
      <c r="C87" s="1132"/>
      <c r="D87" s="1132"/>
      <c r="E87" s="1132"/>
    </row>
  </sheetData>
  <mergeCells count="23">
    <mergeCell ref="A62:D62"/>
    <mergeCell ref="E63:G63"/>
    <mergeCell ref="A64:C64"/>
    <mergeCell ref="B65:E65"/>
    <mergeCell ref="E64:F64"/>
    <mergeCell ref="G11:G13"/>
    <mergeCell ref="A17:D17"/>
    <mergeCell ref="A22:D22"/>
    <mergeCell ref="A51:D51"/>
    <mergeCell ref="A57:D57"/>
    <mergeCell ref="E11:E13"/>
    <mergeCell ref="F11:F13"/>
    <mergeCell ref="A61:D61"/>
    <mergeCell ref="B10:C10"/>
    <mergeCell ref="A11:A13"/>
    <mergeCell ref="B11:C12"/>
    <mergeCell ref="D11:D13"/>
    <mergeCell ref="A5:D5"/>
    <mergeCell ref="A1:G1"/>
    <mergeCell ref="A2:G2"/>
    <mergeCell ref="B9:C9"/>
    <mergeCell ref="A7:G7"/>
    <mergeCell ref="A8:G8"/>
  </mergeCells>
  <pageMargins left="0.19685039370078741" right="0.19685039370078741" top="0.51181102362204722" bottom="0.55118110236220474" header="0.31496062992125984" footer="0.31496062992125984"/>
  <pageSetup paperSize="9" orientation="portrait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workbookViewId="0">
      <selection activeCell="M23" sqref="M23"/>
    </sheetView>
  </sheetViews>
  <sheetFormatPr defaultRowHeight="14.25"/>
  <cols>
    <col min="1" max="1" width="19.75" customWidth="1"/>
    <col min="2" max="2" width="11.75" customWidth="1"/>
    <col min="3" max="3" width="7.25" customWidth="1"/>
    <col min="4" max="4" width="9.75" customWidth="1"/>
    <col min="5" max="6" width="0" hidden="1" customWidth="1"/>
    <col min="8" max="8" width="10.875" customWidth="1"/>
    <col min="9" max="9" width="8.875" customWidth="1"/>
    <col min="10" max="10" width="9.375" customWidth="1"/>
    <col min="11" max="11" width="8.875" customWidth="1"/>
    <col min="12" max="12" width="9" customWidth="1"/>
    <col min="13" max="13" width="10.25" customWidth="1"/>
    <col min="14" max="14" width="6.625" customWidth="1"/>
  </cols>
  <sheetData>
    <row r="1" spans="1:16" ht="16.5">
      <c r="A1" s="4081" t="s">
        <v>165</v>
      </c>
      <c r="B1" s="4081"/>
      <c r="C1" s="4081"/>
      <c r="D1" s="4081"/>
      <c r="E1" s="4081"/>
      <c r="F1" s="4081"/>
      <c r="G1" s="4081"/>
      <c r="H1" s="4081"/>
      <c r="I1" s="4081"/>
      <c r="J1" s="4081"/>
      <c r="K1" s="4081"/>
      <c r="L1" s="4081"/>
      <c r="M1" s="4081"/>
      <c r="N1" s="4081"/>
    </row>
    <row r="2" spans="1:16" ht="16.5">
      <c r="A2" s="4081" t="s">
        <v>171</v>
      </c>
      <c r="B2" s="4081"/>
      <c r="C2" s="4081"/>
      <c r="D2" s="4081"/>
      <c r="E2" s="4081"/>
      <c r="F2" s="4081"/>
      <c r="G2" s="4081"/>
      <c r="H2" s="4081"/>
      <c r="I2" s="4081"/>
      <c r="J2" s="4081"/>
      <c r="K2" s="4081"/>
      <c r="L2" s="4081"/>
      <c r="M2" s="4081"/>
      <c r="N2" s="4081"/>
    </row>
    <row r="3" spans="1:16" ht="16.5">
      <c r="A3" s="4087"/>
      <c r="B3" s="4087"/>
      <c r="C3" s="4087"/>
      <c r="D3" s="4087"/>
      <c r="E3" s="4087"/>
      <c r="F3" s="4087"/>
      <c r="G3" s="4087"/>
      <c r="H3" s="4087"/>
      <c r="I3" s="4087"/>
      <c r="J3" s="4087"/>
      <c r="K3" s="4087"/>
      <c r="L3" s="4087"/>
      <c r="M3" s="4087"/>
      <c r="N3" s="4087"/>
    </row>
    <row r="4" spans="1:16" ht="16.5">
      <c r="A4" s="3800" t="s">
        <v>574</v>
      </c>
      <c r="B4" s="3800"/>
      <c r="C4" s="3800"/>
      <c r="D4" s="3800"/>
      <c r="E4" s="3800"/>
      <c r="F4" s="3800"/>
      <c r="G4" s="3800"/>
      <c r="H4" s="913"/>
      <c r="I4" s="913"/>
      <c r="J4" s="913"/>
      <c r="K4" s="913"/>
      <c r="L4" s="913"/>
      <c r="M4" s="1242"/>
      <c r="N4" s="1242"/>
    </row>
    <row r="5" spans="1:16" ht="16.5">
      <c r="A5" s="3799" t="s">
        <v>541</v>
      </c>
      <c r="B5" s="3799"/>
      <c r="C5" s="3799"/>
      <c r="D5" s="3799"/>
      <c r="E5" s="3799"/>
      <c r="F5" s="3799"/>
      <c r="G5" s="3799"/>
      <c r="H5" s="1243"/>
      <c r="I5" s="1243"/>
      <c r="J5" s="1243"/>
      <c r="K5" s="1243"/>
      <c r="L5" s="1243"/>
      <c r="M5" s="1242"/>
      <c r="N5" s="1242"/>
    </row>
    <row r="6" spans="1:16" ht="16.5">
      <c r="A6" s="913"/>
      <c r="B6" s="913"/>
      <c r="C6" s="913"/>
      <c r="D6" s="913"/>
      <c r="E6" s="913"/>
      <c r="F6" s="913"/>
      <c r="G6" s="913"/>
      <c r="H6" s="1243"/>
      <c r="I6" s="1243"/>
      <c r="J6" s="1243"/>
      <c r="K6" s="1243"/>
      <c r="L6" s="1243"/>
      <c r="M6" s="1242"/>
      <c r="N6" s="1242"/>
    </row>
    <row r="7" spans="1:16" ht="20.25">
      <c r="A7" s="4711" t="s">
        <v>864</v>
      </c>
      <c r="B7" s="4711"/>
      <c r="C7" s="4711"/>
      <c r="D7" s="4711"/>
      <c r="E7" s="4711"/>
      <c r="F7" s="4711"/>
      <c r="G7" s="4711"/>
      <c r="H7" s="4711"/>
      <c r="I7" s="4711"/>
      <c r="J7" s="4711"/>
      <c r="K7" s="4711"/>
      <c r="L7" s="4711"/>
      <c r="M7" s="4711"/>
      <c r="N7" s="4711"/>
      <c r="O7" s="1272"/>
      <c r="P7" s="1272"/>
    </row>
    <row r="8" spans="1:16" ht="18.75">
      <c r="A8" s="1244" t="s">
        <v>603</v>
      </c>
      <c r="B8" s="1245">
        <v>20599</v>
      </c>
      <c r="C8" s="1245"/>
      <c r="D8" s="1234"/>
      <c r="E8" s="1234"/>
      <c r="F8" s="1234"/>
      <c r="G8" s="1234"/>
      <c r="H8" s="1234"/>
      <c r="I8" s="1234"/>
      <c r="J8" s="1234"/>
      <c r="K8" s="1234"/>
      <c r="L8" s="1234"/>
      <c r="M8" s="1246"/>
      <c r="N8" s="1246"/>
    </row>
    <row r="9" spans="1:16" ht="18.75">
      <c r="A9" s="1244" t="s">
        <v>604</v>
      </c>
      <c r="B9" s="1247">
        <v>0.98909999999999998</v>
      </c>
      <c r="C9" s="1247"/>
      <c r="D9" s="1234"/>
      <c r="E9" s="1234"/>
      <c r="F9" s="1234"/>
      <c r="G9" s="1234"/>
      <c r="H9" s="1234"/>
      <c r="I9" s="1234"/>
      <c r="J9" s="1234"/>
      <c r="K9" s="1234"/>
      <c r="L9" s="1234"/>
      <c r="M9" s="1248"/>
      <c r="N9" s="1246"/>
    </row>
    <row r="10" spans="1:16" ht="15.75">
      <c r="A10" s="4714" t="s">
        <v>20</v>
      </c>
      <c r="B10" s="4714" t="s">
        <v>5</v>
      </c>
      <c r="C10" s="4715" t="s">
        <v>7</v>
      </c>
      <c r="D10" s="4717" t="s">
        <v>6</v>
      </c>
      <c r="E10" s="1249"/>
      <c r="F10" s="1250"/>
      <c r="G10" s="4719" t="s">
        <v>858</v>
      </c>
      <c r="H10" s="4720"/>
      <c r="I10" s="4720"/>
      <c r="J10" s="4720"/>
      <c r="K10" s="4720"/>
      <c r="L10" s="4720"/>
      <c r="M10" s="4721" t="s">
        <v>184</v>
      </c>
      <c r="N10" s="4712" t="s">
        <v>634</v>
      </c>
    </row>
    <row r="11" spans="1:16" ht="15.75">
      <c r="A11" s="4714"/>
      <c r="B11" s="4714"/>
      <c r="C11" s="4716"/>
      <c r="D11" s="4718"/>
      <c r="E11" s="1251"/>
      <c r="F11" s="1252"/>
      <c r="G11" s="1253" t="s">
        <v>859</v>
      </c>
      <c r="H11" s="1253" t="s">
        <v>865</v>
      </c>
      <c r="I11" s="1253" t="s">
        <v>860</v>
      </c>
      <c r="J11" s="1253" t="s">
        <v>861</v>
      </c>
      <c r="K11" s="1253" t="s">
        <v>862</v>
      </c>
      <c r="L11" s="1253" t="s">
        <v>866</v>
      </c>
      <c r="M11" s="4721"/>
      <c r="N11" s="4713"/>
    </row>
    <row r="12" spans="1:16" ht="15.75">
      <c r="A12" s="1254" t="s">
        <v>863</v>
      </c>
      <c r="B12" s="1254"/>
      <c r="C12" s="1254"/>
      <c r="D12" s="1255">
        <f>SUM(D13:E13)</f>
        <v>490</v>
      </c>
      <c r="E12" s="1256">
        <f>SUM(E13:F13)</f>
        <v>490</v>
      </c>
      <c r="F12" s="1256">
        <f>SUM(F13:G13)</f>
        <v>588</v>
      </c>
      <c r="G12" s="1257">
        <f>SUM(G13)</f>
        <v>98</v>
      </c>
      <c r="H12" s="1257">
        <f>SUM(H13)</f>
        <v>245</v>
      </c>
      <c r="I12" s="1257">
        <f t="shared" ref="I12:L12" si="0">SUM(I13)</f>
        <v>245</v>
      </c>
      <c r="J12" s="1257">
        <f t="shared" si="0"/>
        <v>245</v>
      </c>
      <c r="K12" s="1257">
        <f t="shared" si="0"/>
        <v>245</v>
      </c>
      <c r="L12" s="1257">
        <f t="shared" si="0"/>
        <v>245</v>
      </c>
      <c r="M12" s="1256">
        <f>SUM(M13:N13)</f>
        <v>1323</v>
      </c>
      <c r="N12" s="1258"/>
    </row>
    <row r="13" spans="1:16" ht="15.75">
      <c r="A13" s="1259" t="s">
        <v>96</v>
      </c>
      <c r="B13" s="1259" t="s">
        <v>162</v>
      </c>
      <c r="C13" s="1259" t="s">
        <v>18</v>
      </c>
      <c r="D13" s="1260">
        <v>490</v>
      </c>
      <c r="E13" s="1255"/>
      <c r="F13" s="1261">
        <f t="shared" ref="F13" si="1">+D13-E13</f>
        <v>490</v>
      </c>
      <c r="G13" s="1262">
        <f>+D13-(490*0.8)</f>
        <v>98</v>
      </c>
      <c r="H13" s="1262">
        <v>245</v>
      </c>
      <c r="I13" s="1262">
        <f>490-245</f>
        <v>245</v>
      </c>
      <c r="J13" s="1262">
        <f t="shared" ref="J13:L13" si="2">490-245</f>
        <v>245</v>
      </c>
      <c r="K13" s="1262">
        <f t="shared" si="2"/>
        <v>245</v>
      </c>
      <c r="L13" s="1262">
        <f t="shared" si="2"/>
        <v>245</v>
      </c>
      <c r="M13" s="1263">
        <f>+SUM(G13:L13)</f>
        <v>1323</v>
      </c>
      <c r="N13" s="1264"/>
    </row>
    <row r="14" spans="1:16" ht="15.75">
      <c r="A14" s="4710" t="s">
        <v>869</v>
      </c>
      <c r="B14" s="4710"/>
      <c r="C14" s="4710"/>
      <c r="D14" s="4710"/>
      <c r="E14" s="4710"/>
      <c r="F14" s="4710"/>
      <c r="G14" s="4710"/>
      <c r="H14" s="4710"/>
      <c r="I14" s="4710"/>
      <c r="J14" s="4710"/>
      <c r="K14" s="4710"/>
      <c r="L14" s="4710"/>
      <c r="M14" s="4710"/>
      <c r="N14" s="4710"/>
      <c r="O14" s="1268"/>
      <c r="P14" s="1269"/>
    </row>
    <row r="15" spans="1:16" ht="15.75">
      <c r="A15" s="1243"/>
      <c r="B15" s="1243"/>
      <c r="C15" s="1270"/>
      <c r="D15" s="1270"/>
      <c r="E15" s="1270"/>
      <c r="F15" s="1270"/>
      <c r="G15" s="1270"/>
      <c r="H15" s="1270"/>
      <c r="I15" s="1270"/>
      <c r="J15" s="1270"/>
      <c r="K15" s="1270"/>
      <c r="L15" s="4709" t="s">
        <v>868</v>
      </c>
      <c r="M15" s="4709"/>
      <c r="N15" s="4709"/>
      <c r="O15" s="1271"/>
      <c r="P15" s="1271"/>
    </row>
    <row r="16" spans="1:16" ht="16.5">
      <c r="A16" s="4708" t="s">
        <v>46</v>
      </c>
      <c r="B16" s="4708"/>
      <c r="C16" s="1273" t="s">
        <v>867</v>
      </c>
      <c r="D16" s="1273"/>
      <c r="E16" s="1273"/>
      <c r="F16" s="1273"/>
      <c r="G16" s="1273"/>
      <c r="H16" s="4708" t="s">
        <v>257</v>
      </c>
      <c r="I16" s="4708"/>
      <c r="J16" s="4708" t="s">
        <v>167</v>
      </c>
      <c r="K16" s="4708"/>
      <c r="L16" s="4708"/>
      <c r="M16" s="1273" t="s">
        <v>614</v>
      </c>
      <c r="N16" s="1274"/>
      <c r="P16" s="910"/>
    </row>
    <row r="17" spans="1:14" ht="16.5">
      <c r="A17" s="909"/>
      <c r="B17" s="909"/>
      <c r="C17" s="909"/>
      <c r="D17" s="909"/>
      <c r="E17" s="909"/>
      <c r="F17" s="909"/>
      <c r="G17" s="909"/>
      <c r="H17" s="909"/>
      <c r="I17" s="909"/>
      <c r="J17" s="909"/>
      <c r="K17" s="909"/>
      <c r="L17" s="909"/>
      <c r="M17" s="1265"/>
      <c r="N17" s="1266"/>
    </row>
    <row r="18" spans="1:14" ht="16.5">
      <c r="A18" s="910"/>
      <c r="B18" s="910"/>
      <c r="C18" s="910"/>
      <c r="D18" s="910"/>
      <c r="E18" s="910"/>
      <c r="F18" s="910"/>
      <c r="G18" s="910"/>
      <c r="H18" s="910"/>
      <c r="I18" s="910"/>
      <c r="J18" s="910"/>
      <c r="K18" s="910"/>
      <c r="L18" s="910"/>
      <c r="M18" s="1267"/>
      <c r="N18" s="913"/>
    </row>
    <row r="19" spans="1:14" ht="16.5">
      <c r="A19" s="909"/>
      <c r="B19" s="909"/>
      <c r="C19" s="909"/>
      <c r="D19" s="909"/>
      <c r="E19" s="909"/>
      <c r="F19" s="909"/>
      <c r="G19" s="909"/>
      <c r="H19" s="909"/>
      <c r="I19" s="909"/>
      <c r="J19" s="909"/>
      <c r="K19" s="909"/>
      <c r="L19" s="909"/>
      <c r="M19" s="1265"/>
      <c r="N19" s="1265"/>
    </row>
  </sheetData>
  <mergeCells count="18">
    <mergeCell ref="A1:N1"/>
    <mergeCell ref="A2:N2"/>
    <mergeCell ref="A3:N3"/>
    <mergeCell ref="A4:G4"/>
    <mergeCell ref="A5:G5"/>
    <mergeCell ref="A16:B16"/>
    <mergeCell ref="L15:N15"/>
    <mergeCell ref="J16:L16"/>
    <mergeCell ref="A14:N14"/>
    <mergeCell ref="A7:N7"/>
    <mergeCell ref="N10:N11"/>
    <mergeCell ref="H16:I16"/>
    <mergeCell ref="A10:A11"/>
    <mergeCell ref="B10:B11"/>
    <mergeCell ref="C10:C11"/>
    <mergeCell ref="D10:D11"/>
    <mergeCell ref="G10:L10"/>
    <mergeCell ref="M10:M11"/>
  </mergeCells>
  <phoneticPr fontId="156" type="noConversion"/>
  <pageMargins left="0.27" right="0.28999999999999998" top="0.74803149606299213" bottom="0.74803149606299213" header="0.31496062992125984" footer="0.31496062992125984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92</vt:i4>
      </vt:variant>
      <vt:variant>
        <vt:lpstr>Named Ranges</vt:lpstr>
      </vt:variant>
      <vt:variant>
        <vt:i4>40</vt:i4>
      </vt:variant>
    </vt:vector>
  </HeadingPairs>
  <TitlesOfParts>
    <vt:vector size="132" baseType="lpstr">
      <vt:lpstr>BẢNG PHÂN TOÁN</vt:lpstr>
      <vt:lpstr>Phụ cấp người Việt</vt:lpstr>
      <vt:lpstr>BẢNG PHÂN TOÁN ĐÚNG</vt:lpstr>
      <vt:lpstr>Mủ BN D40</vt:lpstr>
      <vt:lpstr>THƯỞNG SL</vt:lpstr>
      <vt:lpstr>QL LƯƠNG</vt:lpstr>
      <vt:lpstr>Tổ 1</vt:lpstr>
      <vt:lpstr>Tổ 2</vt:lpstr>
      <vt:lpstr>Tổ 3</vt:lpstr>
      <vt:lpstr>BN DRC CHUẨN</vt:lpstr>
      <vt:lpstr>DANH SÁCH THUẾ</vt:lpstr>
      <vt:lpstr>Chấm công công nhân</vt:lpstr>
      <vt:lpstr>Mủ</vt:lpstr>
      <vt:lpstr>Tong hop cong</vt:lpstr>
      <vt:lpstr>BẢNG LƯƠNG KT</vt:lpstr>
      <vt:lpstr>PL con</vt:lpstr>
      <vt:lpstr>pl CBCNV</vt:lpstr>
      <vt:lpstr>1</vt:lpstr>
      <vt:lpstr>2</vt:lpstr>
      <vt:lpstr>LƯƠNG TT</vt:lpstr>
      <vt:lpstr>3</vt:lpstr>
      <vt:lpstr>Tạm tính BN</vt:lpstr>
      <vt:lpstr>BV</vt:lpstr>
      <vt:lpstr>Tạp vụ</vt:lpstr>
      <vt:lpstr>Lương gia thuộc</vt:lpstr>
      <vt:lpstr>Phụ cấp</vt:lpstr>
      <vt:lpstr>Vươn KTCB</vt:lpstr>
      <vt:lpstr>KTCB</vt:lpstr>
      <vt:lpstr>Lương USD</vt:lpstr>
      <vt:lpstr>Bảng kê lương</vt:lpstr>
      <vt:lpstr>PC trực đêm</vt:lpstr>
      <vt:lpstr>Công CBNV</vt:lpstr>
      <vt:lpstr>CHẤM CÔNG XĂNG XE</vt:lpstr>
      <vt:lpstr>PC XĂNG XE</vt:lpstr>
      <vt:lpstr>Chấm công xăng)</vt:lpstr>
      <vt:lpstr>tt xăng</vt:lpstr>
      <vt:lpstr>Tính lương tổ</vt:lpstr>
      <vt:lpstr>Lương Tổ</vt:lpstr>
      <vt:lpstr>TH MỦ</vt:lpstr>
      <vt:lpstr>TH CÔNG</vt:lpstr>
      <vt:lpstr>Kỷ thuật</vt:lpstr>
      <vt:lpstr>C.B NV</vt:lpstr>
      <vt:lpstr>VC KTCB</vt:lpstr>
      <vt:lpstr>VC TAI CANH</vt:lpstr>
      <vt:lpstr>BẢO VỆ</vt:lpstr>
      <vt:lpstr>VƯƠN ƯƠM</vt:lpstr>
      <vt:lpstr>Biểu t.h</vt:lpstr>
      <vt:lpstr>Mã số NV</vt:lpstr>
      <vt:lpstr>Công việc khác</vt:lpstr>
      <vt:lpstr>TRƯỞN BẢN</vt:lpstr>
      <vt:lpstr>ky thuật</vt:lpstr>
      <vt:lpstr>BC</vt:lpstr>
      <vt:lpstr>Lương Tổng NT</vt:lpstr>
      <vt:lpstr>CHẤM CÔNG BV</vt:lpstr>
      <vt:lpstr>CV KHAC</vt:lpstr>
      <vt:lpstr>BHXH</vt:lpstr>
      <vt:lpstr>NTNB</vt:lpstr>
      <vt:lpstr> Công</vt:lpstr>
      <vt:lpstr>mẩu</vt:lpstr>
      <vt:lpstr>TRƯỞNG BẢN</vt:lpstr>
      <vt:lpstr>Sheet3</vt:lpstr>
      <vt:lpstr>TỔNG HỢP CHI PHÍ KHÁC</vt:lpstr>
      <vt:lpstr>KHSX T8</vt:lpstr>
      <vt:lpstr>BCSXT7</vt:lpstr>
      <vt:lpstr>BCSX T8</vt:lpstr>
      <vt:lpstr>KHSX T9</vt:lpstr>
      <vt:lpstr>bcsx t9</vt:lpstr>
      <vt:lpstr>khsx t10</vt:lpstr>
      <vt:lpstr>BCSX T1</vt:lpstr>
      <vt:lpstr>KHSX T2</vt:lpstr>
      <vt:lpstr>xã cạo t1</vt:lpstr>
      <vt:lpstr>xã cạo t3</vt:lpstr>
      <vt:lpstr>mcm t1</vt:lpstr>
      <vt:lpstr>mcm t2</vt:lpstr>
      <vt:lpstr>mcm t3</vt:lpstr>
      <vt:lpstr>mpc t1</vt:lpstr>
      <vt:lpstr>mpc t2</vt:lpstr>
      <vt:lpstr>mpc t3</vt:lpstr>
      <vt:lpstr>gia cố mcm t1</vt:lpstr>
      <vt:lpstr>kt1</vt:lpstr>
      <vt:lpstr>kt2</vt:lpstr>
      <vt:lpstr>kt3</vt:lpstr>
      <vt:lpstr>Kỹ thuật 1 (ngữa)</vt:lpstr>
      <vt:lpstr>Sheet2</vt:lpstr>
      <vt:lpstr>Kỹ thuật 1 (úp)</vt:lpstr>
      <vt:lpstr>kỹ thuật 2</vt:lpstr>
      <vt:lpstr>kỹ thuật 3</vt:lpstr>
      <vt:lpstr>Hổ trợ 2421</vt:lpstr>
      <vt:lpstr>MSNV</vt:lpstr>
      <vt:lpstr>TIỀN ĂN</vt:lpstr>
      <vt:lpstr>Thưởng tết dương lich</vt:lpstr>
      <vt:lpstr>Sheet1</vt:lpstr>
      <vt:lpstr>'Bảng kê lương'!Print_Area</vt:lpstr>
      <vt:lpstr>'BẢNG LƯƠNG KT'!Print_Area</vt:lpstr>
      <vt:lpstr>'BẢNG PHÂN TOÁN ĐÚNG'!Print_Area</vt:lpstr>
      <vt:lpstr>'BẢO VỆ'!Print_Area</vt:lpstr>
      <vt:lpstr>'Biểu t.h'!Print_Area</vt:lpstr>
      <vt:lpstr>'C.B NV'!Print_Area</vt:lpstr>
      <vt:lpstr>'Công việc khác'!Print_Area</vt:lpstr>
      <vt:lpstr>'Chấm công công nhân'!Print_Area</vt:lpstr>
      <vt:lpstr>KTCB!Print_Area</vt:lpstr>
      <vt:lpstr>'Lương Tổng NT'!Print_Area</vt:lpstr>
      <vt:lpstr>'Lương USD'!Print_Area</vt:lpstr>
      <vt:lpstr>'VC KTCB'!Print_Area</vt:lpstr>
      <vt:lpstr>'VC TAI CANH'!Print_Area</vt:lpstr>
      <vt:lpstr>'VƯƠN ƯƠM'!Print_Area</vt:lpstr>
      <vt:lpstr>' Công'!Print_Titles</vt:lpstr>
      <vt:lpstr>'1'!Print_Titles</vt:lpstr>
      <vt:lpstr>'3'!Print_Titles</vt:lpstr>
      <vt:lpstr>'BẢNG LƯƠNG KT'!Print_Titles</vt:lpstr>
      <vt:lpstr>'BẢNG PHÂN TOÁN'!Print_Titles</vt:lpstr>
      <vt:lpstr>'BẢNG PHÂN TOÁN ĐÚNG'!Print_Titles</vt:lpstr>
      <vt:lpstr>BC!Print_Titles</vt:lpstr>
      <vt:lpstr>'Biểu t.h'!Print_Titles</vt:lpstr>
      <vt:lpstr>'Công việc khác'!Print_Titles</vt:lpstr>
      <vt:lpstr>'Chấm công công nhân'!Print_Titles</vt:lpstr>
      <vt:lpstr>'Kỷ thuật'!Print_Titles</vt:lpstr>
      <vt:lpstr>'Kỹ thuật 1 (ngữa)'!Print_Titles</vt:lpstr>
      <vt:lpstr>'Kỹ thuật 1 (úp)'!Print_Titles</vt:lpstr>
      <vt:lpstr>'kỹ thuật 2'!Print_Titles</vt:lpstr>
      <vt:lpstr>'kỹ thuật 3'!Print_Titles</vt:lpstr>
      <vt:lpstr>'Lương gia thuộc'!Print_Titles</vt:lpstr>
      <vt:lpstr>'Lương Tổng NT'!Print_Titles</vt:lpstr>
      <vt:lpstr>'LƯƠNG TT'!Print_Titles</vt:lpstr>
      <vt:lpstr>mẩu!Print_Titles</vt:lpstr>
      <vt:lpstr>Mủ!Print_Titles</vt:lpstr>
      <vt:lpstr>'Tong hop cong'!Print_Titles</vt:lpstr>
      <vt:lpstr>'Tổ 1'!Print_Titles</vt:lpstr>
      <vt:lpstr>'Tổ 2'!Print_Titles</vt:lpstr>
      <vt:lpstr>'Tổ 3'!Print_Titles</vt:lpstr>
      <vt:lpstr>'Thưởng tết dương lich'!Print_Titles</vt:lpstr>
      <vt:lpstr>'VƯƠN ƯƠM'!Print_Titles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2025-02-02T07:34:27Z</cp:lastPrinted>
  <dcterms:created xsi:type="dcterms:W3CDTF">2016-08-22T04:16:23Z</dcterms:created>
  <dcterms:modified xsi:type="dcterms:W3CDTF">2026-01-30T01:33:13Z</dcterms:modified>
</cp:coreProperties>
</file>